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reeta\Documents\Martin\Dropbox\STORAGE_LEVELS\DATA\MODEL_DATA\"/>
    </mc:Choice>
  </mc:AlternateContent>
  <bookViews>
    <workbookView xWindow="0" yWindow="0" windowWidth="28800" windowHeight="12720" tabRatio="854"/>
  </bookViews>
  <sheets>
    <sheet name="FUEL_NODE_ENCAR" sheetId="1" r:id="rId1"/>
    <sheet name="NODE_ENCAR_DMND" sheetId="2" r:id="rId2"/>
    <sheet name="PLANT_ENCAR_CAP" sheetId="3" r:id="rId3"/>
    <sheet name="ALL_CAPACITY" sheetId="4" r:id="rId4"/>
    <sheet name="DE" sheetId="5" r:id="rId5"/>
    <sheet name="FR" sheetId="6" r:id="rId6"/>
    <sheet name="IT" sheetId="7" r:id="rId7"/>
    <sheet name="AT" sheetId="8" r:id="rId8"/>
    <sheet name="PRICES" sheetId="9" r:id="rId9"/>
    <sheet name="CH" sheetId="10" r:id="rId10"/>
    <sheet name="CH_SCEN" sheetId="11" r:id="rId11"/>
    <sheet name="CH_SCEN_REN" sheetId="12" r:id="rId12"/>
    <sheet name="CH_EXIST" sheetId="13" r:id="rId13"/>
    <sheet name="ERG_INP" sheetId="14" r:id="rId14"/>
    <sheet name="ERG_CHP" sheetId="15" r:id="rId15"/>
    <sheet name="VC_FL" sheetId="16" r:id="rId16"/>
  </sheets>
  <calcPr calcId="152511"/>
  <pivotCaches>
    <pivotCache cacheId="10" r:id="rId17"/>
    <pivotCache cacheId="11" r:id="rId18"/>
    <pivotCache cacheId="12" r:id="rId19"/>
    <pivotCache cacheId="13" r:id="rId20"/>
    <pivotCache cacheId="14" r:id="rId21"/>
    <pivotCache cacheId="15" r:id="rId22"/>
    <pivotCache cacheId="16" r:id="rId23"/>
    <pivotCache cacheId="17" r:id="rId24"/>
  </pivotCaches>
</workbook>
</file>

<file path=xl/calcChain.xml><?xml version="1.0" encoding="utf-8"?>
<calcChain xmlns="http://schemas.openxmlformats.org/spreadsheetml/2006/main">
  <c r="E9" i="1" l="1"/>
  <c r="F9" i="1"/>
  <c r="E10" i="1"/>
  <c r="F10" i="1"/>
  <c r="E11" i="1"/>
  <c r="F11" i="1"/>
  <c r="E12" i="1"/>
  <c r="F12" i="1"/>
  <c r="E14" i="1"/>
  <c r="F14" i="1"/>
  <c r="E15" i="1"/>
  <c r="F15" i="1"/>
  <c r="E16" i="1"/>
  <c r="F16" i="1"/>
  <c r="E17" i="1"/>
  <c r="F17" i="1"/>
  <c r="E19" i="1"/>
  <c r="F19" i="1"/>
  <c r="E20" i="1"/>
  <c r="F20" i="1"/>
  <c r="E22" i="1"/>
  <c r="F22" i="1"/>
  <c r="E23" i="1"/>
  <c r="F23" i="1"/>
  <c r="E24" i="1"/>
  <c r="F24" i="1"/>
  <c r="E25" i="1"/>
  <c r="F25" i="1"/>
  <c r="E26" i="1"/>
  <c r="F26" i="1"/>
  <c r="E28" i="1"/>
  <c r="F28" i="1"/>
  <c r="E29" i="1"/>
  <c r="F29" i="1"/>
  <c r="E30" i="1"/>
  <c r="F30" i="1"/>
  <c r="E31" i="1"/>
  <c r="F31" i="1"/>
  <c r="E32" i="1"/>
  <c r="F32" i="1"/>
  <c r="E33" i="1"/>
  <c r="F33" i="1"/>
  <c r="E35" i="1"/>
  <c r="F35" i="1"/>
  <c r="E36" i="1"/>
  <c r="F36" i="1"/>
  <c r="E37" i="1"/>
  <c r="F37" i="1"/>
  <c r="E39" i="1"/>
  <c r="F39" i="1"/>
  <c r="E40" i="1"/>
  <c r="F40" i="1"/>
  <c r="E42" i="1"/>
  <c r="F42" i="1"/>
  <c r="E43" i="1"/>
  <c r="F43" i="1"/>
  <c r="E44" i="1"/>
  <c r="F44" i="1"/>
  <c r="E45" i="1"/>
  <c r="F45" i="1"/>
  <c r="E46" i="1"/>
  <c r="F46" i="1"/>
  <c r="E48" i="1"/>
  <c r="F48" i="1"/>
  <c r="E49" i="1"/>
  <c r="F49" i="1"/>
  <c r="E50" i="1"/>
  <c r="F50" i="1"/>
  <c r="E51" i="1"/>
  <c r="F51" i="1"/>
  <c r="E52" i="1"/>
  <c r="F52" i="1"/>
  <c r="E54" i="1"/>
  <c r="F54" i="1"/>
  <c r="E55" i="1"/>
  <c r="F55" i="1"/>
  <c r="E56" i="1"/>
  <c r="F56" i="1"/>
  <c r="E57" i="1"/>
  <c r="F57" i="1"/>
  <c r="E58" i="1"/>
  <c r="F58" i="1"/>
  <c r="E60" i="1"/>
  <c r="F60" i="1"/>
  <c r="E61" i="1"/>
  <c r="F61" i="1"/>
  <c r="E62" i="1"/>
  <c r="F62" i="1"/>
  <c r="E63" i="1"/>
  <c r="F63" i="1"/>
  <c r="E64" i="1"/>
  <c r="F64" i="1"/>
  <c r="E66" i="1"/>
  <c r="F66" i="1"/>
  <c r="E67" i="1"/>
  <c r="F67" i="1"/>
  <c r="E68" i="1"/>
  <c r="F68" i="1"/>
  <c r="E69" i="1"/>
  <c r="F69" i="1"/>
  <c r="E70" i="1"/>
  <c r="F70" i="1"/>
  <c r="E72" i="1"/>
  <c r="F72" i="1"/>
  <c r="E73" i="1"/>
  <c r="F73" i="1"/>
  <c r="E74" i="1"/>
  <c r="F74" i="1"/>
  <c r="E75" i="1"/>
  <c r="F75" i="1"/>
  <c r="E76" i="1"/>
  <c r="F76" i="1"/>
  <c r="F8" i="1"/>
  <c r="E8" i="1"/>
  <c r="F104" i="10" l="1"/>
  <c r="G104" i="10"/>
  <c r="H104" i="10"/>
  <c r="I104" i="10"/>
  <c r="J104" i="10"/>
  <c r="K104" i="10"/>
  <c r="E104" i="10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62" i="15"/>
  <c r="E161" i="15"/>
  <c r="E160" i="15"/>
  <c r="E159" i="15"/>
  <c r="E158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11" i="15"/>
  <c r="K49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58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11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58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49" i="15"/>
  <c r="AF86" i="15"/>
  <c r="J12" i="15" s="1"/>
  <c r="AF85" i="15"/>
  <c r="AF84" i="15"/>
  <c r="AF82" i="15"/>
  <c r="AF83" i="15" s="1"/>
  <c r="AF81" i="15"/>
  <c r="AZ31" i="14"/>
  <c r="AZ30" i="14"/>
  <c r="AZ29" i="14"/>
  <c r="AZ28" i="14"/>
  <c r="J14" i="15"/>
  <c r="J18" i="15"/>
  <c r="J19" i="15"/>
  <c r="J20" i="15"/>
  <c r="J21" i="15"/>
  <c r="J22" i="15"/>
  <c r="J23" i="15"/>
  <c r="J24" i="15"/>
  <c r="J25" i="15"/>
  <c r="J26" i="15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433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13" i="14"/>
  <c r="O414" i="14"/>
  <c r="O415" i="14"/>
  <c r="O416" i="14"/>
  <c r="O417" i="14"/>
  <c r="O418" i="14"/>
  <c r="O419" i="14"/>
  <c r="O420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N262" i="14"/>
  <c r="E262" i="14" s="1"/>
  <c r="N263" i="14"/>
  <c r="E263" i="14" s="1"/>
  <c r="N264" i="14"/>
  <c r="E264" i="14" s="1"/>
  <c r="N265" i="14"/>
  <c r="E265" i="14" s="1"/>
  <c r="N266" i="14"/>
  <c r="E266" i="14" s="1"/>
  <c r="N267" i="14"/>
  <c r="E267" i="14" s="1"/>
  <c r="N268" i="14"/>
  <c r="E268" i="14" s="1"/>
  <c r="N269" i="14"/>
  <c r="E269" i="14" s="1"/>
  <c r="N270" i="14"/>
  <c r="E270" i="14" s="1"/>
  <c r="N271" i="14"/>
  <c r="E271" i="14" s="1"/>
  <c r="N272" i="14"/>
  <c r="E272" i="14" s="1"/>
  <c r="N273" i="14"/>
  <c r="E273" i="14" s="1"/>
  <c r="N274" i="14"/>
  <c r="E274" i="14" s="1"/>
  <c r="N275" i="14"/>
  <c r="E275" i="14" s="1"/>
  <c r="N276" i="14"/>
  <c r="E276" i="14" s="1"/>
  <c r="N277" i="14"/>
  <c r="E277" i="14" s="1"/>
  <c r="N278" i="14"/>
  <c r="E278" i="14" s="1"/>
  <c r="N279" i="14"/>
  <c r="E279" i="14" s="1"/>
  <c r="N280" i="14"/>
  <c r="E280" i="14" s="1"/>
  <c r="N281" i="14"/>
  <c r="E281" i="14" s="1"/>
  <c r="N282" i="14"/>
  <c r="E282" i="14" s="1"/>
  <c r="N283" i="14"/>
  <c r="E283" i="14" s="1"/>
  <c r="N284" i="14"/>
  <c r="E284" i="14" s="1"/>
  <c r="N285" i="14"/>
  <c r="E285" i="14" s="1"/>
  <c r="N286" i="14"/>
  <c r="E286" i="14" s="1"/>
  <c r="N287" i="14"/>
  <c r="E287" i="14" s="1"/>
  <c r="N288" i="14"/>
  <c r="E288" i="14" s="1"/>
  <c r="N289" i="14"/>
  <c r="E289" i="14" s="1"/>
  <c r="N290" i="14"/>
  <c r="E290" i="14" s="1"/>
  <c r="N291" i="14"/>
  <c r="E291" i="14" s="1"/>
  <c r="N292" i="14"/>
  <c r="E292" i="14" s="1"/>
  <c r="N293" i="14"/>
  <c r="E293" i="14" s="1"/>
  <c r="AJ229" i="14"/>
  <c r="AJ212" i="14"/>
  <c r="AJ213" i="14"/>
  <c r="AJ216" i="14"/>
  <c r="AJ217" i="14"/>
  <c r="AJ220" i="14"/>
  <c r="AJ223" i="14"/>
  <c r="AJ225" i="14"/>
  <c r="N296" i="14" s="1"/>
  <c r="E296" i="14" s="1"/>
  <c r="AJ226" i="14"/>
  <c r="AJ228" i="14"/>
  <c r="N294" i="14" s="1"/>
  <c r="E294" i="14" s="1"/>
  <c r="AJ231" i="14"/>
  <c r="N297" i="14" s="1"/>
  <c r="E297" i="14" s="1"/>
  <c r="AJ232" i="14"/>
  <c r="AJ234" i="14"/>
  <c r="N295" i="14" s="1"/>
  <c r="E295" i="14" s="1"/>
  <c r="AJ235" i="14"/>
  <c r="AJ238" i="14"/>
  <c r="N467" i="14" s="1"/>
  <c r="E467" i="14" s="1"/>
  <c r="AJ239" i="14"/>
  <c r="AJ240" i="14"/>
  <c r="N545" i="14" s="1"/>
  <c r="E545" i="14" s="1"/>
  <c r="AJ242" i="14"/>
  <c r="AJ243" i="14"/>
  <c r="AJ244" i="14"/>
  <c r="AJ186" i="14"/>
  <c r="AJ189" i="14"/>
  <c r="N327" i="14" s="1"/>
  <c r="E327" i="14" s="1"/>
  <c r="AJ190" i="14"/>
  <c r="AJ193" i="14"/>
  <c r="N329" i="14" s="1"/>
  <c r="E329" i="14" s="1"/>
  <c r="AJ194" i="14"/>
  <c r="AJ197" i="14"/>
  <c r="N328" i="14" s="1"/>
  <c r="E328" i="14" s="1"/>
  <c r="AJ198" i="14"/>
  <c r="AJ185" i="14"/>
  <c r="N326" i="14" s="1"/>
  <c r="E326" i="14" s="1"/>
  <c r="AJ178" i="14"/>
  <c r="AJ150" i="14"/>
  <c r="AJ151" i="14"/>
  <c r="AJ152" i="14"/>
  <c r="AJ155" i="14"/>
  <c r="AJ156" i="14"/>
  <c r="AJ157" i="14"/>
  <c r="AJ158" i="14"/>
  <c r="AJ161" i="14"/>
  <c r="N69" i="14" s="1"/>
  <c r="E69" i="14" s="1"/>
  <c r="AJ162" i="14"/>
  <c r="AJ163" i="14"/>
  <c r="AJ164" i="14"/>
  <c r="AJ167" i="14"/>
  <c r="AJ168" i="14"/>
  <c r="AJ169" i="14"/>
  <c r="AJ170" i="14"/>
  <c r="AJ174" i="14"/>
  <c r="AJ177" i="14"/>
  <c r="AJ180" i="14"/>
  <c r="AJ149" i="14"/>
  <c r="AJ135" i="14"/>
  <c r="AJ136" i="14"/>
  <c r="AJ139" i="14"/>
  <c r="AJ140" i="14"/>
  <c r="AJ143" i="14"/>
  <c r="AJ144" i="14"/>
  <c r="AJ132" i="14"/>
  <c r="AJ131" i="14"/>
  <c r="AZ27" i="14"/>
  <c r="AJ126" i="14"/>
  <c r="AJ125" i="14"/>
  <c r="AJ124" i="14"/>
  <c r="N109" i="14" s="1"/>
  <c r="E109" i="14" s="1"/>
  <c r="AJ119" i="14"/>
  <c r="AJ118" i="14"/>
  <c r="AJ116" i="14"/>
  <c r="AJ115" i="14"/>
  <c r="AJ113" i="14"/>
  <c r="AJ112" i="14"/>
  <c r="N19" i="14" s="1"/>
  <c r="E19" i="14" s="1"/>
  <c r="AJ110" i="14"/>
  <c r="AJ109" i="14"/>
  <c r="N15" i="14" s="1"/>
  <c r="E15" i="14" s="1"/>
  <c r="AJ107" i="14"/>
  <c r="AJ106" i="14"/>
  <c r="N23" i="14" s="1"/>
  <c r="E23" i="14" s="1"/>
  <c r="AZ26" i="14"/>
  <c r="AJ101" i="14"/>
  <c r="AJ100" i="14"/>
  <c r="N394" i="14" s="1"/>
  <c r="E394" i="14" s="1"/>
  <c r="AJ97" i="14"/>
  <c r="AJ96" i="14"/>
  <c r="N201" i="14" s="1"/>
  <c r="E201" i="14" s="1"/>
  <c r="AJ95" i="14"/>
  <c r="AJ94" i="14"/>
  <c r="N200" i="14" s="1"/>
  <c r="E200" i="14" s="1"/>
  <c r="AJ93" i="14"/>
  <c r="AJ92" i="14"/>
  <c r="N198" i="14" s="1"/>
  <c r="E198" i="14" s="1"/>
  <c r="AJ91" i="14"/>
  <c r="AJ90" i="14"/>
  <c r="N199" i="14" s="1"/>
  <c r="E199" i="14" s="1"/>
  <c r="AJ84" i="14"/>
  <c r="AJ85" i="14"/>
  <c r="AJ82" i="14"/>
  <c r="AJ81" i="14"/>
  <c r="AJ79" i="14"/>
  <c r="AJ78" i="14"/>
  <c r="N435" i="14" s="1"/>
  <c r="E435" i="14" s="1"/>
  <c r="AZ25" i="14"/>
  <c r="AJ75" i="14"/>
  <c r="AJ74" i="14"/>
  <c r="N261" i="14" s="1"/>
  <c r="E261" i="14" s="1"/>
  <c r="AJ73" i="14"/>
  <c r="AJ72" i="14"/>
  <c r="N232" i="14" s="1"/>
  <c r="E232" i="14" s="1"/>
  <c r="AJ71" i="14"/>
  <c r="AJ70" i="14"/>
  <c r="N230" i="14" s="1"/>
  <c r="E230" i="14" s="1"/>
  <c r="AJ69" i="14"/>
  <c r="AJ68" i="14"/>
  <c r="N231" i="14" s="1"/>
  <c r="E231" i="14" s="1"/>
  <c r="AJ51" i="14"/>
  <c r="AJ53" i="14"/>
  <c r="N521" i="14" s="1"/>
  <c r="E521" i="14" s="1"/>
  <c r="AJ54" i="14"/>
  <c r="AJ57" i="14"/>
  <c r="N443" i="14" s="1"/>
  <c r="E443" i="14" s="1"/>
  <c r="AJ58" i="14"/>
  <c r="AJ61" i="14"/>
  <c r="N487" i="14" s="1"/>
  <c r="E487" i="14" s="1"/>
  <c r="AJ62" i="14"/>
  <c r="AJ39" i="14"/>
  <c r="AJ40" i="14"/>
  <c r="AJ41" i="14"/>
  <c r="AJ42" i="14"/>
  <c r="AJ43" i="14"/>
  <c r="AJ44" i="14"/>
  <c r="AJ45" i="14"/>
  <c r="AJ46" i="14"/>
  <c r="AJ47" i="14"/>
  <c r="AJ38" i="14"/>
  <c r="AZ24" i="14"/>
  <c r="AJ32" i="14"/>
  <c r="N378" i="14" s="1"/>
  <c r="E378" i="14" s="1"/>
  <c r="AJ33" i="14"/>
  <c r="AJ34" i="14"/>
  <c r="N135" i="14" s="1"/>
  <c r="E135" i="14" s="1"/>
  <c r="AJ35" i="14"/>
  <c r="N141" i="14" s="1"/>
  <c r="E141" i="14" s="1"/>
  <c r="AJ36" i="14"/>
  <c r="AJ31" i="14"/>
  <c r="N196" i="14" s="1"/>
  <c r="E196" i="14" s="1"/>
  <c r="AJ30" i="14"/>
  <c r="N173" i="14" s="1"/>
  <c r="E173" i="14" s="1"/>
  <c r="AJ29" i="14"/>
  <c r="N167" i="14" s="1"/>
  <c r="E167" i="14" s="1"/>
  <c r="AJ28" i="14"/>
  <c r="AJ27" i="14"/>
  <c r="N386" i="14" s="1"/>
  <c r="E386" i="14" s="1"/>
  <c r="AJ22" i="14"/>
  <c r="AJ23" i="14"/>
  <c r="AJ24" i="14"/>
  <c r="AJ25" i="14"/>
  <c r="AJ21" i="14"/>
  <c r="AC22" i="14"/>
  <c r="AD22" i="14"/>
  <c r="AE22" i="14"/>
  <c r="AC23" i="14"/>
  <c r="AD23" i="14"/>
  <c r="AE23" i="14"/>
  <c r="AC24" i="14"/>
  <c r="AD24" i="14"/>
  <c r="AE24" i="14"/>
  <c r="C4" i="8"/>
  <c r="C6" i="8"/>
  <c r="C9" i="8" s="1"/>
  <c r="C7" i="8"/>
  <c r="C8" i="8"/>
  <c r="C10" i="8"/>
  <c r="C12" i="8"/>
  <c r="C13" i="8"/>
  <c r="C14" i="8"/>
  <c r="C16" i="8"/>
  <c r="C3" i="8"/>
  <c r="J11" i="15" l="1"/>
  <c r="J15" i="15"/>
  <c r="J17" i="15"/>
  <c r="J13" i="15"/>
  <c r="AF87" i="15"/>
  <c r="J16" i="15"/>
  <c r="N392" i="14"/>
  <c r="E392" i="14" s="1"/>
  <c r="N401" i="14"/>
  <c r="E401" i="14" s="1"/>
  <c r="N356" i="14"/>
  <c r="E356" i="14" s="1"/>
  <c r="N397" i="14"/>
  <c r="E397" i="14" s="1"/>
  <c r="N399" i="14"/>
  <c r="E399" i="14" s="1"/>
  <c r="N340" i="14"/>
  <c r="E340" i="14" s="1"/>
  <c r="N257" i="14"/>
  <c r="E257" i="14" s="1"/>
  <c r="N253" i="14"/>
  <c r="E253" i="14" s="1"/>
  <c r="N249" i="14"/>
  <c r="E249" i="14" s="1"/>
  <c r="N245" i="14"/>
  <c r="E245" i="14" s="1"/>
  <c r="N241" i="14"/>
  <c r="E241" i="14" s="1"/>
  <c r="N237" i="14"/>
  <c r="E237" i="14" s="1"/>
  <c r="N233" i="14"/>
  <c r="E233" i="14" s="1"/>
  <c r="N229" i="14"/>
  <c r="E229" i="14" s="1"/>
  <c r="N225" i="14"/>
  <c r="E225" i="14" s="1"/>
  <c r="N221" i="14"/>
  <c r="E221" i="14" s="1"/>
  <c r="N217" i="14"/>
  <c r="E217" i="14" s="1"/>
  <c r="N213" i="14"/>
  <c r="E213" i="14" s="1"/>
  <c r="N209" i="14"/>
  <c r="E209" i="14" s="1"/>
  <c r="N205" i="14"/>
  <c r="E205" i="14" s="1"/>
  <c r="N197" i="14"/>
  <c r="E197" i="14" s="1"/>
  <c r="N192" i="14"/>
  <c r="E192" i="14" s="1"/>
  <c r="N187" i="14"/>
  <c r="E187" i="14" s="1"/>
  <c r="N179" i="14"/>
  <c r="E179" i="14" s="1"/>
  <c r="N171" i="14"/>
  <c r="E171" i="14" s="1"/>
  <c r="N163" i="14"/>
  <c r="E163" i="14" s="1"/>
  <c r="N155" i="14"/>
  <c r="E155" i="14" s="1"/>
  <c r="N147" i="14"/>
  <c r="E147" i="14" s="1"/>
  <c r="N139" i="14"/>
  <c r="E139" i="14" s="1"/>
  <c r="N113" i="14"/>
  <c r="E113" i="14" s="1"/>
  <c r="N482" i="14"/>
  <c r="E482" i="14" s="1"/>
  <c r="N486" i="14"/>
  <c r="E486" i="14" s="1"/>
  <c r="N484" i="14"/>
  <c r="E484" i="14" s="1"/>
  <c r="N488" i="14"/>
  <c r="E488" i="14" s="1"/>
  <c r="N481" i="14"/>
  <c r="E481" i="14" s="1"/>
  <c r="N485" i="14"/>
  <c r="E485" i="14" s="1"/>
  <c r="N516" i="14"/>
  <c r="E516" i="14" s="1"/>
  <c r="N520" i="14"/>
  <c r="E520" i="14" s="1"/>
  <c r="N514" i="14"/>
  <c r="E514" i="14" s="1"/>
  <c r="N518" i="14"/>
  <c r="E518" i="14" s="1"/>
  <c r="N515" i="14"/>
  <c r="E515" i="14" s="1"/>
  <c r="N519" i="14"/>
  <c r="E519" i="14" s="1"/>
  <c r="N79" i="14"/>
  <c r="E79" i="14" s="1"/>
  <c r="N73" i="14"/>
  <c r="E73" i="14" s="1"/>
  <c r="N71" i="14"/>
  <c r="E71" i="14" s="1"/>
  <c r="N89" i="14"/>
  <c r="E89" i="14" s="1"/>
  <c r="N77" i="14"/>
  <c r="E77" i="14" s="1"/>
  <c r="N55" i="14"/>
  <c r="E55" i="14" s="1"/>
  <c r="N49" i="14"/>
  <c r="E49" i="14" s="1"/>
  <c r="N61" i="14"/>
  <c r="E61" i="14" s="1"/>
  <c r="N51" i="14"/>
  <c r="E51" i="14" s="1"/>
  <c r="N57" i="14"/>
  <c r="E57" i="14" s="1"/>
  <c r="N59" i="14"/>
  <c r="E59" i="14" s="1"/>
  <c r="N65" i="14"/>
  <c r="E65" i="14" s="1"/>
  <c r="N489" i="14"/>
  <c r="E489" i="14" s="1"/>
  <c r="N495" i="14"/>
  <c r="E495" i="14" s="1"/>
  <c r="N491" i="14"/>
  <c r="E491" i="14" s="1"/>
  <c r="N497" i="14"/>
  <c r="E497" i="14" s="1"/>
  <c r="N503" i="14"/>
  <c r="E503" i="14" s="1"/>
  <c r="N465" i="14"/>
  <c r="E465" i="14" s="1"/>
  <c r="N471" i="14"/>
  <c r="E471" i="14" s="1"/>
  <c r="N400" i="14"/>
  <c r="E400" i="14" s="1"/>
  <c r="N396" i="14"/>
  <c r="E396" i="14" s="1"/>
  <c r="N388" i="14"/>
  <c r="E388" i="14" s="1"/>
  <c r="N352" i="14"/>
  <c r="E352" i="14" s="1"/>
  <c r="N336" i="14"/>
  <c r="E336" i="14" s="1"/>
  <c r="N320" i="14"/>
  <c r="E320" i="14" s="1"/>
  <c r="N304" i="14"/>
  <c r="E304" i="14" s="1"/>
  <c r="N260" i="14"/>
  <c r="E260" i="14" s="1"/>
  <c r="N256" i="14"/>
  <c r="E256" i="14" s="1"/>
  <c r="N252" i="14"/>
  <c r="E252" i="14" s="1"/>
  <c r="N248" i="14"/>
  <c r="E248" i="14" s="1"/>
  <c r="N244" i="14"/>
  <c r="E244" i="14" s="1"/>
  <c r="N240" i="14"/>
  <c r="E240" i="14" s="1"/>
  <c r="N236" i="14"/>
  <c r="E236" i="14" s="1"/>
  <c r="N228" i="14"/>
  <c r="E228" i="14" s="1"/>
  <c r="N224" i="14"/>
  <c r="E224" i="14" s="1"/>
  <c r="N220" i="14"/>
  <c r="E220" i="14" s="1"/>
  <c r="N216" i="14"/>
  <c r="E216" i="14" s="1"/>
  <c r="N212" i="14"/>
  <c r="E212" i="14" s="1"/>
  <c r="N208" i="14"/>
  <c r="E208" i="14" s="1"/>
  <c r="N204" i="14"/>
  <c r="E204" i="14" s="1"/>
  <c r="N191" i="14"/>
  <c r="E191" i="14" s="1"/>
  <c r="N185" i="14"/>
  <c r="E185" i="14" s="1"/>
  <c r="N177" i="14"/>
  <c r="E177" i="14" s="1"/>
  <c r="N169" i="14"/>
  <c r="E169" i="14" s="1"/>
  <c r="N161" i="14"/>
  <c r="E161" i="14" s="1"/>
  <c r="N153" i="14"/>
  <c r="E153" i="14" s="1"/>
  <c r="N145" i="14"/>
  <c r="E145" i="14" s="1"/>
  <c r="N137" i="14"/>
  <c r="E137" i="14" s="1"/>
  <c r="N111" i="14"/>
  <c r="E111" i="14" s="1"/>
  <c r="N53" i="14"/>
  <c r="E53" i="14" s="1"/>
  <c r="N517" i="14"/>
  <c r="E517" i="14" s="1"/>
  <c r="N483" i="14"/>
  <c r="E483" i="14" s="1"/>
  <c r="N447" i="14"/>
  <c r="E447" i="14" s="1"/>
  <c r="N524" i="14"/>
  <c r="E524" i="14" s="1"/>
  <c r="N528" i="14"/>
  <c r="E528" i="14" s="1"/>
  <c r="N522" i="14"/>
  <c r="E522" i="14" s="1"/>
  <c r="N526" i="14"/>
  <c r="E526" i="14" s="1"/>
  <c r="N523" i="14"/>
  <c r="E523" i="14" s="1"/>
  <c r="N527" i="14"/>
  <c r="E527" i="14" s="1"/>
  <c r="N474" i="14"/>
  <c r="E474" i="14" s="1"/>
  <c r="N478" i="14"/>
  <c r="E478" i="14" s="1"/>
  <c r="N476" i="14"/>
  <c r="E476" i="14" s="1"/>
  <c r="N480" i="14"/>
  <c r="E480" i="14" s="1"/>
  <c r="N473" i="14"/>
  <c r="E473" i="14" s="1"/>
  <c r="N477" i="14"/>
  <c r="E477" i="14" s="1"/>
  <c r="N537" i="14"/>
  <c r="E537" i="14" s="1"/>
  <c r="N543" i="14"/>
  <c r="E543" i="14" s="1"/>
  <c r="N308" i="14"/>
  <c r="E308" i="14" s="1"/>
  <c r="N168" i="14"/>
  <c r="E168" i="14" s="1"/>
  <c r="N172" i="14"/>
  <c r="E172" i="14" s="1"/>
  <c r="N176" i="14"/>
  <c r="E176" i="14" s="1"/>
  <c r="N180" i="14"/>
  <c r="E180" i="14" s="1"/>
  <c r="N184" i="14"/>
  <c r="E184" i="14" s="1"/>
  <c r="N457" i="14"/>
  <c r="E457" i="14" s="1"/>
  <c r="N463" i="14"/>
  <c r="E463" i="14" s="1"/>
  <c r="N459" i="14"/>
  <c r="E459" i="14" s="1"/>
  <c r="N395" i="14"/>
  <c r="E395" i="14" s="1"/>
  <c r="N384" i="14"/>
  <c r="E384" i="14" s="1"/>
  <c r="N348" i="14"/>
  <c r="E348" i="14" s="1"/>
  <c r="N332" i="14"/>
  <c r="E332" i="14" s="1"/>
  <c r="N316" i="14"/>
  <c r="E316" i="14" s="1"/>
  <c r="N300" i="14"/>
  <c r="E300" i="14" s="1"/>
  <c r="N259" i="14"/>
  <c r="E259" i="14" s="1"/>
  <c r="N255" i="14"/>
  <c r="E255" i="14" s="1"/>
  <c r="N251" i="14"/>
  <c r="E251" i="14" s="1"/>
  <c r="N247" i="14"/>
  <c r="E247" i="14" s="1"/>
  <c r="N243" i="14"/>
  <c r="E243" i="14" s="1"/>
  <c r="N239" i="14"/>
  <c r="E239" i="14" s="1"/>
  <c r="N235" i="14"/>
  <c r="E235" i="14" s="1"/>
  <c r="N227" i="14"/>
  <c r="E227" i="14" s="1"/>
  <c r="N223" i="14"/>
  <c r="E223" i="14" s="1"/>
  <c r="N219" i="14"/>
  <c r="E219" i="14" s="1"/>
  <c r="N215" i="14"/>
  <c r="E215" i="14" s="1"/>
  <c r="N211" i="14"/>
  <c r="E211" i="14" s="1"/>
  <c r="N207" i="14"/>
  <c r="E207" i="14" s="1"/>
  <c r="N203" i="14"/>
  <c r="E203" i="14" s="1"/>
  <c r="N195" i="14"/>
  <c r="E195" i="14" s="1"/>
  <c r="N189" i="14"/>
  <c r="E189" i="14" s="1"/>
  <c r="N183" i="14"/>
  <c r="E183" i="14" s="1"/>
  <c r="N175" i="14"/>
  <c r="E175" i="14" s="1"/>
  <c r="N159" i="14"/>
  <c r="E159" i="14" s="1"/>
  <c r="N151" i="14"/>
  <c r="E151" i="14" s="1"/>
  <c r="N143" i="14"/>
  <c r="E143" i="14" s="1"/>
  <c r="N539" i="14"/>
  <c r="E539" i="14" s="1"/>
  <c r="N513" i="14"/>
  <c r="E513" i="14" s="1"/>
  <c r="N479" i="14"/>
  <c r="E479" i="14" s="1"/>
  <c r="N505" i="14"/>
  <c r="E505" i="14" s="1"/>
  <c r="N511" i="14"/>
  <c r="E511" i="14" s="1"/>
  <c r="N507" i="14"/>
  <c r="E507" i="14" s="1"/>
  <c r="N324" i="14"/>
  <c r="E324" i="14" s="1"/>
  <c r="N134" i="14"/>
  <c r="E134" i="14" s="1"/>
  <c r="N138" i="14"/>
  <c r="E138" i="14" s="1"/>
  <c r="N142" i="14"/>
  <c r="E142" i="14" s="1"/>
  <c r="N146" i="14"/>
  <c r="E146" i="14" s="1"/>
  <c r="N150" i="14"/>
  <c r="E150" i="14" s="1"/>
  <c r="N154" i="14"/>
  <c r="E154" i="14" s="1"/>
  <c r="N158" i="14"/>
  <c r="E158" i="14" s="1"/>
  <c r="N162" i="14"/>
  <c r="E162" i="14" s="1"/>
  <c r="N442" i="14"/>
  <c r="E442" i="14" s="1"/>
  <c r="N446" i="14"/>
  <c r="E446" i="14" s="1"/>
  <c r="N444" i="14"/>
  <c r="E444" i="14" s="1"/>
  <c r="N448" i="14"/>
  <c r="E448" i="14" s="1"/>
  <c r="N441" i="14"/>
  <c r="E441" i="14" s="1"/>
  <c r="N445" i="14"/>
  <c r="E445" i="14" s="1"/>
  <c r="N108" i="14"/>
  <c r="E108" i="14" s="1"/>
  <c r="N112" i="14"/>
  <c r="E112" i="14" s="1"/>
  <c r="N110" i="14"/>
  <c r="E110" i="14" s="1"/>
  <c r="N114" i="14"/>
  <c r="E114" i="14" s="1"/>
  <c r="N116" i="14"/>
  <c r="E116" i="14" s="1"/>
  <c r="N166" i="14"/>
  <c r="E166" i="14" s="1"/>
  <c r="N170" i="14"/>
  <c r="E170" i="14" s="1"/>
  <c r="N174" i="14"/>
  <c r="E174" i="14" s="1"/>
  <c r="N178" i="14"/>
  <c r="E178" i="14" s="1"/>
  <c r="N182" i="14"/>
  <c r="E182" i="14" s="1"/>
  <c r="N186" i="14"/>
  <c r="E186" i="14" s="1"/>
  <c r="N190" i="14"/>
  <c r="E190" i="14" s="1"/>
  <c r="N194" i="14"/>
  <c r="E194" i="14" s="1"/>
  <c r="N136" i="14"/>
  <c r="E136" i="14" s="1"/>
  <c r="N140" i="14"/>
  <c r="E140" i="14" s="1"/>
  <c r="N144" i="14"/>
  <c r="E144" i="14" s="1"/>
  <c r="N148" i="14"/>
  <c r="E148" i="14" s="1"/>
  <c r="N152" i="14"/>
  <c r="E152" i="14" s="1"/>
  <c r="N156" i="14"/>
  <c r="E156" i="14" s="1"/>
  <c r="N160" i="14"/>
  <c r="E160" i="14" s="1"/>
  <c r="N164" i="14"/>
  <c r="E164" i="14" s="1"/>
  <c r="N434" i="14"/>
  <c r="E434" i="14" s="1"/>
  <c r="N438" i="14"/>
  <c r="E438" i="14" s="1"/>
  <c r="N436" i="14"/>
  <c r="E436" i="14" s="1"/>
  <c r="N440" i="14"/>
  <c r="E440" i="14" s="1"/>
  <c r="N437" i="14"/>
  <c r="E437" i="14" s="1"/>
  <c r="N433" i="14"/>
  <c r="E433" i="14" s="1"/>
  <c r="N75" i="14"/>
  <c r="E75" i="14" s="1"/>
  <c r="N81" i="14"/>
  <c r="E81" i="14" s="1"/>
  <c r="N93" i="14"/>
  <c r="E93" i="14" s="1"/>
  <c r="N398" i="14"/>
  <c r="E398" i="14" s="1"/>
  <c r="N380" i="14"/>
  <c r="E380" i="14" s="1"/>
  <c r="N344" i="14"/>
  <c r="E344" i="14" s="1"/>
  <c r="N312" i="14"/>
  <c r="E312" i="14" s="1"/>
  <c r="N258" i="14"/>
  <c r="E258" i="14" s="1"/>
  <c r="N254" i="14"/>
  <c r="E254" i="14" s="1"/>
  <c r="N250" i="14"/>
  <c r="E250" i="14" s="1"/>
  <c r="N246" i="14"/>
  <c r="E246" i="14" s="1"/>
  <c r="N242" i="14"/>
  <c r="E242" i="14" s="1"/>
  <c r="N238" i="14"/>
  <c r="E238" i="14" s="1"/>
  <c r="N234" i="14"/>
  <c r="E234" i="14" s="1"/>
  <c r="N226" i="14"/>
  <c r="E226" i="14" s="1"/>
  <c r="N222" i="14"/>
  <c r="E222" i="14" s="1"/>
  <c r="N218" i="14"/>
  <c r="E218" i="14" s="1"/>
  <c r="N214" i="14"/>
  <c r="E214" i="14" s="1"/>
  <c r="N210" i="14"/>
  <c r="E210" i="14" s="1"/>
  <c r="N206" i="14"/>
  <c r="E206" i="14" s="1"/>
  <c r="N202" i="14"/>
  <c r="E202" i="14" s="1"/>
  <c r="N193" i="14"/>
  <c r="E193" i="14" s="1"/>
  <c r="N188" i="14"/>
  <c r="E188" i="14" s="1"/>
  <c r="N181" i="14"/>
  <c r="E181" i="14" s="1"/>
  <c r="N165" i="14"/>
  <c r="E165" i="14" s="1"/>
  <c r="N157" i="14"/>
  <c r="E157" i="14" s="1"/>
  <c r="N149" i="14"/>
  <c r="E149" i="14" s="1"/>
  <c r="N120" i="14"/>
  <c r="E120" i="14" s="1"/>
  <c r="N85" i="14"/>
  <c r="E85" i="14" s="1"/>
  <c r="N525" i="14"/>
  <c r="E525" i="14" s="1"/>
  <c r="N499" i="14"/>
  <c r="E499" i="14" s="1"/>
  <c r="N475" i="14"/>
  <c r="E475" i="14" s="1"/>
  <c r="N439" i="14"/>
  <c r="E439" i="14" s="1"/>
  <c r="N393" i="14"/>
  <c r="E393" i="14" s="1"/>
  <c r="N389" i="14"/>
  <c r="E389" i="14" s="1"/>
  <c r="N385" i="14"/>
  <c r="E385" i="14" s="1"/>
  <c r="N381" i="14"/>
  <c r="E381" i="14" s="1"/>
  <c r="N357" i="14"/>
  <c r="E357" i="14" s="1"/>
  <c r="N353" i="14"/>
  <c r="E353" i="14" s="1"/>
  <c r="N349" i="14"/>
  <c r="E349" i="14" s="1"/>
  <c r="N345" i="14"/>
  <c r="E345" i="14" s="1"/>
  <c r="N341" i="14"/>
  <c r="E341" i="14" s="1"/>
  <c r="N337" i="14"/>
  <c r="E337" i="14" s="1"/>
  <c r="N333" i="14"/>
  <c r="E333" i="14" s="1"/>
  <c r="N325" i="14"/>
  <c r="E325" i="14" s="1"/>
  <c r="N321" i="14"/>
  <c r="E321" i="14" s="1"/>
  <c r="N317" i="14"/>
  <c r="E317" i="14" s="1"/>
  <c r="N313" i="14"/>
  <c r="E313" i="14" s="1"/>
  <c r="N309" i="14"/>
  <c r="E309" i="14" s="1"/>
  <c r="N305" i="14"/>
  <c r="E305" i="14" s="1"/>
  <c r="N301" i="14"/>
  <c r="E301" i="14" s="1"/>
  <c r="N121" i="14"/>
  <c r="E121" i="14" s="1"/>
  <c r="N117" i="14"/>
  <c r="E117" i="14" s="1"/>
  <c r="N94" i="14"/>
  <c r="E94" i="14" s="1"/>
  <c r="N90" i="14"/>
  <c r="E90" i="14" s="1"/>
  <c r="N86" i="14"/>
  <c r="E86" i="14" s="1"/>
  <c r="N82" i="14"/>
  <c r="E82" i="14" s="1"/>
  <c r="N78" i="14"/>
  <c r="E78" i="14" s="1"/>
  <c r="N74" i="14"/>
  <c r="E74" i="14" s="1"/>
  <c r="N70" i="14"/>
  <c r="E70" i="14" s="1"/>
  <c r="N66" i="14"/>
  <c r="E66" i="14" s="1"/>
  <c r="N62" i="14"/>
  <c r="E62" i="14" s="1"/>
  <c r="N58" i="14"/>
  <c r="E58" i="14" s="1"/>
  <c r="N54" i="14"/>
  <c r="E54" i="14" s="1"/>
  <c r="N50" i="14"/>
  <c r="E50" i="14" s="1"/>
  <c r="N552" i="14"/>
  <c r="E552" i="14" s="1"/>
  <c r="N548" i="14"/>
  <c r="E548" i="14" s="1"/>
  <c r="N544" i="14"/>
  <c r="E544" i="14" s="1"/>
  <c r="N540" i="14"/>
  <c r="E540" i="14" s="1"/>
  <c r="N512" i="14"/>
  <c r="E512" i="14" s="1"/>
  <c r="N508" i="14"/>
  <c r="E508" i="14" s="1"/>
  <c r="N504" i="14"/>
  <c r="E504" i="14" s="1"/>
  <c r="N500" i="14"/>
  <c r="E500" i="14" s="1"/>
  <c r="N496" i="14"/>
  <c r="E496" i="14" s="1"/>
  <c r="N492" i="14"/>
  <c r="E492" i="14" s="1"/>
  <c r="N472" i="14"/>
  <c r="E472" i="14" s="1"/>
  <c r="N468" i="14"/>
  <c r="E468" i="14" s="1"/>
  <c r="N464" i="14"/>
  <c r="E464" i="14" s="1"/>
  <c r="N460" i="14"/>
  <c r="E460" i="14" s="1"/>
  <c r="N551" i="14"/>
  <c r="E551" i="14" s="1"/>
  <c r="N33" i="14"/>
  <c r="E33" i="14" s="1"/>
  <c r="N391" i="14"/>
  <c r="E391" i="14" s="1"/>
  <c r="N387" i="14"/>
  <c r="E387" i="14" s="1"/>
  <c r="N383" i="14"/>
  <c r="E383" i="14" s="1"/>
  <c r="N379" i="14"/>
  <c r="E379" i="14" s="1"/>
  <c r="N355" i="14"/>
  <c r="E355" i="14" s="1"/>
  <c r="N351" i="14"/>
  <c r="E351" i="14" s="1"/>
  <c r="N347" i="14"/>
  <c r="E347" i="14" s="1"/>
  <c r="N343" i="14"/>
  <c r="E343" i="14" s="1"/>
  <c r="N339" i="14"/>
  <c r="E339" i="14" s="1"/>
  <c r="N335" i="14"/>
  <c r="E335" i="14" s="1"/>
  <c r="N331" i="14"/>
  <c r="E331" i="14" s="1"/>
  <c r="N323" i="14"/>
  <c r="E323" i="14" s="1"/>
  <c r="N319" i="14"/>
  <c r="E319" i="14" s="1"/>
  <c r="N315" i="14"/>
  <c r="E315" i="14" s="1"/>
  <c r="N311" i="14"/>
  <c r="E311" i="14" s="1"/>
  <c r="N307" i="14"/>
  <c r="E307" i="14" s="1"/>
  <c r="N303" i="14"/>
  <c r="E303" i="14" s="1"/>
  <c r="N299" i="14"/>
  <c r="E299" i="14" s="1"/>
  <c r="N119" i="14"/>
  <c r="E119" i="14" s="1"/>
  <c r="N115" i="14"/>
  <c r="E115" i="14" s="1"/>
  <c r="N92" i="14"/>
  <c r="E92" i="14" s="1"/>
  <c r="N88" i="14"/>
  <c r="E88" i="14" s="1"/>
  <c r="N84" i="14"/>
  <c r="E84" i="14" s="1"/>
  <c r="N80" i="14"/>
  <c r="E80" i="14" s="1"/>
  <c r="N76" i="14"/>
  <c r="E76" i="14" s="1"/>
  <c r="N72" i="14"/>
  <c r="E72" i="14" s="1"/>
  <c r="N68" i="14"/>
  <c r="E68" i="14" s="1"/>
  <c r="N64" i="14"/>
  <c r="E64" i="14" s="1"/>
  <c r="N60" i="14"/>
  <c r="E60" i="14" s="1"/>
  <c r="N56" i="14"/>
  <c r="E56" i="14" s="1"/>
  <c r="N52" i="14"/>
  <c r="E52" i="14" s="1"/>
  <c r="N550" i="14"/>
  <c r="E550" i="14" s="1"/>
  <c r="N546" i="14"/>
  <c r="E546" i="14" s="1"/>
  <c r="N542" i="14"/>
  <c r="E542" i="14" s="1"/>
  <c r="N538" i="14"/>
  <c r="E538" i="14" s="1"/>
  <c r="N510" i="14"/>
  <c r="E510" i="14" s="1"/>
  <c r="N506" i="14"/>
  <c r="E506" i="14" s="1"/>
  <c r="N502" i="14"/>
  <c r="E502" i="14" s="1"/>
  <c r="N498" i="14"/>
  <c r="E498" i="14" s="1"/>
  <c r="N494" i="14"/>
  <c r="E494" i="14" s="1"/>
  <c r="N490" i="14"/>
  <c r="E490" i="14" s="1"/>
  <c r="N470" i="14"/>
  <c r="E470" i="14" s="1"/>
  <c r="N466" i="14"/>
  <c r="E466" i="14" s="1"/>
  <c r="N462" i="14"/>
  <c r="E462" i="14" s="1"/>
  <c r="N458" i="14"/>
  <c r="E458" i="14" s="1"/>
  <c r="N547" i="14"/>
  <c r="E547" i="14" s="1"/>
  <c r="N21" i="14"/>
  <c r="E21" i="14" s="1"/>
  <c r="N390" i="14"/>
  <c r="E390" i="14" s="1"/>
  <c r="N382" i="14"/>
  <c r="E382" i="14" s="1"/>
  <c r="N354" i="14"/>
  <c r="E354" i="14" s="1"/>
  <c r="N350" i="14"/>
  <c r="E350" i="14" s="1"/>
  <c r="N346" i="14"/>
  <c r="E346" i="14" s="1"/>
  <c r="N342" i="14"/>
  <c r="E342" i="14" s="1"/>
  <c r="N338" i="14"/>
  <c r="E338" i="14" s="1"/>
  <c r="N334" i="14"/>
  <c r="E334" i="14" s="1"/>
  <c r="N330" i="14"/>
  <c r="E330" i="14" s="1"/>
  <c r="N322" i="14"/>
  <c r="E322" i="14" s="1"/>
  <c r="N318" i="14"/>
  <c r="E318" i="14" s="1"/>
  <c r="N314" i="14"/>
  <c r="E314" i="14" s="1"/>
  <c r="N310" i="14"/>
  <c r="E310" i="14" s="1"/>
  <c r="N306" i="14"/>
  <c r="E306" i="14" s="1"/>
  <c r="N302" i="14"/>
  <c r="E302" i="14" s="1"/>
  <c r="N298" i="14"/>
  <c r="E298" i="14" s="1"/>
  <c r="N118" i="14"/>
  <c r="E118" i="14" s="1"/>
  <c r="N91" i="14"/>
  <c r="E91" i="14" s="1"/>
  <c r="N87" i="14"/>
  <c r="E87" i="14" s="1"/>
  <c r="N83" i="14"/>
  <c r="E83" i="14" s="1"/>
  <c r="N67" i="14"/>
  <c r="E67" i="14" s="1"/>
  <c r="N63" i="14"/>
  <c r="E63" i="14" s="1"/>
  <c r="N549" i="14"/>
  <c r="E549" i="14" s="1"/>
  <c r="N541" i="14"/>
  <c r="E541" i="14" s="1"/>
  <c r="N509" i="14"/>
  <c r="E509" i="14" s="1"/>
  <c r="N501" i="14"/>
  <c r="E501" i="14" s="1"/>
  <c r="N493" i="14"/>
  <c r="E493" i="14" s="1"/>
  <c r="N469" i="14"/>
  <c r="E469" i="14" s="1"/>
  <c r="N461" i="14"/>
  <c r="E461" i="14" s="1"/>
  <c r="N25" i="14"/>
  <c r="E25" i="14" s="1"/>
  <c r="N17" i="14"/>
  <c r="E17" i="14" s="1"/>
  <c r="N34" i="14"/>
  <c r="E34" i="14" s="1"/>
  <c r="N30" i="14"/>
  <c r="E30" i="14" s="1"/>
  <c r="N26" i="14"/>
  <c r="E26" i="14" s="1"/>
  <c r="N22" i="14"/>
  <c r="E22" i="14" s="1"/>
  <c r="N18" i="14"/>
  <c r="E18" i="14" s="1"/>
  <c r="N14" i="14"/>
  <c r="E14" i="14" s="1"/>
  <c r="N29" i="14"/>
  <c r="E29" i="14" s="1"/>
  <c r="N13" i="14"/>
  <c r="E13" i="14" s="1"/>
  <c r="N32" i="14"/>
  <c r="E32" i="14" s="1"/>
  <c r="N28" i="14"/>
  <c r="E28" i="14" s="1"/>
  <c r="N24" i="14"/>
  <c r="E24" i="14" s="1"/>
  <c r="N20" i="14"/>
  <c r="E20" i="14" s="1"/>
  <c r="N16" i="14"/>
  <c r="E16" i="14" s="1"/>
  <c r="N31" i="14"/>
  <c r="E31" i="14" s="1"/>
  <c r="N27" i="14"/>
  <c r="E27" i="14" s="1"/>
  <c r="AJ176" i="14"/>
  <c r="AJ181" i="14"/>
  <c r="AJ173" i="14"/>
  <c r="AJ179" i="14"/>
  <c r="AJ175" i="14"/>
  <c r="AF88" i="15" l="1"/>
  <c r="J28" i="15"/>
  <c r="J32" i="15"/>
  <c r="J29" i="15"/>
  <c r="J33" i="15"/>
  <c r="J34" i="15"/>
  <c r="J27" i="15"/>
  <c r="J31" i="15"/>
  <c r="J30" i="15"/>
  <c r="N529" i="14"/>
  <c r="E529" i="14" s="1"/>
  <c r="N533" i="14"/>
  <c r="E533" i="14" s="1"/>
  <c r="N535" i="14"/>
  <c r="E535" i="14" s="1"/>
  <c r="N530" i="14"/>
  <c r="E530" i="14" s="1"/>
  <c r="N534" i="14"/>
  <c r="E534" i="14" s="1"/>
  <c r="N532" i="14"/>
  <c r="E532" i="14" s="1"/>
  <c r="N536" i="14"/>
  <c r="E536" i="14" s="1"/>
  <c r="N531" i="14"/>
  <c r="E531" i="14" s="1"/>
  <c r="N449" i="14"/>
  <c r="E449" i="14" s="1"/>
  <c r="N453" i="14"/>
  <c r="E453" i="14" s="1"/>
  <c r="N451" i="14"/>
  <c r="E451" i="14" s="1"/>
  <c r="N450" i="14"/>
  <c r="E450" i="14" s="1"/>
  <c r="N454" i="14"/>
  <c r="E454" i="14" s="1"/>
  <c r="N455" i="14"/>
  <c r="E455" i="14" s="1"/>
  <c r="N452" i="14"/>
  <c r="E452" i="14" s="1"/>
  <c r="N456" i="14"/>
  <c r="E456" i="14" s="1"/>
  <c r="C166" i="1" l="1"/>
  <c r="C167" i="1" s="1"/>
  <c r="C155" i="1"/>
  <c r="C156" i="1" s="1"/>
  <c r="C144" i="1"/>
  <c r="C145" i="1" s="1"/>
  <c r="C134" i="1"/>
  <c r="C135" i="1" s="1"/>
  <c r="C136" i="1" s="1"/>
  <c r="AH193" i="14"/>
  <c r="AH189" i="14"/>
  <c r="AH191" i="14"/>
  <c r="W198" i="14"/>
  <c r="AE197" i="14"/>
  <c r="AD197" i="14"/>
  <c r="AC197" i="14"/>
  <c r="AB197" i="14"/>
  <c r="AA197" i="14"/>
  <c r="Z197" i="14"/>
  <c r="Y197" i="14"/>
  <c r="X197" i="14"/>
  <c r="W197" i="14"/>
  <c r="AE194" i="14"/>
  <c r="AD194" i="14"/>
  <c r="AC194" i="14"/>
  <c r="AB194" i="14"/>
  <c r="AA194" i="14"/>
  <c r="Z194" i="14"/>
  <c r="Y194" i="14"/>
  <c r="X194" i="14"/>
  <c r="W194" i="14"/>
  <c r="AE193" i="14"/>
  <c r="AD193" i="14"/>
  <c r="AC193" i="14"/>
  <c r="AB193" i="14"/>
  <c r="AA193" i="14"/>
  <c r="Z193" i="14"/>
  <c r="Y193" i="14"/>
  <c r="X193" i="14"/>
  <c r="W193" i="14"/>
  <c r="AE190" i="14"/>
  <c r="AD190" i="14"/>
  <c r="AC190" i="14"/>
  <c r="AB190" i="14"/>
  <c r="AA190" i="14"/>
  <c r="Z190" i="14"/>
  <c r="Y190" i="14"/>
  <c r="X190" i="14"/>
  <c r="W190" i="14"/>
  <c r="AE189" i="14"/>
  <c r="AD189" i="14"/>
  <c r="AC189" i="14"/>
  <c r="AB189" i="14"/>
  <c r="AA189" i="14"/>
  <c r="Z189" i="14"/>
  <c r="Y189" i="14"/>
  <c r="X189" i="14"/>
  <c r="W189" i="14"/>
  <c r="AH197" i="14"/>
  <c r="AE186" i="14"/>
  <c r="AD186" i="14"/>
  <c r="AC186" i="14"/>
  <c r="AB186" i="14"/>
  <c r="AA186" i="14"/>
  <c r="Z186" i="14"/>
  <c r="Y186" i="14"/>
  <c r="X186" i="14"/>
  <c r="W186" i="14"/>
  <c r="AH185" i="14"/>
  <c r="AE185" i="14"/>
  <c r="AD185" i="14"/>
  <c r="AC185" i="14"/>
  <c r="AB185" i="14"/>
  <c r="AA185" i="14"/>
  <c r="Z185" i="14"/>
  <c r="Y185" i="14"/>
  <c r="X185" i="14"/>
  <c r="W185" i="14"/>
  <c r="A113" i="1"/>
  <c r="B107" i="1"/>
  <c r="B108" i="1" s="1"/>
  <c r="C107" i="1"/>
  <c r="C108" i="1" s="1"/>
  <c r="B109" i="1"/>
  <c r="B110" i="1" s="1"/>
  <c r="C109" i="1"/>
  <c r="C110" i="1" s="1"/>
  <c r="B111" i="1"/>
  <c r="B112" i="1" s="1"/>
  <c r="C111" i="1"/>
  <c r="C112" i="1" s="1"/>
  <c r="C124" i="1"/>
  <c r="C125" i="1" s="1"/>
  <c r="C126" i="1" s="1"/>
  <c r="C127" i="1" s="1"/>
  <c r="C128" i="1" s="1"/>
  <c r="C129" i="1" s="1"/>
  <c r="C130" i="1" s="1"/>
  <c r="C131" i="1" s="1"/>
  <c r="B131" i="1" s="1"/>
  <c r="W126" i="14"/>
  <c r="W125" i="14"/>
  <c r="AH124" i="14"/>
  <c r="AH244" i="14"/>
  <c r="AH243" i="14"/>
  <c r="AH242" i="14"/>
  <c r="AH240" i="14"/>
  <c r="AH239" i="14"/>
  <c r="AH238" i="14"/>
  <c r="AH234" i="14"/>
  <c r="AH231" i="14"/>
  <c r="AH228" i="14"/>
  <c r="AH225" i="14"/>
  <c r="AE235" i="14"/>
  <c r="AD235" i="14"/>
  <c r="AC235" i="14"/>
  <c r="AB235" i="14"/>
  <c r="AA235" i="14"/>
  <c r="Z235" i="14"/>
  <c r="Y235" i="14"/>
  <c r="X235" i="14"/>
  <c r="W235" i="14"/>
  <c r="AE234" i="14"/>
  <c r="AD234" i="14"/>
  <c r="AC234" i="14"/>
  <c r="AB234" i="14"/>
  <c r="AA234" i="14"/>
  <c r="Z234" i="14"/>
  <c r="Y234" i="14"/>
  <c r="X234" i="14"/>
  <c r="W234" i="14"/>
  <c r="AE232" i="14"/>
  <c r="AD232" i="14"/>
  <c r="AC232" i="14"/>
  <c r="AB232" i="14"/>
  <c r="AA232" i="14"/>
  <c r="Z232" i="14"/>
  <c r="Y232" i="14"/>
  <c r="X232" i="14"/>
  <c r="W232" i="14"/>
  <c r="AE231" i="14"/>
  <c r="AD231" i="14"/>
  <c r="AC231" i="14"/>
  <c r="AB231" i="14"/>
  <c r="AA231" i="14"/>
  <c r="Z231" i="14"/>
  <c r="Y231" i="14"/>
  <c r="X231" i="14"/>
  <c r="W231" i="14"/>
  <c r="AE229" i="14"/>
  <c r="AD229" i="14"/>
  <c r="AC229" i="14"/>
  <c r="AB229" i="14"/>
  <c r="AA229" i="14"/>
  <c r="Z229" i="14"/>
  <c r="Y229" i="14"/>
  <c r="X229" i="14"/>
  <c r="W229" i="14"/>
  <c r="AE228" i="14"/>
  <c r="AD228" i="14"/>
  <c r="AC228" i="14"/>
  <c r="AB228" i="14"/>
  <c r="AA228" i="14"/>
  <c r="Z228" i="14"/>
  <c r="Y228" i="14"/>
  <c r="X228" i="14"/>
  <c r="W228" i="14"/>
  <c r="W226" i="14"/>
  <c r="AE225" i="14"/>
  <c r="AD225" i="14"/>
  <c r="AC225" i="14"/>
  <c r="AB225" i="14"/>
  <c r="AA225" i="14"/>
  <c r="Z225" i="14"/>
  <c r="Y225" i="14"/>
  <c r="X225" i="14"/>
  <c r="W225" i="14"/>
  <c r="W244" i="14"/>
  <c r="W243" i="14"/>
  <c r="W242" i="14"/>
  <c r="W240" i="14"/>
  <c r="W239" i="14"/>
  <c r="AH222" i="14"/>
  <c r="AH219" i="14"/>
  <c r="AH215" i="14"/>
  <c r="AH211" i="14"/>
  <c r="W238" i="14"/>
  <c r="AE223" i="14"/>
  <c r="AD223" i="14"/>
  <c r="AC223" i="14"/>
  <c r="AB223" i="14"/>
  <c r="AA223" i="14"/>
  <c r="Z223" i="14"/>
  <c r="Y223" i="14"/>
  <c r="X223" i="14"/>
  <c r="W223" i="14"/>
  <c r="AE222" i="14"/>
  <c r="AD222" i="14"/>
  <c r="AC222" i="14"/>
  <c r="AB222" i="14"/>
  <c r="AA222" i="14"/>
  <c r="Z222" i="14"/>
  <c r="Y222" i="14"/>
  <c r="X222" i="14"/>
  <c r="W222" i="14"/>
  <c r="W220" i="14"/>
  <c r="AE219" i="14"/>
  <c r="AD219" i="14"/>
  <c r="AC219" i="14"/>
  <c r="AB219" i="14"/>
  <c r="AA219" i="14"/>
  <c r="Z219" i="14"/>
  <c r="Y219" i="14"/>
  <c r="X219" i="14"/>
  <c r="W219" i="14"/>
  <c r="AE217" i="14"/>
  <c r="AD217" i="14"/>
  <c r="AC217" i="14"/>
  <c r="AB217" i="14"/>
  <c r="AA217" i="14"/>
  <c r="Z217" i="14"/>
  <c r="Y217" i="14"/>
  <c r="X217" i="14"/>
  <c r="W217" i="14"/>
  <c r="AE216" i="14"/>
  <c r="AD216" i="14"/>
  <c r="AC216" i="14"/>
  <c r="AB216" i="14"/>
  <c r="AA216" i="14"/>
  <c r="Z216" i="14"/>
  <c r="Y216" i="14"/>
  <c r="X216" i="14"/>
  <c r="W216" i="14"/>
  <c r="AE215" i="14"/>
  <c r="AD215" i="14"/>
  <c r="AC215" i="14"/>
  <c r="AB215" i="14"/>
  <c r="AA215" i="14"/>
  <c r="Z215" i="14"/>
  <c r="Y215" i="14"/>
  <c r="X215" i="14"/>
  <c r="W215" i="14"/>
  <c r="AE213" i="14"/>
  <c r="AD213" i="14"/>
  <c r="AC213" i="14"/>
  <c r="AB213" i="14"/>
  <c r="AA213" i="14"/>
  <c r="Z213" i="14"/>
  <c r="Y213" i="14"/>
  <c r="X213" i="14"/>
  <c r="W213" i="14"/>
  <c r="AE212" i="14"/>
  <c r="AD212" i="14"/>
  <c r="AC212" i="14"/>
  <c r="AB212" i="14"/>
  <c r="AA212" i="14"/>
  <c r="Z212" i="14"/>
  <c r="Y212" i="14"/>
  <c r="X212" i="14"/>
  <c r="W212" i="14"/>
  <c r="AE211" i="14"/>
  <c r="AD211" i="14"/>
  <c r="AC211" i="14"/>
  <c r="AB211" i="14"/>
  <c r="AA211" i="14"/>
  <c r="Z211" i="14"/>
  <c r="Y211" i="14"/>
  <c r="X211" i="14"/>
  <c r="W211" i="14"/>
  <c r="G106" i="14"/>
  <c r="D106" i="14"/>
  <c r="C106" i="14"/>
  <c r="B106" i="14"/>
  <c r="N106" i="14" s="1"/>
  <c r="E106" i="14" s="1"/>
  <c r="J96" i="14"/>
  <c r="I96" i="14"/>
  <c r="H96" i="14"/>
  <c r="G47" i="14"/>
  <c r="D47" i="14"/>
  <c r="C47" i="14"/>
  <c r="B47" i="14"/>
  <c r="N47" i="14" s="1"/>
  <c r="E47" i="14" s="1"/>
  <c r="J37" i="14"/>
  <c r="I37" i="14"/>
  <c r="H37" i="14"/>
  <c r="H48" i="14" s="1"/>
  <c r="G11" i="14"/>
  <c r="C11" i="14"/>
  <c r="D11" i="14"/>
  <c r="B11" i="14"/>
  <c r="J1" i="14"/>
  <c r="I1" i="14"/>
  <c r="H1" i="14"/>
  <c r="H12" i="14" s="1"/>
  <c r="AH181" i="14"/>
  <c r="AH178" i="14"/>
  <c r="AH175" i="14"/>
  <c r="AH167" i="14"/>
  <c r="AH161" i="14"/>
  <c r="AH155" i="14"/>
  <c r="AH149" i="14"/>
  <c r="AH135" i="14"/>
  <c r="AH139" i="14"/>
  <c r="AH143" i="14"/>
  <c r="X131" i="14"/>
  <c r="Y131" i="14"/>
  <c r="Z131" i="14"/>
  <c r="AA131" i="14"/>
  <c r="AB131" i="14"/>
  <c r="AC131" i="14"/>
  <c r="AD131" i="14"/>
  <c r="AE131" i="14"/>
  <c r="W132" i="14"/>
  <c r="X132" i="14"/>
  <c r="Y132" i="14"/>
  <c r="Z132" i="14"/>
  <c r="AA132" i="14"/>
  <c r="AB132" i="14"/>
  <c r="AC132" i="14"/>
  <c r="AD132" i="14"/>
  <c r="AE132" i="14"/>
  <c r="W169" i="14"/>
  <c r="AE163" i="14"/>
  <c r="AD163" i="14"/>
  <c r="AC163" i="14"/>
  <c r="AB163" i="14"/>
  <c r="AA163" i="14"/>
  <c r="Z163" i="14"/>
  <c r="Y163" i="14"/>
  <c r="X163" i="14"/>
  <c r="W163" i="14"/>
  <c r="AE157" i="14"/>
  <c r="AD157" i="14"/>
  <c r="AC157" i="14"/>
  <c r="AB157" i="14"/>
  <c r="AA157" i="14"/>
  <c r="Z157" i="14"/>
  <c r="Y157" i="14"/>
  <c r="X157" i="14"/>
  <c r="W157" i="14"/>
  <c r="AE151" i="14"/>
  <c r="AD151" i="14"/>
  <c r="AC151" i="14"/>
  <c r="AB151" i="14"/>
  <c r="AA151" i="14"/>
  <c r="Z151" i="14"/>
  <c r="Y151" i="14"/>
  <c r="X151" i="14"/>
  <c r="W151" i="14"/>
  <c r="W168" i="14"/>
  <c r="AE167" i="14"/>
  <c r="AD167" i="14"/>
  <c r="AC167" i="14"/>
  <c r="AB167" i="14"/>
  <c r="AA167" i="14"/>
  <c r="Z167" i="14"/>
  <c r="Y167" i="14"/>
  <c r="X167" i="14"/>
  <c r="AE162" i="14"/>
  <c r="AD162" i="14"/>
  <c r="AC162" i="14"/>
  <c r="AB162" i="14"/>
  <c r="AA162" i="14"/>
  <c r="Z162" i="14"/>
  <c r="Y162" i="14"/>
  <c r="X162" i="14"/>
  <c r="W162" i="14"/>
  <c r="AE161" i="14"/>
  <c r="AD161" i="14"/>
  <c r="AC161" i="14"/>
  <c r="AB161" i="14"/>
  <c r="AA161" i="14"/>
  <c r="Z161" i="14"/>
  <c r="Y161" i="14"/>
  <c r="X161" i="14"/>
  <c r="AE156" i="14"/>
  <c r="AD156" i="14"/>
  <c r="AC156" i="14"/>
  <c r="AB156" i="14"/>
  <c r="AA156" i="14"/>
  <c r="Z156" i="14"/>
  <c r="Y156" i="14"/>
  <c r="X156" i="14"/>
  <c r="W156" i="14"/>
  <c r="AE155" i="14"/>
  <c r="AD155" i="14"/>
  <c r="AC155" i="14"/>
  <c r="AB155" i="14"/>
  <c r="AA155" i="14"/>
  <c r="Z155" i="14"/>
  <c r="Y155" i="14"/>
  <c r="X155" i="14"/>
  <c r="AE150" i="14"/>
  <c r="AE152" i="14" s="1"/>
  <c r="AD150" i="14"/>
  <c r="AC150" i="14"/>
  <c r="AC152" i="14" s="1"/>
  <c r="AB150" i="14"/>
  <c r="AA150" i="14"/>
  <c r="AA152" i="14" s="1"/>
  <c r="Z150" i="14"/>
  <c r="Y150" i="14"/>
  <c r="Y152" i="14" s="1"/>
  <c r="X150" i="14"/>
  <c r="W150" i="14"/>
  <c r="W152" i="14" s="1"/>
  <c r="AE149" i="14"/>
  <c r="AD149" i="14"/>
  <c r="AC149" i="14"/>
  <c r="AB149" i="14"/>
  <c r="AA149" i="14"/>
  <c r="Z149" i="14"/>
  <c r="Y149" i="14"/>
  <c r="X149" i="14"/>
  <c r="AH112" i="14"/>
  <c r="AH109" i="14"/>
  <c r="AH106" i="14"/>
  <c r="AE135" i="14"/>
  <c r="AD135" i="14"/>
  <c r="AC135" i="14"/>
  <c r="AB135" i="14"/>
  <c r="AA135" i="14"/>
  <c r="Z135" i="14"/>
  <c r="Y135" i="14"/>
  <c r="X135" i="14"/>
  <c r="AE139" i="14"/>
  <c r="AD139" i="14"/>
  <c r="AC139" i="14"/>
  <c r="AB139" i="14"/>
  <c r="AA139" i="14"/>
  <c r="Z139" i="14"/>
  <c r="Y139" i="14"/>
  <c r="X139" i="14"/>
  <c r="Y143" i="14"/>
  <c r="Z143" i="14"/>
  <c r="AA143" i="14"/>
  <c r="AB143" i="14"/>
  <c r="AC143" i="14"/>
  <c r="AD143" i="14"/>
  <c r="AE143" i="14"/>
  <c r="X143" i="14"/>
  <c r="AE140" i="14"/>
  <c r="AD140" i="14"/>
  <c r="AC140" i="14"/>
  <c r="AB140" i="14"/>
  <c r="AA140" i="14"/>
  <c r="Z140" i="14"/>
  <c r="Y140" i="14"/>
  <c r="X140" i="14"/>
  <c r="X141" i="14" s="1"/>
  <c r="AE136" i="14"/>
  <c r="AD136" i="14"/>
  <c r="AC136" i="14"/>
  <c r="AB136" i="14"/>
  <c r="AA136" i="14"/>
  <c r="Z136" i="14"/>
  <c r="Y136" i="14"/>
  <c r="X136" i="14"/>
  <c r="W144" i="14"/>
  <c r="W140" i="14"/>
  <c r="W136" i="14"/>
  <c r="X124" i="14"/>
  <c r="Y124" i="14"/>
  <c r="Z124" i="14"/>
  <c r="AA124" i="14"/>
  <c r="AB124" i="14"/>
  <c r="AC124" i="14"/>
  <c r="AD124" i="14"/>
  <c r="AE124" i="14"/>
  <c r="B134" i="1" l="1"/>
  <c r="O11" i="14"/>
  <c r="N11" i="14"/>
  <c r="E11" i="14" s="1"/>
  <c r="AD187" i="14"/>
  <c r="X187" i="14"/>
  <c r="AB187" i="14"/>
  <c r="Z187" i="14"/>
  <c r="W187" i="14"/>
  <c r="B145" i="1"/>
  <c r="C146" i="1"/>
  <c r="C147" i="1" s="1"/>
  <c r="B147" i="1" s="1"/>
  <c r="C132" i="1"/>
  <c r="B132" i="1" s="1"/>
  <c r="B144" i="1"/>
  <c r="B167" i="1"/>
  <c r="C168" i="1"/>
  <c r="B166" i="1"/>
  <c r="C157" i="1"/>
  <c r="B156" i="1"/>
  <c r="B155" i="1"/>
  <c r="C137" i="1"/>
  <c r="B136" i="1"/>
  <c r="B135" i="1"/>
  <c r="A112" i="1"/>
  <c r="B127" i="1"/>
  <c r="A108" i="1"/>
  <c r="A110" i="1"/>
  <c r="B124" i="1"/>
  <c r="W195" i="14"/>
  <c r="AA195" i="14"/>
  <c r="AE195" i="14"/>
  <c r="X191" i="14"/>
  <c r="AB191" i="14"/>
  <c r="Z195" i="14"/>
  <c r="AD195" i="14"/>
  <c r="Y187" i="14"/>
  <c r="AC187" i="14"/>
  <c r="AA187" i="14"/>
  <c r="AE187" i="14"/>
  <c r="Z191" i="14"/>
  <c r="AD191" i="14"/>
  <c r="X195" i="14"/>
  <c r="AB195" i="14"/>
  <c r="W191" i="14"/>
  <c r="AA191" i="14"/>
  <c r="AE191" i="14"/>
  <c r="W199" i="14"/>
  <c r="Y195" i="14"/>
  <c r="AC195" i="14"/>
  <c r="Y191" i="14"/>
  <c r="AC191" i="14"/>
  <c r="B128" i="1"/>
  <c r="B130" i="1"/>
  <c r="B126" i="1"/>
  <c r="B129" i="1"/>
  <c r="B125" i="1"/>
  <c r="A111" i="1"/>
  <c r="A107" i="1"/>
  <c r="A109" i="1"/>
  <c r="X233" i="14"/>
  <c r="Z236" i="14"/>
  <c r="AD236" i="14"/>
  <c r="W124" i="14"/>
  <c r="Y224" i="14"/>
  <c r="AC224" i="14"/>
  <c r="AA230" i="14"/>
  <c r="AE230" i="14"/>
  <c r="Y233" i="14"/>
  <c r="AC233" i="14"/>
  <c r="AA236" i="14"/>
  <c r="AE236" i="14"/>
  <c r="X125" i="14"/>
  <c r="X214" i="14"/>
  <c r="Y218" i="14"/>
  <c r="W214" i="14"/>
  <c r="AA214" i="14"/>
  <c r="AE214" i="14"/>
  <c r="X218" i="14"/>
  <c r="AB218" i="14"/>
  <c r="AA224" i="14"/>
  <c r="AE224" i="14"/>
  <c r="Y230" i="14"/>
  <c r="AC230" i="14"/>
  <c r="AA233" i="14"/>
  <c r="AE233" i="14"/>
  <c r="Y236" i="14"/>
  <c r="AC236" i="14"/>
  <c r="Y214" i="14"/>
  <c r="AC214" i="14"/>
  <c r="Z218" i="14"/>
  <c r="AD218" i="14"/>
  <c r="Z214" i="14"/>
  <c r="AD214" i="14"/>
  <c r="W218" i="14"/>
  <c r="W221" i="14" s="1"/>
  <c r="W224" i="14" s="1"/>
  <c r="W227" i="14" s="1"/>
  <c r="W230" i="14" s="1"/>
  <c r="W233" i="14" s="1"/>
  <c r="W236" i="14" s="1"/>
  <c r="AA218" i="14"/>
  <c r="AE218" i="14"/>
  <c r="Z224" i="14"/>
  <c r="AD224" i="14"/>
  <c r="X230" i="14"/>
  <c r="AB230" i="14"/>
  <c r="Z233" i="14"/>
  <c r="AD233" i="14"/>
  <c r="AB214" i="14"/>
  <c r="AC218" i="14"/>
  <c r="AB233" i="14"/>
  <c r="X236" i="14"/>
  <c r="AB236" i="14"/>
  <c r="Z230" i="14"/>
  <c r="AD230" i="14"/>
  <c r="AD133" i="14"/>
  <c r="X224" i="14"/>
  <c r="AB224" i="14"/>
  <c r="AE133" i="14"/>
  <c r="AA133" i="14"/>
  <c r="H49" i="14"/>
  <c r="B49" i="14" s="1"/>
  <c r="B48" i="14"/>
  <c r="I48" i="14"/>
  <c r="K96" i="14"/>
  <c r="H107" i="14"/>
  <c r="K37" i="14"/>
  <c r="Z133" i="14"/>
  <c r="H13" i="14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B12" i="14"/>
  <c r="N12" i="14" s="1"/>
  <c r="E12" i="14" s="1"/>
  <c r="I12" i="14"/>
  <c r="C12" i="14" s="1"/>
  <c r="K1" i="14"/>
  <c r="AB133" i="14"/>
  <c r="X133" i="14"/>
  <c r="AC133" i="14"/>
  <c r="Y133" i="14"/>
  <c r="X152" i="14"/>
  <c r="X153" i="14" s="1"/>
  <c r="AB152" i="14"/>
  <c r="AB153" i="14" s="1"/>
  <c r="Y158" i="14"/>
  <c r="Y159" i="14" s="1"/>
  <c r="AC158" i="14"/>
  <c r="AC159" i="14" s="1"/>
  <c r="Y164" i="14"/>
  <c r="Y165" i="14" s="1"/>
  <c r="AA153" i="14"/>
  <c r="AE153" i="14"/>
  <c r="Z152" i="14"/>
  <c r="Z153" i="14" s="1"/>
  <c r="AD152" i="14"/>
  <c r="AD153" i="14" s="1"/>
  <c r="AC164" i="14"/>
  <c r="AC165" i="14" s="1"/>
  <c r="Y153" i="14"/>
  <c r="AC153" i="14"/>
  <c r="X158" i="14"/>
  <c r="X159" i="14" s="1"/>
  <c r="AB158" i="14"/>
  <c r="AB159" i="14" s="1"/>
  <c r="W164" i="14"/>
  <c r="AA164" i="14"/>
  <c r="AA165" i="14" s="1"/>
  <c r="AE164" i="14"/>
  <c r="AE165" i="14" s="1"/>
  <c r="X164" i="14"/>
  <c r="X165" i="14" s="1"/>
  <c r="AB137" i="14"/>
  <c r="Z158" i="14"/>
  <c r="Z159" i="14" s="1"/>
  <c r="AD158" i="14"/>
  <c r="AD159" i="14" s="1"/>
  <c r="AB164" i="14"/>
  <c r="AB165" i="14" s="1"/>
  <c r="W158" i="14"/>
  <c r="AA158" i="14"/>
  <c r="AA159" i="14" s="1"/>
  <c r="AE158" i="14"/>
  <c r="AE159" i="14" s="1"/>
  <c r="Z164" i="14"/>
  <c r="Z165" i="14" s="1"/>
  <c r="AD164" i="14"/>
  <c r="AD165" i="14" s="1"/>
  <c r="W170" i="14"/>
  <c r="AE141" i="14"/>
  <c r="Z141" i="14"/>
  <c r="AD141" i="14"/>
  <c r="Z137" i="14"/>
  <c r="AD137" i="14"/>
  <c r="AA137" i="14"/>
  <c r="AB141" i="14"/>
  <c r="AA141" i="14"/>
  <c r="AE137" i="14"/>
  <c r="Y141" i="14"/>
  <c r="AC141" i="14"/>
  <c r="Y137" i="14"/>
  <c r="AC137" i="14"/>
  <c r="X137" i="14"/>
  <c r="AE119" i="14"/>
  <c r="AD119" i="14"/>
  <c r="AC119" i="14"/>
  <c r="AB119" i="14"/>
  <c r="AA119" i="14"/>
  <c r="Z119" i="14"/>
  <c r="Y119" i="14"/>
  <c r="X119" i="14"/>
  <c r="W119" i="14"/>
  <c r="AE116" i="14"/>
  <c r="AD116" i="14"/>
  <c r="AC116" i="14"/>
  <c r="AB116" i="14"/>
  <c r="AA116" i="14"/>
  <c r="Z116" i="14"/>
  <c r="Y116" i="14"/>
  <c r="X116" i="14"/>
  <c r="W116" i="14"/>
  <c r="AE113" i="14"/>
  <c r="AD113" i="14"/>
  <c r="AC113" i="14"/>
  <c r="AB113" i="14"/>
  <c r="AA113" i="14"/>
  <c r="Z113" i="14"/>
  <c r="Y113" i="14"/>
  <c r="X113" i="14"/>
  <c r="W113" i="14"/>
  <c r="AE110" i="14"/>
  <c r="AD110" i="14"/>
  <c r="AC110" i="14"/>
  <c r="AB110" i="14"/>
  <c r="AA110" i="14"/>
  <c r="Z110" i="14"/>
  <c r="Y110" i="14"/>
  <c r="X110" i="14"/>
  <c r="W110" i="14"/>
  <c r="W107" i="14"/>
  <c r="Y107" i="14"/>
  <c r="Z107" i="14"/>
  <c r="AA107" i="14"/>
  <c r="AB107" i="14"/>
  <c r="AC107" i="14"/>
  <c r="AD107" i="14"/>
  <c r="AE107" i="14"/>
  <c r="X107" i="14"/>
  <c r="Y109" i="14"/>
  <c r="Y111" i="14" s="1"/>
  <c r="Z109" i="14"/>
  <c r="AA109" i="14"/>
  <c r="AB109" i="14"/>
  <c r="AC109" i="14"/>
  <c r="AC111" i="14" s="1"/>
  <c r="AD109" i="14"/>
  <c r="AE109" i="14"/>
  <c r="X109" i="14"/>
  <c r="Y106" i="14"/>
  <c r="Y108" i="14" s="1"/>
  <c r="Z106" i="14"/>
  <c r="Z108" i="14" s="1"/>
  <c r="AA106" i="14"/>
  <c r="AB106" i="14"/>
  <c r="AC106" i="14"/>
  <c r="AC108" i="14" s="1"/>
  <c r="AD106" i="14"/>
  <c r="AD108" i="14" s="1"/>
  <c r="AE106" i="14"/>
  <c r="X106" i="14"/>
  <c r="X39" i="14"/>
  <c r="U344" i="14"/>
  <c r="U345" i="14" s="1"/>
  <c r="U346" i="14" s="1"/>
  <c r="U341" i="14"/>
  <c r="U342" i="14" s="1"/>
  <c r="U343" i="14" s="1"/>
  <c r="U338" i="14"/>
  <c r="U339" i="14" s="1"/>
  <c r="U340" i="14" s="1"/>
  <c r="U335" i="14"/>
  <c r="U336" i="14" s="1"/>
  <c r="U337" i="14" s="1"/>
  <c r="U332" i="14"/>
  <c r="U333" i="14" s="1"/>
  <c r="U334" i="14" s="1"/>
  <c r="U329" i="14"/>
  <c r="U330" i="14" s="1"/>
  <c r="U331" i="14" s="1"/>
  <c r="U326" i="14"/>
  <c r="U327" i="14" s="1"/>
  <c r="U328" i="14" s="1"/>
  <c r="U323" i="14"/>
  <c r="U324" i="14" s="1"/>
  <c r="U325" i="14" s="1"/>
  <c r="U320" i="14"/>
  <c r="U321" i="14" s="1"/>
  <c r="U322" i="14" s="1"/>
  <c r="B139" i="12"/>
  <c r="G139" i="12"/>
  <c r="G140" i="12"/>
  <c r="Q196" i="12"/>
  <c r="R196" i="12"/>
  <c r="S196" i="12"/>
  <c r="T196" i="12"/>
  <c r="U196" i="12"/>
  <c r="V196" i="12"/>
  <c r="W196" i="12"/>
  <c r="X196" i="12"/>
  <c r="Y196" i="12"/>
  <c r="Z196" i="12"/>
  <c r="Q197" i="12"/>
  <c r="R197" i="12"/>
  <c r="S197" i="12"/>
  <c r="T197" i="12"/>
  <c r="U197" i="12"/>
  <c r="V197" i="12"/>
  <c r="W197" i="12"/>
  <c r="X197" i="12"/>
  <c r="Y197" i="12"/>
  <c r="Z197" i="12"/>
  <c r="Q198" i="12"/>
  <c r="R198" i="12"/>
  <c r="S198" i="12"/>
  <c r="T198" i="12"/>
  <c r="U198" i="12"/>
  <c r="V198" i="12"/>
  <c r="W198" i="12"/>
  <c r="X198" i="12"/>
  <c r="Y198" i="12"/>
  <c r="Z198" i="12"/>
  <c r="AB198" i="12"/>
  <c r="AB197" i="12"/>
  <c r="AB196" i="12"/>
  <c r="P198" i="12"/>
  <c r="P197" i="12"/>
  <c r="P196" i="12"/>
  <c r="AB194" i="12"/>
  <c r="AB193" i="12"/>
  <c r="AB192" i="12"/>
  <c r="AB190" i="12"/>
  <c r="AB189" i="12"/>
  <c r="AB188" i="12"/>
  <c r="Z194" i="12"/>
  <c r="Y194" i="12"/>
  <c r="X194" i="12"/>
  <c r="W194" i="12"/>
  <c r="V194" i="12"/>
  <c r="U194" i="12"/>
  <c r="T194" i="12"/>
  <c r="S194" i="12"/>
  <c r="R194" i="12"/>
  <c r="Q194" i="12"/>
  <c r="P194" i="12"/>
  <c r="Z193" i="12"/>
  <c r="Y193" i="12"/>
  <c r="X193" i="12"/>
  <c r="W193" i="12"/>
  <c r="V193" i="12"/>
  <c r="U193" i="12"/>
  <c r="T193" i="12"/>
  <c r="S193" i="12"/>
  <c r="R193" i="12"/>
  <c r="Q193" i="12"/>
  <c r="P193" i="12"/>
  <c r="Z192" i="12"/>
  <c r="Y192" i="12"/>
  <c r="X192" i="12"/>
  <c r="W192" i="12"/>
  <c r="V192" i="12"/>
  <c r="U192" i="12"/>
  <c r="T192" i="12"/>
  <c r="S192" i="12"/>
  <c r="R192" i="12"/>
  <c r="Q192" i="12"/>
  <c r="P192" i="12"/>
  <c r="Z190" i="12"/>
  <c r="Y190" i="12"/>
  <c r="X190" i="12"/>
  <c r="W190" i="12"/>
  <c r="V190" i="12"/>
  <c r="U190" i="12"/>
  <c r="T190" i="12"/>
  <c r="S190" i="12"/>
  <c r="R190" i="12"/>
  <c r="Q190" i="12"/>
  <c r="P190" i="12"/>
  <c r="Z189" i="12"/>
  <c r="Y189" i="12"/>
  <c r="X189" i="12"/>
  <c r="W189" i="12"/>
  <c r="V189" i="12"/>
  <c r="U189" i="12"/>
  <c r="T189" i="12"/>
  <c r="S189" i="12"/>
  <c r="R189" i="12"/>
  <c r="Q189" i="12"/>
  <c r="P189" i="12"/>
  <c r="Z188" i="12"/>
  <c r="Y188" i="12"/>
  <c r="X188" i="12"/>
  <c r="W188" i="12"/>
  <c r="V188" i="12"/>
  <c r="U188" i="12"/>
  <c r="T188" i="12"/>
  <c r="S188" i="12"/>
  <c r="R188" i="12"/>
  <c r="Q188" i="12"/>
  <c r="P188" i="12"/>
  <c r="AB186" i="12"/>
  <c r="AB185" i="12"/>
  <c r="AB184" i="12"/>
  <c r="Z186" i="12"/>
  <c r="Y186" i="12"/>
  <c r="X186" i="12"/>
  <c r="W186" i="12"/>
  <c r="V186" i="12"/>
  <c r="U186" i="12"/>
  <c r="T186" i="12"/>
  <c r="S186" i="12"/>
  <c r="R186" i="12"/>
  <c r="Q186" i="12"/>
  <c r="P186" i="12"/>
  <c r="Z185" i="12"/>
  <c r="Y185" i="12"/>
  <c r="X185" i="12"/>
  <c r="W185" i="12"/>
  <c r="V185" i="12"/>
  <c r="U185" i="12"/>
  <c r="T185" i="12"/>
  <c r="S185" i="12"/>
  <c r="R185" i="12"/>
  <c r="Q185" i="12"/>
  <c r="P185" i="12"/>
  <c r="Z184" i="12"/>
  <c r="Y184" i="12"/>
  <c r="X184" i="12"/>
  <c r="W184" i="12"/>
  <c r="V184" i="12"/>
  <c r="U184" i="12"/>
  <c r="T184" i="12"/>
  <c r="S184" i="12"/>
  <c r="R184" i="12"/>
  <c r="Q184" i="12"/>
  <c r="P184" i="12"/>
  <c r="AB182" i="12"/>
  <c r="AB181" i="12"/>
  <c r="AB180" i="12"/>
  <c r="Z182" i="12"/>
  <c r="Z181" i="12"/>
  <c r="Z180" i="12"/>
  <c r="Y182" i="12"/>
  <c r="Y181" i="12"/>
  <c r="Y180" i="12"/>
  <c r="X182" i="12"/>
  <c r="X181" i="12"/>
  <c r="X180" i="12"/>
  <c r="W182" i="12"/>
  <c r="W181" i="12"/>
  <c r="W180" i="12"/>
  <c r="V182" i="12"/>
  <c r="V181" i="12"/>
  <c r="V180" i="12"/>
  <c r="U182" i="12"/>
  <c r="U181" i="12"/>
  <c r="U180" i="12"/>
  <c r="T182" i="12"/>
  <c r="T181" i="12"/>
  <c r="T180" i="12"/>
  <c r="S182" i="12"/>
  <c r="S181" i="12"/>
  <c r="S180" i="12"/>
  <c r="R182" i="12"/>
  <c r="R181" i="12"/>
  <c r="R180" i="12"/>
  <c r="Q182" i="12"/>
  <c r="Q181" i="12"/>
  <c r="Q180" i="12"/>
  <c r="N212" i="12"/>
  <c r="P182" i="12"/>
  <c r="P181" i="12"/>
  <c r="P180" i="12"/>
  <c r="Q176" i="12"/>
  <c r="R176" i="12"/>
  <c r="S176" i="12"/>
  <c r="T176" i="12"/>
  <c r="U176" i="12"/>
  <c r="V176" i="12"/>
  <c r="W176" i="12"/>
  <c r="X176" i="12"/>
  <c r="Y176" i="12"/>
  <c r="Z176" i="12"/>
  <c r="Q177" i="12"/>
  <c r="R177" i="12"/>
  <c r="S177" i="12"/>
  <c r="T177" i="12"/>
  <c r="U177" i="12"/>
  <c r="V177" i="12"/>
  <c r="W177" i="12"/>
  <c r="X177" i="12"/>
  <c r="Y177" i="12"/>
  <c r="Z177" i="12"/>
  <c r="Q178" i="12"/>
  <c r="R178" i="12"/>
  <c r="S178" i="12"/>
  <c r="T178" i="12"/>
  <c r="U178" i="12"/>
  <c r="V178" i="12"/>
  <c r="W178" i="12"/>
  <c r="X178" i="12"/>
  <c r="Y178" i="12"/>
  <c r="Z178" i="12"/>
  <c r="P177" i="12"/>
  <c r="P178" i="12"/>
  <c r="P176" i="12"/>
  <c r="AB176" i="12"/>
  <c r="AB177" i="12"/>
  <c r="AB178" i="12"/>
  <c r="D13" i="5"/>
  <c r="D8" i="5"/>
  <c r="D2" i="5"/>
  <c r="C148" i="1" l="1"/>
  <c r="B146" i="1"/>
  <c r="M8" i="1"/>
  <c r="I8" i="1"/>
  <c r="J8" i="1"/>
  <c r="L8" i="1"/>
  <c r="H8" i="1"/>
  <c r="K8" i="1"/>
  <c r="G8" i="1"/>
  <c r="N8" i="1"/>
  <c r="J9" i="1"/>
  <c r="N9" i="1"/>
  <c r="J14" i="1"/>
  <c r="N14" i="1"/>
  <c r="J22" i="1"/>
  <c r="N22" i="1"/>
  <c r="J28" i="1"/>
  <c r="N28" i="1"/>
  <c r="J40" i="1"/>
  <c r="N40" i="1"/>
  <c r="J42" i="1"/>
  <c r="N42" i="1"/>
  <c r="J48" i="1"/>
  <c r="N48" i="1"/>
  <c r="J49" i="1"/>
  <c r="N49" i="1"/>
  <c r="J54" i="1"/>
  <c r="N54" i="1"/>
  <c r="J66" i="1"/>
  <c r="N66" i="1"/>
  <c r="J72" i="1"/>
  <c r="N72" i="1"/>
  <c r="G9" i="1"/>
  <c r="K9" i="1"/>
  <c r="G14" i="1"/>
  <c r="K14" i="1"/>
  <c r="G22" i="1"/>
  <c r="K22" i="1"/>
  <c r="G28" i="1"/>
  <c r="K28" i="1"/>
  <c r="G40" i="1"/>
  <c r="K40" i="1"/>
  <c r="G42" i="1"/>
  <c r="K42" i="1"/>
  <c r="G48" i="1"/>
  <c r="K48" i="1"/>
  <c r="G49" i="1"/>
  <c r="K49" i="1"/>
  <c r="G54" i="1"/>
  <c r="K54" i="1"/>
  <c r="G66" i="1"/>
  <c r="K66" i="1"/>
  <c r="G72" i="1"/>
  <c r="K72" i="1"/>
  <c r="I9" i="1"/>
  <c r="M9" i="1"/>
  <c r="I14" i="1"/>
  <c r="M14" i="1"/>
  <c r="I22" i="1"/>
  <c r="M22" i="1"/>
  <c r="I28" i="1"/>
  <c r="M28" i="1"/>
  <c r="I40" i="1"/>
  <c r="M40" i="1"/>
  <c r="I42" i="1"/>
  <c r="M42" i="1"/>
  <c r="I48" i="1"/>
  <c r="M48" i="1"/>
  <c r="I49" i="1"/>
  <c r="M49" i="1"/>
  <c r="I54" i="1"/>
  <c r="M54" i="1"/>
  <c r="I66" i="1"/>
  <c r="M66" i="1"/>
  <c r="I72" i="1"/>
  <c r="M72" i="1"/>
  <c r="H9" i="1"/>
  <c r="H14" i="1"/>
  <c r="H40" i="1"/>
  <c r="H48" i="1"/>
  <c r="H66" i="1"/>
  <c r="H22" i="1"/>
  <c r="L9" i="1"/>
  <c r="L14" i="1"/>
  <c r="L40" i="1"/>
  <c r="L48" i="1"/>
  <c r="H28" i="1"/>
  <c r="H42" i="1"/>
  <c r="H49" i="1"/>
  <c r="H72" i="1"/>
  <c r="L22" i="1"/>
  <c r="L28" i="1"/>
  <c r="L42" i="1"/>
  <c r="L49" i="1"/>
  <c r="L54" i="1"/>
  <c r="L72" i="1"/>
  <c r="L66" i="1"/>
  <c r="H54" i="1"/>
  <c r="C169" i="1"/>
  <c r="B168" i="1"/>
  <c r="C158" i="1"/>
  <c r="B157" i="1"/>
  <c r="C149" i="1"/>
  <c r="B148" i="1"/>
  <c r="C138" i="1"/>
  <c r="B137" i="1"/>
  <c r="H50" i="14"/>
  <c r="B50" i="14" s="1"/>
  <c r="C48" i="14"/>
  <c r="J48" i="14"/>
  <c r="G48" i="14" s="1"/>
  <c r="H108" i="14"/>
  <c r="B107" i="14"/>
  <c r="I107" i="14"/>
  <c r="I49" i="14"/>
  <c r="C49" i="14" s="1"/>
  <c r="J12" i="14"/>
  <c r="G12" i="14" s="1"/>
  <c r="B13" i="14"/>
  <c r="I13" i="14"/>
  <c r="X111" i="14"/>
  <c r="AB111" i="14"/>
  <c r="X108" i="14"/>
  <c r="AB108" i="14"/>
  <c r="AD111" i="14"/>
  <c r="Z111" i="14"/>
  <c r="AE108" i="14"/>
  <c r="AA108" i="14"/>
  <c r="AE111" i="14"/>
  <c r="AA111" i="14"/>
  <c r="B140" i="12"/>
  <c r="G141" i="12"/>
  <c r="Q131" i="1"/>
  <c r="Q132" i="1"/>
  <c r="Q133" i="1" s="1"/>
  <c r="Q134" i="1" s="1"/>
  <c r="Q135" i="1" s="1"/>
  <c r="Q136" i="1" s="1"/>
  <c r="Q137" i="1" s="1"/>
  <c r="Q138" i="1" s="1"/>
  <c r="Q139" i="1"/>
  <c r="Q140" i="1" s="1"/>
  <c r="Q141" i="1" s="1"/>
  <c r="Q142" i="1" s="1"/>
  <c r="Q143" i="1" s="1"/>
  <c r="Q144" i="1" s="1"/>
  <c r="Q145" i="1" s="1"/>
  <c r="Q146" i="1" s="1"/>
  <c r="Q147" i="1"/>
  <c r="Q148" i="1"/>
  <c r="Q149" i="1" s="1"/>
  <c r="Q150" i="1" s="1"/>
  <c r="Q151" i="1" s="1"/>
  <c r="Q152" i="1" s="1"/>
  <c r="Q153" i="1" s="1"/>
  <c r="Q154" i="1" s="1"/>
  <c r="Q155" i="1"/>
  <c r="Q123" i="1"/>
  <c r="Q124" i="1" s="1"/>
  <c r="Q125" i="1" s="1"/>
  <c r="Q126" i="1" s="1"/>
  <c r="Q127" i="1" s="1"/>
  <c r="Q128" i="1" s="1"/>
  <c r="Q129" i="1" s="1"/>
  <c r="Q130" i="1" s="1"/>
  <c r="Q115" i="1"/>
  <c r="E291" i="16"/>
  <c r="A291" i="16" s="1"/>
  <c r="K79" i="16"/>
  <c r="K80" i="16"/>
  <c r="K81" i="16"/>
  <c r="K82" i="16"/>
  <c r="K78" i="16"/>
  <c r="L55" i="1" l="1"/>
  <c r="H55" i="1"/>
  <c r="G55" i="1"/>
  <c r="N55" i="1"/>
  <c r="J55" i="1"/>
  <c r="M55" i="1"/>
  <c r="I55" i="1"/>
  <c r="K55" i="1"/>
  <c r="Q116" i="1"/>
  <c r="C170" i="1"/>
  <c r="B169" i="1"/>
  <c r="C159" i="1"/>
  <c r="B158" i="1"/>
  <c r="B149" i="1"/>
  <c r="C150" i="1"/>
  <c r="B138" i="1"/>
  <c r="C139" i="1"/>
  <c r="H51" i="14"/>
  <c r="D48" i="14"/>
  <c r="N48" i="14" s="1"/>
  <c r="E48" i="14" s="1"/>
  <c r="I50" i="14"/>
  <c r="I51" i="14" s="1"/>
  <c r="C51" i="14" s="1"/>
  <c r="B108" i="14"/>
  <c r="I108" i="14"/>
  <c r="H109" i="14"/>
  <c r="J107" i="14"/>
  <c r="C107" i="14"/>
  <c r="J49" i="14"/>
  <c r="B51" i="14"/>
  <c r="H52" i="14"/>
  <c r="D12" i="14"/>
  <c r="C13" i="14"/>
  <c r="J13" i="14"/>
  <c r="B14" i="14"/>
  <c r="I14" i="14"/>
  <c r="G142" i="12"/>
  <c r="B141" i="12"/>
  <c r="E292" i="16"/>
  <c r="F291" i="16"/>
  <c r="Q117" i="1" l="1"/>
  <c r="I43" i="1"/>
  <c r="L43" i="1"/>
  <c r="N43" i="1"/>
  <c r="K43" i="1"/>
  <c r="H43" i="1"/>
  <c r="M43" i="1"/>
  <c r="J43" i="1"/>
  <c r="G43" i="1"/>
  <c r="C171" i="1"/>
  <c r="B170" i="1"/>
  <c r="C160" i="1"/>
  <c r="B159" i="1"/>
  <c r="C151" i="1"/>
  <c r="B150" i="1"/>
  <c r="C140" i="1"/>
  <c r="B139" i="1"/>
  <c r="K35" i="1" s="1"/>
  <c r="I52" i="14"/>
  <c r="C52" i="14" s="1"/>
  <c r="J50" i="14"/>
  <c r="G50" i="14" s="1"/>
  <c r="C50" i="14"/>
  <c r="G49" i="14"/>
  <c r="D49" i="14"/>
  <c r="C108" i="14"/>
  <c r="J108" i="14"/>
  <c r="G107" i="14"/>
  <c r="D107" i="14"/>
  <c r="N107" i="14" s="1"/>
  <c r="E107" i="14" s="1"/>
  <c r="H110" i="14"/>
  <c r="B109" i="14"/>
  <c r="I109" i="14"/>
  <c r="B52" i="14"/>
  <c r="H53" i="14"/>
  <c r="I53" i="14" s="1"/>
  <c r="G13" i="14"/>
  <c r="D13" i="14"/>
  <c r="C14" i="14"/>
  <c r="J14" i="14"/>
  <c r="I15" i="14"/>
  <c r="B15" i="14"/>
  <c r="G143" i="12"/>
  <c r="B142" i="12"/>
  <c r="B291" i="16"/>
  <c r="G291" i="16"/>
  <c r="C291" i="16" s="1"/>
  <c r="D291" i="16" s="1"/>
  <c r="F292" i="16"/>
  <c r="A292" i="16"/>
  <c r="E293" i="16"/>
  <c r="C105" i="1"/>
  <c r="C106" i="1" s="1"/>
  <c r="B105" i="1"/>
  <c r="C103" i="1"/>
  <c r="C104" i="1" s="1"/>
  <c r="B103" i="1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C85" i="3"/>
  <c r="C86" i="3"/>
  <c r="C87" i="3"/>
  <c r="C88" i="3"/>
  <c r="C89" i="3"/>
  <c r="C90" i="3"/>
  <c r="C91" i="3"/>
  <c r="C92" i="3"/>
  <c r="C93" i="3"/>
  <c r="C84" i="3"/>
  <c r="J83" i="3"/>
  <c r="I83" i="3"/>
  <c r="H83" i="3"/>
  <c r="G83" i="3"/>
  <c r="F83" i="3"/>
  <c r="E83" i="3"/>
  <c r="D83" i="3"/>
  <c r="N89" i="3"/>
  <c r="N90" i="3" s="1"/>
  <c r="L90" i="3" s="1"/>
  <c r="B90" i="3" s="1"/>
  <c r="N84" i="3"/>
  <c r="N85" i="3" s="1"/>
  <c r="L85" i="3" s="1"/>
  <c r="B85" i="3" s="1"/>
  <c r="M89" i="3"/>
  <c r="M90" i="3" s="1"/>
  <c r="K90" i="3" s="1"/>
  <c r="M84" i="3"/>
  <c r="K84" i="3" s="1"/>
  <c r="T23" i="3"/>
  <c r="T35" i="3"/>
  <c r="U65" i="3"/>
  <c r="U66" i="3" s="1"/>
  <c r="U67" i="3" s="1"/>
  <c r="U68" i="3" s="1"/>
  <c r="U50" i="3"/>
  <c r="U35" i="3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T49" i="3" s="1"/>
  <c r="U20" i="3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T34" i="3" s="1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T19" i="3" s="1"/>
  <c r="AH51" i="3"/>
  <c r="AH52" i="3" s="1"/>
  <c r="AH47" i="3"/>
  <c r="AH48" i="3" s="1"/>
  <c r="AH42" i="3"/>
  <c r="AH43" i="3" s="1"/>
  <c r="AH39" i="3"/>
  <c r="AG39" i="3" s="1"/>
  <c r="AH35" i="3"/>
  <c r="AG35" i="3" s="1"/>
  <c r="M194" i="15"/>
  <c r="M191" i="15"/>
  <c r="M190" i="15"/>
  <c r="M189" i="15"/>
  <c r="M156" i="15"/>
  <c r="M160" i="15"/>
  <c r="M157" i="15"/>
  <c r="M155" i="15"/>
  <c r="M126" i="15"/>
  <c r="M123" i="15"/>
  <c r="M122" i="15"/>
  <c r="M121" i="15"/>
  <c r="M92" i="15"/>
  <c r="M89" i="15"/>
  <c r="M88" i="15"/>
  <c r="M87" i="15"/>
  <c r="M86" i="15"/>
  <c r="R3" i="3"/>
  <c r="Q3" i="3"/>
  <c r="P3" i="3"/>
  <c r="O3" i="3"/>
  <c r="N3" i="3"/>
  <c r="M3" i="3"/>
  <c r="L3" i="3"/>
  <c r="Q118" i="1" l="1"/>
  <c r="R10" i="3"/>
  <c r="N10" i="3"/>
  <c r="N35" i="1"/>
  <c r="M35" i="1"/>
  <c r="J35" i="1"/>
  <c r="L35" i="1"/>
  <c r="G35" i="1"/>
  <c r="H35" i="1"/>
  <c r="I35" i="1"/>
  <c r="C172" i="1"/>
  <c r="B171" i="1"/>
  <c r="C161" i="1"/>
  <c r="B160" i="1"/>
  <c r="B151" i="1"/>
  <c r="C152" i="1"/>
  <c r="C141" i="1"/>
  <c r="B140" i="1"/>
  <c r="K30" i="1" s="1"/>
  <c r="B104" i="1"/>
  <c r="A104" i="1" s="1"/>
  <c r="A103" i="1"/>
  <c r="B106" i="1"/>
  <c r="A106" i="1" s="1"/>
  <c r="A105" i="1"/>
  <c r="D50" i="14"/>
  <c r="J51" i="14"/>
  <c r="J52" i="14" s="1"/>
  <c r="J53" i="14" s="1"/>
  <c r="B110" i="14"/>
  <c r="H111" i="14"/>
  <c r="I110" i="14"/>
  <c r="C109" i="14"/>
  <c r="J109" i="14"/>
  <c r="D108" i="14"/>
  <c r="G108" i="14"/>
  <c r="B53" i="14"/>
  <c r="H54" i="14"/>
  <c r="I54" i="14" s="1"/>
  <c r="C53" i="14"/>
  <c r="G14" i="14"/>
  <c r="D14" i="14"/>
  <c r="I16" i="14"/>
  <c r="B16" i="14"/>
  <c r="C15" i="14"/>
  <c r="J15" i="14"/>
  <c r="B143" i="12"/>
  <c r="G144" i="12"/>
  <c r="B292" i="16"/>
  <c r="G292" i="16"/>
  <c r="C292" i="16" s="1"/>
  <c r="E294" i="16"/>
  <c r="F293" i="16"/>
  <c r="A293" i="16"/>
  <c r="T39" i="3"/>
  <c r="T7" i="3"/>
  <c r="T47" i="3"/>
  <c r="T31" i="3"/>
  <c r="T15" i="3"/>
  <c r="T43" i="3"/>
  <c r="T27" i="3"/>
  <c r="T11" i="3"/>
  <c r="K89" i="3"/>
  <c r="N91" i="3"/>
  <c r="N92" i="3" s="1"/>
  <c r="L92" i="3" s="1"/>
  <c r="B92" i="3" s="1"/>
  <c r="N93" i="3"/>
  <c r="L93" i="3" s="1"/>
  <c r="B93" i="3" s="1"/>
  <c r="L84" i="3"/>
  <c r="B84" i="3" s="1"/>
  <c r="N86" i="3"/>
  <c r="L91" i="3"/>
  <c r="B91" i="3" s="1"/>
  <c r="L89" i="3"/>
  <c r="B89" i="3" s="1"/>
  <c r="M91" i="3"/>
  <c r="K91" i="3" s="1"/>
  <c r="M85" i="3"/>
  <c r="K85" i="3" s="1"/>
  <c r="U51" i="3"/>
  <c r="T50" i="3"/>
  <c r="U69" i="3"/>
  <c r="T68" i="3"/>
  <c r="T67" i="3"/>
  <c r="T5" i="3"/>
  <c r="T48" i="3"/>
  <c r="T44" i="3"/>
  <c r="T40" i="3"/>
  <c r="T36" i="3"/>
  <c r="T32" i="3"/>
  <c r="T28" i="3"/>
  <c r="T24" i="3"/>
  <c r="T20" i="3"/>
  <c r="T16" i="3"/>
  <c r="T12" i="3"/>
  <c r="T8" i="3"/>
  <c r="T66" i="3"/>
  <c r="T46" i="3"/>
  <c r="T42" i="3"/>
  <c r="T38" i="3"/>
  <c r="T30" i="3"/>
  <c r="T26" i="3"/>
  <c r="T22" i="3"/>
  <c r="T18" i="3"/>
  <c r="T14" i="3"/>
  <c r="T10" i="3"/>
  <c r="T6" i="3"/>
  <c r="T65" i="3"/>
  <c r="T45" i="3"/>
  <c r="T41" i="3"/>
  <c r="T37" i="3"/>
  <c r="T33" i="3"/>
  <c r="T29" i="3"/>
  <c r="T25" i="3"/>
  <c r="T21" i="3"/>
  <c r="T17" i="3"/>
  <c r="T13" i="3"/>
  <c r="T9" i="3"/>
  <c r="K10" i="3"/>
  <c r="O10" i="3"/>
  <c r="Q10" i="3"/>
  <c r="M10" i="3"/>
  <c r="P10" i="3"/>
  <c r="L10" i="3"/>
  <c r="AG42" i="3"/>
  <c r="AH40" i="3"/>
  <c r="AH36" i="3"/>
  <c r="Q119" i="1" l="1"/>
  <c r="G30" i="1"/>
  <c r="L30" i="1"/>
  <c r="H30" i="1"/>
  <c r="I30" i="1"/>
  <c r="M30" i="1"/>
  <c r="J30" i="1"/>
  <c r="N30" i="1"/>
  <c r="C173" i="1"/>
  <c r="B172" i="1"/>
  <c r="C162" i="1"/>
  <c r="B161" i="1"/>
  <c r="C153" i="1"/>
  <c r="B153" i="1" s="1"/>
  <c r="B152" i="1"/>
  <c r="C142" i="1"/>
  <c r="B142" i="1" s="1"/>
  <c r="B141" i="1"/>
  <c r="J67" i="1" s="1"/>
  <c r="L92" i="1"/>
  <c r="H92" i="1"/>
  <c r="L91" i="1"/>
  <c r="H91" i="1"/>
  <c r="L90" i="1"/>
  <c r="H90" i="1"/>
  <c r="L89" i="1"/>
  <c r="H89" i="1"/>
  <c r="L88" i="1"/>
  <c r="H88" i="1"/>
  <c r="F83" i="1"/>
  <c r="J83" i="1"/>
  <c r="G84" i="1"/>
  <c r="K84" i="1"/>
  <c r="H85" i="1"/>
  <c r="L85" i="1"/>
  <c r="I86" i="1"/>
  <c r="F87" i="1"/>
  <c r="J87" i="1"/>
  <c r="E85" i="1"/>
  <c r="F92" i="1"/>
  <c r="F90" i="1"/>
  <c r="J88" i="1"/>
  <c r="I84" i="1"/>
  <c r="G86" i="1"/>
  <c r="K86" i="1"/>
  <c r="E87" i="1"/>
  <c r="K92" i="1"/>
  <c r="G92" i="1"/>
  <c r="K91" i="1"/>
  <c r="G91" i="1"/>
  <c r="K90" i="1"/>
  <c r="G90" i="1"/>
  <c r="K89" i="1"/>
  <c r="G89" i="1"/>
  <c r="K88" i="1"/>
  <c r="G88" i="1"/>
  <c r="G83" i="1"/>
  <c r="K83" i="1"/>
  <c r="H84" i="1"/>
  <c r="L84" i="1"/>
  <c r="I85" i="1"/>
  <c r="F86" i="1"/>
  <c r="J86" i="1"/>
  <c r="G87" i="1"/>
  <c r="K87" i="1"/>
  <c r="E86" i="1"/>
  <c r="J92" i="1"/>
  <c r="F91" i="1"/>
  <c r="J89" i="1"/>
  <c r="F88" i="1"/>
  <c r="L83" i="1"/>
  <c r="J85" i="1"/>
  <c r="L87" i="1"/>
  <c r="I92" i="1"/>
  <c r="E92" i="1"/>
  <c r="I91" i="1"/>
  <c r="E91" i="1"/>
  <c r="I90" i="1"/>
  <c r="E90" i="1"/>
  <c r="I89" i="1"/>
  <c r="E89" i="1"/>
  <c r="I88" i="1"/>
  <c r="E88" i="1"/>
  <c r="I83" i="1"/>
  <c r="F84" i="1"/>
  <c r="J84" i="1"/>
  <c r="G85" i="1"/>
  <c r="K85" i="1"/>
  <c r="H86" i="1"/>
  <c r="L86" i="1"/>
  <c r="I87" i="1"/>
  <c r="E84" i="1"/>
  <c r="E83" i="1"/>
  <c r="J91" i="1"/>
  <c r="J90" i="1"/>
  <c r="F89" i="1"/>
  <c r="H83" i="1"/>
  <c r="F85" i="1"/>
  <c r="H87" i="1"/>
  <c r="D52" i="14"/>
  <c r="G52" i="14"/>
  <c r="G51" i="14"/>
  <c r="D51" i="14"/>
  <c r="C110" i="14"/>
  <c r="J110" i="14"/>
  <c r="J54" i="14"/>
  <c r="I111" i="14"/>
  <c r="H112" i="14"/>
  <c r="B111" i="14"/>
  <c r="G109" i="14"/>
  <c r="D109" i="14"/>
  <c r="B54" i="14"/>
  <c r="H55" i="14"/>
  <c r="C54" i="14"/>
  <c r="G53" i="14"/>
  <c r="D53" i="14"/>
  <c r="C16" i="14"/>
  <c r="J16" i="14"/>
  <c r="G15" i="14"/>
  <c r="D15" i="14"/>
  <c r="I17" i="14"/>
  <c r="B17" i="14"/>
  <c r="B144" i="12"/>
  <c r="G145" i="12"/>
  <c r="E295" i="16"/>
  <c r="A294" i="16"/>
  <c r="F294" i="16"/>
  <c r="G293" i="16"/>
  <c r="C293" i="16" s="1"/>
  <c r="B293" i="16"/>
  <c r="D292" i="16"/>
  <c r="N87" i="3"/>
  <c r="L86" i="3"/>
  <c r="B86" i="3" s="1"/>
  <c r="M86" i="3"/>
  <c r="K86" i="3" s="1"/>
  <c r="M92" i="3"/>
  <c r="K92" i="3" s="1"/>
  <c r="U52" i="3"/>
  <c r="T51" i="3"/>
  <c r="U70" i="3"/>
  <c r="T69" i="3"/>
  <c r="C29" i="3"/>
  <c r="G29" i="3"/>
  <c r="C30" i="3"/>
  <c r="G30" i="3"/>
  <c r="C31" i="3"/>
  <c r="G31" i="3"/>
  <c r="C35" i="3"/>
  <c r="G35" i="3"/>
  <c r="C36" i="3"/>
  <c r="G36" i="3"/>
  <c r="C37" i="3"/>
  <c r="G37" i="3"/>
  <c r="C41" i="3"/>
  <c r="G41" i="3"/>
  <c r="C42" i="3"/>
  <c r="G42" i="3"/>
  <c r="C43" i="3"/>
  <c r="G43" i="3"/>
  <c r="C47" i="3"/>
  <c r="G47" i="3"/>
  <c r="C49" i="3"/>
  <c r="G49" i="3"/>
  <c r="C50" i="3"/>
  <c r="G50" i="3"/>
  <c r="C53" i="3"/>
  <c r="G53" i="3"/>
  <c r="C54" i="3"/>
  <c r="G54" i="3"/>
  <c r="C55" i="3"/>
  <c r="G55" i="3"/>
  <c r="C59" i="3"/>
  <c r="G59" i="3"/>
  <c r="C60" i="3"/>
  <c r="G60" i="3"/>
  <c r="C61" i="3"/>
  <c r="G61" i="3"/>
  <c r="C65" i="3"/>
  <c r="G65" i="3"/>
  <c r="C66" i="3"/>
  <c r="G66" i="3"/>
  <c r="C67" i="3"/>
  <c r="G67" i="3"/>
  <c r="C71" i="3"/>
  <c r="G71" i="3"/>
  <c r="C74" i="3"/>
  <c r="G74" i="3"/>
  <c r="C75" i="3"/>
  <c r="G75" i="3"/>
  <c r="C76" i="3"/>
  <c r="G76" i="3"/>
  <c r="D29" i="3"/>
  <c r="H29" i="3"/>
  <c r="D30" i="3"/>
  <c r="H30" i="3"/>
  <c r="D31" i="3"/>
  <c r="H31" i="3"/>
  <c r="D35" i="3"/>
  <c r="H35" i="3"/>
  <c r="D36" i="3"/>
  <c r="H36" i="3"/>
  <c r="D37" i="3"/>
  <c r="H37" i="3"/>
  <c r="D41" i="3"/>
  <c r="H41" i="3"/>
  <c r="D42" i="3"/>
  <c r="H42" i="3"/>
  <c r="D43" i="3"/>
  <c r="H43" i="3"/>
  <c r="D47" i="3"/>
  <c r="H47" i="3"/>
  <c r="D49" i="3"/>
  <c r="H49" i="3"/>
  <c r="D50" i="3"/>
  <c r="H50" i="3"/>
  <c r="D53" i="3"/>
  <c r="H53" i="3"/>
  <c r="D54" i="3"/>
  <c r="H54" i="3"/>
  <c r="D55" i="3"/>
  <c r="H55" i="3"/>
  <c r="D59" i="3"/>
  <c r="H59" i="3"/>
  <c r="D60" i="3"/>
  <c r="H60" i="3"/>
  <c r="D61" i="3"/>
  <c r="H61" i="3"/>
  <c r="D65" i="3"/>
  <c r="H65" i="3"/>
  <c r="D66" i="3"/>
  <c r="H66" i="3"/>
  <c r="D67" i="3"/>
  <c r="H67" i="3"/>
  <c r="D71" i="3"/>
  <c r="H71" i="3"/>
  <c r="D74" i="3"/>
  <c r="H74" i="3"/>
  <c r="D75" i="3"/>
  <c r="H75" i="3"/>
  <c r="D76" i="3"/>
  <c r="H76" i="3"/>
  <c r="F29" i="3"/>
  <c r="J29" i="3"/>
  <c r="F30" i="3"/>
  <c r="J30" i="3"/>
  <c r="F31" i="3"/>
  <c r="J31" i="3"/>
  <c r="F35" i="3"/>
  <c r="J35" i="3"/>
  <c r="F36" i="3"/>
  <c r="J36" i="3"/>
  <c r="F37" i="3"/>
  <c r="J37" i="3"/>
  <c r="F41" i="3"/>
  <c r="J41" i="3"/>
  <c r="F42" i="3"/>
  <c r="J42" i="3"/>
  <c r="F43" i="3"/>
  <c r="J43" i="3"/>
  <c r="F47" i="3"/>
  <c r="J47" i="3"/>
  <c r="F49" i="3"/>
  <c r="J49" i="3"/>
  <c r="F50" i="3"/>
  <c r="J50" i="3"/>
  <c r="F53" i="3"/>
  <c r="J53" i="3"/>
  <c r="F54" i="3"/>
  <c r="J54" i="3"/>
  <c r="F55" i="3"/>
  <c r="J55" i="3"/>
  <c r="F59" i="3"/>
  <c r="J59" i="3"/>
  <c r="F60" i="3"/>
  <c r="J60" i="3"/>
  <c r="F61" i="3"/>
  <c r="J61" i="3"/>
  <c r="F65" i="3"/>
  <c r="J65" i="3"/>
  <c r="F66" i="3"/>
  <c r="J66" i="3"/>
  <c r="F67" i="3"/>
  <c r="J67" i="3"/>
  <c r="F71" i="3"/>
  <c r="J71" i="3"/>
  <c r="F74" i="3"/>
  <c r="J74" i="3"/>
  <c r="F75" i="3"/>
  <c r="J75" i="3"/>
  <c r="F76" i="3"/>
  <c r="J76" i="3"/>
  <c r="E29" i="3"/>
  <c r="E31" i="3"/>
  <c r="E36" i="3"/>
  <c r="E41" i="3"/>
  <c r="E43" i="3"/>
  <c r="E49" i="3"/>
  <c r="E54" i="3"/>
  <c r="E59" i="3"/>
  <c r="E61" i="3"/>
  <c r="E66" i="3"/>
  <c r="E71" i="3"/>
  <c r="E74" i="3"/>
  <c r="E76" i="3"/>
  <c r="G25" i="3"/>
  <c r="C25" i="3"/>
  <c r="G24" i="3"/>
  <c r="C24" i="3"/>
  <c r="G21" i="3"/>
  <c r="C21" i="3"/>
  <c r="G17" i="3"/>
  <c r="C17" i="3"/>
  <c r="G16" i="3"/>
  <c r="C16" i="3"/>
  <c r="G15" i="3"/>
  <c r="C15" i="3"/>
  <c r="G13" i="3"/>
  <c r="C13" i="3"/>
  <c r="G12" i="3"/>
  <c r="C12" i="3"/>
  <c r="G11" i="3"/>
  <c r="C11" i="3"/>
  <c r="G10" i="3"/>
  <c r="C10" i="3"/>
  <c r="F5" i="3"/>
  <c r="J5" i="3"/>
  <c r="F6" i="3"/>
  <c r="J6" i="3"/>
  <c r="F7" i="3"/>
  <c r="J7" i="3"/>
  <c r="G4" i="3"/>
  <c r="C4" i="3"/>
  <c r="E30" i="3"/>
  <c r="E35" i="3"/>
  <c r="E37" i="3"/>
  <c r="E47" i="3"/>
  <c r="E55" i="3"/>
  <c r="I29" i="3"/>
  <c r="I31" i="3"/>
  <c r="I36" i="3"/>
  <c r="I41" i="3"/>
  <c r="I43" i="3"/>
  <c r="I49" i="3"/>
  <c r="I54" i="3"/>
  <c r="I59" i="3"/>
  <c r="I61" i="3"/>
  <c r="I66" i="3"/>
  <c r="I71" i="3"/>
  <c r="I74" i="3"/>
  <c r="I76" i="3"/>
  <c r="J25" i="3"/>
  <c r="F25" i="3"/>
  <c r="J24" i="3"/>
  <c r="F24" i="3"/>
  <c r="J21" i="3"/>
  <c r="F21" i="3"/>
  <c r="J17" i="3"/>
  <c r="F17" i="3"/>
  <c r="J16" i="3"/>
  <c r="F16" i="3"/>
  <c r="J15" i="3"/>
  <c r="F15" i="3"/>
  <c r="J13" i="3"/>
  <c r="F13" i="3"/>
  <c r="J12" i="3"/>
  <c r="F12" i="3"/>
  <c r="J11" i="3"/>
  <c r="F11" i="3"/>
  <c r="J10" i="3"/>
  <c r="F10" i="3"/>
  <c r="C5" i="3"/>
  <c r="G5" i="3"/>
  <c r="C6" i="3"/>
  <c r="G6" i="3"/>
  <c r="C7" i="3"/>
  <c r="G7" i="3"/>
  <c r="D4" i="3"/>
  <c r="H4" i="3"/>
  <c r="E53" i="3"/>
  <c r="E60" i="3"/>
  <c r="E67" i="3"/>
  <c r="I30" i="3"/>
  <c r="I35" i="3"/>
  <c r="I37" i="3"/>
  <c r="I42" i="3"/>
  <c r="I47" i="3"/>
  <c r="I50" i="3"/>
  <c r="I53" i="3"/>
  <c r="I55" i="3"/>
  <c r="I60" i="3"/>
  <c r="I65" i="3"/>
  <c r="I67" i="3"/>
  <c r="I75" i="3"/>
  <c r="H25" i="3"/>
  <c r="D25" i="3"/>
  <c r="H24" i="3"/>
  <c r="D24" i="3"/>
  <c r="H21" i="3"/>
  <c r="D21" i="3"/>
  <c r="H17" i="3"/>
  <c r="D17" i="3"/>
  <c r="H16" i="3"/>
  <c r="D16" i="3"/>
  <c r="H15" i="3"/>
  <c r="D15" i="3"/>
  <c r="H13" i="3"/>
  <c r="D13" i="3"/>
  <c r="H12" i="3"/>
  <c r="D12" i="3"/>
  <c r="H11" i="3"/>
  <c r="D11" i="3"/>
  <c r="H10" i="3"/>
  <c r="D10" i="3"/>
  <c r="E5" i="3"/>
  <c r="I5" i="3"/>
  <c r="E6" i="3"/>
  <c r="I6" i="3"/>
  <c r="E7" i="3"/>
  <c r="I7" i="3"/>
  <c r="F4" i="3"/>
  <c r="J4" i="3"/>
  <c r="E42" i="3"/>
  <c r="E50" i="3"/>
  <c r="E65" i="3"/>
  <c r="E75" i="3"/>
  <c r="E12" i="3"/>
  <c r="I25" i="3"/>
  <c r="I17" i="3"/>
  <c r="I15" i="3"/>
  <c r="I13" i="3"/>
  <c r="I11" i="3"/>
  <c r="D5" i="3"/>
  <c r="D7" i="3"/>
  <c r="E4" i="3"/>
  <c r="E25" i="3"/>
  <c r="E17" i="3"/>
  <c r="E15" i="3"/>
  <c r="E13" i="3"/>
  <c r="E11" i="3"/>
  <c r="H5" i="3"/>
  <c r="H7" i="3"/>
  <c r="I4" i="3"/>
  <c r="I24" i="3"/>
  <c r="I21" i="3"/>
  <c r="I16" i="3"/>
  <c r="I12" i="3"/>
  <c r="I10" i="3"/>
  <c r="D6" i="3"/>
  <c r="E24" i="3"/>
  <c r="E21" i="3"/>
  <c r="E16" i="3"/>
  <c r="E10" i="3"/>
  <c r="H6" i="3"/>
  <c r="AH37" i="3"/>
  <c r="AG36" i="3"/>
  <c r="AG51" i="3"/>
  <c r="AG40" i="3"/>
  <c r="AH41" i="3"/>
  <c r="AG41" i="3" s="1"/>
  <c r="AG43" i="3"/>
  <c r="AH44" i="3"/>
  <c r="U35" i="15"/>
  <c r="V35" i="15"/>
  <c r="W35" i="15"/>
  <c r="X35" i="15"/>
  <c r="Y35" i="15"/>
  <c r="Z35" i="15"/>
  <c r="AA35" i="15"/>
  <c r="AB35" i="15"/>
  <c r="U36" i="15"/>
  <c r="V36" i="15"/>
  <c r="W36" i="15"/>
  <c r="X36" i="15"/>
  <c r="Y36" i="15"/>
  <c r="Z36" i="15"/>
  <c r="AA36" i="15"/>
  <c r="AB36" i="15"/>
  <c r="V34" i="15"/>
  <c r="W34" i="15"/>
  <c r="X34" i="15"/>
  <c r="Y34" i="15"/>
  <c r="Z34" i="15"/>
  <c r="AA34" i="15"/>
  <c r="AB34" i="15"/>
  <c r="U34" i="15"/>
  <c r="X84" i="4"/>
  <c r="W84" i="4"/>
  <c r="V84" i="4"/>
  <c r="U84" i="4"/>
  <c r="T84" i="4"/>
  <c r="S84" i="4"/>
  <c r="R84" i="4"/>
  <c r="Q84" i="4"/>
  <c r="X82" i="4"/>
  <c r="W82" i="4"/>
  <c r="V82" i="4"/>
  <c r="U82" i="4"/>
  <c r="T82" i="4"/>
  <c r="S82" i="4"/>
  <c r="R82" i="4"/>
  <c r="Q82" i="4"/>
  <c r="X81" i="4"/>
  <c r="W81" i="4"/>
  <c r="V81" i="4"/>
  <c r="U81" i="4"/>
  <c r="T81" i="4"/>
  <c r="S81" i="4"/>
  <c r="R81" i="4"/>
  <c r="Q81" i="4"/>
  <c r="X68" i="4"/>
  <c r="W68" i="4"/>
  <c r="V68" i="4"/>
  <c r="U68" i="4"/>
  <c r="T68" i="4"/>
  <c r="S68" i="4"/>
  <c r="R68" i="4"/>
  <c r="Q68" i="4"/>
  <c r="X67" i="4"/>
  <c r="W67" i="4"/>
  <c r="V67" i="4"/>
  <c r="U67" i="4"/>
  <c r="T67" i="4"/>
  <c r="S67" i="4"/>
  <c r="R67" i="4"/>
  <c r="Q67" i="4"/>
  <c r="X65" i="4"/>
  <c r="W65" i="4"/>
  <c r="V65" i="4"/>
  <c r="U65" i="4"/>
  <c r="T65" i="4"/>
  <c r="S65" i="4"/>
  <c r="R65" i="4"/>
  <c r="Q65" i="4"/>
  <c r="AA65" i="4" s="1"/>
  <c r="X61" i="4"/>
  <c r="AE169" i="14" s="1"/>
  <c r="W61" i="4"/>
  <c r="AD169" i="14" s="1"/>
  <c r="V61" i="4"/>
  <c r="AC169" i="14" s="1"/>
  <c r="U61" i="4"/>
  <c r="AB169" i="14" s="1"/>
  <c r="T61" i="4"/>
  <c r="AA169" i="14" s="1"/>
  <c r="S61" i="4"/>
  <c r="Z169" i="14" s="1"/>
  <c r="R61" i="4"/>
  <c r="Y169" i="14" s="1"/>
  <c r="Q61" i="4"/>
  <c r="X169" i="14" s="1"/>
  <c r="X54" i="4"/>
  <c r="W54" i="4"/>
  <c r="V54" i="4"/>
  <c r="U54" i="4"/>
  <c r="T54" i="4"/>
  <c r="S54" i="4"/>
  <c r="R54" i="4"/>
  <c r="Q54" i="4"/>
  <c r="X52" i="4"/>
  <c r="W52" i="4"/>
  <c r="V52" i="4"/>
  <c r="U52" i="4"/>
  <c r="T52" i="4"/>
  <c r="S52" i="4"/>
  <c r="R52" i="4"/>
  <c r="Q52" i="4"/>
  <c r="X49" i="4"/>
  <c r="W49" i="4"/>
  <c r="V49" i="4"/>
  <c r="U49" i="4"/>
  <c r="T49" i="4"/>
  <c r="S49" i="4"/>
  <c r="R49" i="4"/>
  <c r="Q49" i="4"/>
  <c r="X38" i="4"/>
  <c r="W38" i="4"/>
  <c r="V38" i="4"/>
  <c r="U38" i="4"/>
  <c r="T38" i="4"/>
  <c r="S38" i="4"/>
  <c r="R38" i="4"/>
  <c r="Q38" i="4"/>
  <c r="X33" i="4"/>
  <c r="W33" i="4"/>
  <c r="V33" i="4"/>
  <c r="U33" i="4"/>
  <c r="T33" i="4"/>
  <c r="S33" i="4"/>
  <c r="R33" i="4"/>
  <c r="Q33" i="4"/>
  <c r="K76" i="16"/>
  <c r="K75" i="16"/>
  <c r="K74" i="16"/>
  <c r="K73" i="16"/>
  <c r="K72" i="16"/>
  <c r="K70" i="16"/>
  <c r="K69" i="16"/>
  <c r="K68" i="16"/>
  <c r="K67" i="16"/>
  <c r="K66" i="16"/>
  <c r="K64" i="16"/>
  <c r="K63" i="16"/>
  <c r="K62" i="16"/>
  <c r="K60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S38" i="16"/>
  <c r="R38" i="16"/>
  <c r="Q38" i="16"/>
  <c r="P38" i="16"/>
  <c r="O38" i="16"/>
  <c r="N38" i="16"/>
  <c r="M38" i="16"/>
  <c r="L38" i="16"/>
  <c r="S37" i="16"/>
  <c r="R37" i="16"/>
  <c r="Q37" i="16"/>
  <c r="P37" i="16"/>
  <c r="O37" i="16"/>
  <c r="N37" i="16"/>
  <c r="M37" i="16"/>
  <c r="L37" i="16"/>
  <c r="S36" i="16"/>
  <c r="R36" i="16"/>
  <c r="Q36" i="16"/>
  <c r="P36" i="16"/>
  <c r="O36" i="16"/>
  <c r="N36" i="16"/>
  <c r="M36" i="16"/>
  <c r="L36" i="16"/>
  <c r="S35" i="16"/>
  <c r="R35" i="16"/>
  <c r="Q35" i="16"/>
  <c r="P35" i="16"/>
  <c r="O35" i="16"/>
  <c r="N35" i="16"/>
  <c r="M35" i="16"/>
  <c r="L35" i="16"/>
  <c r="P25" i="16"/>
  <c r="O25" i="16"/>
  <c r="N25" i="16"/>
  <c r="M25" i="16"/>
  <c r="L25" i="16"/>
  <c r="P24" i="16"/>
  <c r="O24" i="16"/>
  <c r="N24" i="16"/>
  <c r="M24" i="16"/>
  <c r="L24" i="16"/>
  <c r="P23" i="16"/>
  <c r="O23" i="16"/>
  <c r="N23" i="16"/>
  <c r="M23" i="16"/>
  <c r="L23" i="16"/>
  <c r="P22" i="16"/>
  <c r="O22" i="16"/>
  <c r="N22" i="16"/>
  <c r="M22" i="16"/>
  <c r="L22" i="16"/>
  <c r="P21" i="16"/>
  <c r="L51" i="16" s="1"/>
  <c r="O21" i="16"/>
  <c r="L57" i="16" s="1"/>
  <c r="N21" i="16"/>
  <c r="L45" i="16" s="1"/>
  <c r="M21" i="16"/>
  <c r="L54" i="16" s="1"/>
  <c r="L21" i="16"/>
  <c r="L48" i="16" s="1"/>
  <c r="P20" i="16"/>
  <c r="L50" i="16" s="1"/>
  <c r="O20" i="16"/>
  <c r="L56" i="16" s="1"/>
  <c r="N20" i="16"/>
  <c r="L44" i="16" s="1"/>
  <c r="M20" i="16"/>
  <c r="L53" i="16" s="1"/>
  <c r="L20" i="16"/>
  <c r="L47" i="16" s="1"/>
  <c r="P19" i="16"/>
  <c r="L49" i="16" s="1"/>
  <c r="O19" i="16"/>
  <c r="L55" i="16" s="1"/>
  <c r="N19" i="16"/>
  <c r="L43" i="16" s="1"/>
  <c r="M19" i="16"/>
  <c r="L52" i="16" s="1"/>
  <c r="L19" i="16"/>
  <c r="L46" i="16" s="1"/>
  <c r="S15" i="16"/>
  <c r="R15" i="16"/>
  <c r="Q15" i="16"/>
  <c r="P15" i="16"/>
  <c r="O15" i="16"/>
  <c r="N15" i="16"/>
  <c r="M15" i="16"/>
  <c r="L15" i="16"/>
  <c r="S14" i="16"/>
  <c r="R14" i="16"/>
  <c r="Q14" i="16"/>
  <c r="P14" i="16"/>
  <c r="O14" i="16"/>
  <c r="N14" i="16"/>
  <c r="M14" i="16"/>
  <c r="L14" i="16"/>
  <c r="S13" i="16"/>
  <c r="R13" i="16"/>
  <c r="Q13" i="16"/>
  <c r="P13" i="16"/>
  <c r="O13" i="16"/>
  <c r="N13" i="16"/>
  <c r="M13" i="16"/>
  <c r="L13" i="16"/>
  <c r="C11" i="16"/>
  <c r="B11" i="16"/>
  <c r="D11" i="16" s="1"/>
  <c r="A11" i="16"/>
  <c r="G1" i="16"/>
  <c r="F1" i="16"/>
  <c r="E1" i="16"/>
  <c r="E12" i="16" s="1"/>
  <c r="R203" i="15"/>
  <c r="R202" i="15"/>
  <c r="R201" i="15"/>
  <c r="R200" i="15"/>
  <c r="R199" i="15"/>
  <c r="R198" i="15"/>
  <c r="R197" i="15"/>
  <c r="R194" i="15"/>
  <c r="R193" i="15"/>
  <c r="R192" i="15"/>
  <c r="R191" i="15"/>
  <c r="R190" i="15"/>
  <c r="R207" i="15" s="1"/>
  <c r="R211" i="15" s="1"/>
  <c r="R189" i="15"/>
  <c r="R188" i="15"/>
  <c r="Z185" i="15"/>
  <c r="Y185" i="15"/>
  <c r="X185" i="15"/>
  <c r="W185" i="15"/>
  <c r="V185" i="15"/>
  <c r="U185" i="15"/>
  <c r="T185" i="15"/>
  <c r="S185" i="15"/>
  <c r="R185" i="15"/>
  <c r="Q185" i="15"/>
  <c r="P185" i="15"/>
  <c r="R169" i="15"/>
  <c r="R168" i="15"/>
  <c r="R167" i="15"/>
  <c r="R166" i="15"/>
  <c r="R165" i="15"/>
  <c r="R164" i="15"/>
  <c r="R163" i="15"/>
  <c r="R160" i="15"/>
  <c r="R159" i="15"/>
  <c r="R158" i="15"/>
  <c r="R157" i="15"/>
  <c r="R174" i="15" s="1"/>
  <c r="R156" i="15"/>
  <c r="R155" i="15"/>
  <c r="R154" i="15"/>
  <c r="Z151" i="15"/>
  <c r="Y151" i="15"/>
  <c r="X151" i="15"/>
  <c r="W151" i="15"/>
  <c r="V151" i="15"/>
  <c r="U151" i="15"/>
  <c r="T151" i="15"/>
  <c r="S151" i="15"/>
  <c r="R151" i="15"/>
  <c r="Q151" i="15"/>
  <c r="P151" i="15"/>
  <c r="R135" i="15"/>
  <c r="R134" i="15"/>
  <c r="R133" i="15"/>
  <c r="R132" i="15"/>
  <c r="R131" i="15"/>
  <c r="R130" i="15"/>
  <c r="R129" i="15"/>
  <c r="R126" i="15"/>
  <c r="R125" i="15"/>
  <c r="R124" i="15"/>
  <c r="R123" i="15"/>
  <c r="R122" i="15"/>
  <c r="R121" i="15"/>
  <c r="D158" i="15"/>
  <c r="C158" i="15"/>
  <c r="B158" i="15"/>
  <c r="R120" i="15"/>
  <c r="Z117" i="15"/>
  <c r="Y117" i="15"/>
  <c r="X117" i="15"/>
  <c r="W117" i="15"/>
  <c r="V117" i="15"/>
  <c r="U117" i="15"/>
  <c r="T117" i="15"/>
  <c r="S117" i="15"/>
  <c r="R117" i="15"/>
  <c r="Q117" i="15"/>
  <c r="P117" i="15"/>
  <c r="H148" i="15"/>
  <c r="G148" i="15"/>
  <c r="F148" i="15"/>
  <c r="F159" i="15" s="1"/>
  <c r="R101" i="15"/>
  <c r="R100" i="15"/>
  <c r="R99" i="15"/>
  <c r="R98" i="15"/>
  <c r="R97" i="15"/>
  <c r="R96" i="15"/>
  <c r="R95" i="15"/>
  <c r="R92" i="15"/>
  <c r="R91" i="15"/>
  <c r="R90" i="15"/>
  <c r="R89" i="15"/>
  <c r="R106" i="15" s="1"/>
  <c r="R88" i="15"/>
  <c r="R87" i="15"/>
  <c r="R86" i="15"/>
  <c r="Z83" i="15"/>
  <c r="Y83" i="15"/>
  <c r="X83" i="15"/>
  <c r="W83" i="15"/>
  <c r="V83" i="15"/>
  <c r="U83" i="15"/>
  <c r="T83" i="15"/>
  <c r="S83" i="15"/>
  <c r="R83" i="15"/>
  <c r="Q83" i="15"/>
  <c r="P83" i="15"/>
  <c r="T47" i="15"/>
  <c r="T46" i="15"/>
  <c r="T44" i="15"/>
  <c r="P44" i="15"/>
  <c r="T43" i="15"/>
  <c r="P43" i="15"/>
  <c r="D49" i="15"/>
  <c r="C49" i="15"/>
  <c r="B49" i="15"/>
  <c r="P32" i="15"/>
  <c r="P31" i="15"/>
  <c r="P30" i="15"/>
  <c r="H39" i="15"/>
  <c r="G39" i="15"/>
  <c r="F39" i="15"/>
  <c r="F50" i="15" s="1"/>
  <c r="D11" i="15"/>
  <c r="C11" i="15"/>
  <c r="B11" i="15"/>
  <c r="H1" i="15"/>
  <c r="G1" i="15"/>
  <c r="F1" i="15"/>
  <c r="F12" i="15" s="1"/>
  <c r="L433" i="14"/>
  <c r="G433" i="14"/>
  <c r="F433" i="14"/>
  <c r="D433" i="14"/>
  <c r="C433" i="14"/>
  <c r="B433" i="14"/>
  <c r="K423" i="14"/>
  <c r="J423" i="14"/>
  <c r="I423" i="14"/>
  <c r="H423" i="14"/>
  <c r="H434" i="14" s="1"/>
  <c r="G413" i="14"/>
  <c r="D413" i="14"/>
  <c r="C413" i="14"/>
  <c r="B413" i="14"/>
  <c r="J403" i="14"/>
  <c r="I403" i="14"/>
  <c r="H403" i="14"/>
  <c r="H414" i="14" s="1"/>
  <c r="U317" i="14"/>
  <c r="U318" i="14" s="1"/>
  <c r="G378" i="14"/>
  <c r="D378" i="14"/>
  <c r="C378" i="14"/>
  <c r="B378" i="14"/>
  <c r="J368" i="14"/>
  <c r="I368" i="14"/>
  <c r="H368" i="14"/>
  <c r="AH101" i="14"/>
  <c r="AH100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3" i="14"/>
  <c r="AH51" i="14"/>
  <c r="AE51" i="14"/>
  <c r="AD51" i="14"/>
  <c r="AC51" i="14"/>
  <c r="AB51" i="14"/>
  <c r="AA51" i="14"/>
  <c r="Z51" i="14"/>
  <c r="Y51" i="14"/>
  <c r="X51" i="14"/>
  <c r="AH49" i="14"/>
  <c r="AH48" i="14"/>
  <c r="AH47" i="14"/>
  <c r="AH46" i="14"/>
  <c r="AH45" i="14"/>
  <c r="AH44" i="14"/>
  <c r="AH43" i="14"/>
  <c r="AH42" i="14"/>
  <c r="AH41" i="14"/>
  <c r="AH40" i="14"/>
  <c r="AH39" i="14"/>
  <c r="AH38" i="14"/>
  <c r="AH37" i="14"/>
  <c r="AH36" i="14"/>
  <c r="V36" i="14"/>
  <c r="AH35" i="14"/>
  <c r="V35" i="14"/>
  <c r="AH34" i="14"/>
  <c r="V34" i="14"/>
  <c r="AH33" i="14"/>
  <c r="V33" i="14"/>
  <c r="AH32" i="14"/>
  <c r="V32" i="14"/>
  <c r="AH31" i="14"/>
  <c r="V31" i="14"/>
  <c r="AH30" i="14"/>
  <c r="V30" i="14"/>
  <c r="AH29" i="14"/>
  <c r="V29" i="14"/>
  <c r="AH28" i="14"/>
  <c r="V28" i="14"/>
  <c r="AH27" i="14"/>
  <c r="V27" i="14"/>
  <c r="AH25" i="14"/>
  <c r="AE25" i="14"/>
  <c r="AD25" i="14"/>
  <c r="AC25" i="14"/>
  <c r="AB25" i="14"/>
  <c r="AA25" i="14"/>
  <c r="Z25" i="14"/>
  <c r="Y25" i="14"/>
  <c r="X25" i="14"/>
  <c r="AH24" i="14"/>
  <c r="AB24" i="14"/>
  <c r="AA24" i="14"/>
  <c r="Z24" i="14"/>
  <c r="Y24" i="14"/>
  <c r="X24" i="14"/>
  <c r="AH23" i="14"/>
  <c r="AB23" i="14"/>
  <c r="AA23" i="14"/>
  <c r="Z23" i="14"/>
  <c r="Y23" i="14"/>
  <c r="X23" i="14"/>
  <c r="AH22" i="14"/>
  <c r="AB22" i="14"/>
  <c r="AA22" i="14"/>
  <c r="Z22" i="14"/>
  <c r="Y22" i="14"/>
  <c r="X22" i="14"/>
  <c r="AH21" i="14"/>
  <c r="G134" i="14"/>
  <c r="D134" i="14"/>
  <c r="C134" i="14"/>
  <c r="B134" i="14"/>
  <c r="AA11" i="14"/>
  <c r="W23" i="14" s="1"/>
  <c r="AA10" i="14"/>
  <c r="W24" i="14" s="1"/>
  <c r="AA9" i="14"/>
  <c r="W22" i="14" s="1"/>
  <c r="AA8" i="14"/>
  <c r="W21" i="14" s="1"/>
  <c r="AA7" i="14"/>
  <c r="W25" i="14" s="1"/>
  <c r="J124" i="14"/>
  <c r="I124" i="14"/>
  <c r="H124" i="14"/>
  <c r="T57" i="13"/>
  <c r="S57" i="13"/>
  <c r="R57" i="13"/>
  <c r="Q57" i="13"/>
  <c r="P57" i="13"/>
  <c r="O57" i="13"/>
  <c r="N57" i="13"/>
  <c r="M57" i="13"/>
  <c r="L57" i="13"/>
  <c r="K57" i="13"/>
  <c r="J57" i="13"/>
  <c r="T49" i="13"/>
  <c r="S49" i="13"/>
  <c r="R49" i="13"/>
  <c r="Q49" i="13"/>
  <c r="P49" i="13"/>
  <c r="O49" i="13"/>
  <c r="N49" i="13"/>
  <c r="M49" i="13"/>
  <c r="L49" i="13"/>
  <c r="K49" i="13"/>
  <c r="J49" i="13"/>
  <c r="T25" i="13"/>
  <c r="S25" i="13"/>
  <c r="R25" i="13"/>
  <c r="Q25" i="13"/>
  <c r="P25" i="13"/>
  <c r="O25" i="13"/>
  <c r="N25" i="13"/>
  <c r="M25" i="13"/>
  <c r="L25" i="13"/>
  <c r="K25" i="13"/>
  <c r="J25" i="13"/>
  <c r="C15" i="13"/>
  <c r="B15" i="13"/>
  <c r="F3" i="13"/>
  <c r="E3" i="13"/>
  <c r="N316" i="12"/>
  <c r="N317" i="12" s="1"/>
  <c r="N318" i="12" s="1"/>
  <c r="N319" i="12" s="1"/>
  <c r="N320" i="12" s="1"/>
  <c r="N321" i="12" s="1"/>
  <c r="N322" i="12" s="1"/>
  <c r="N323" i="12" s="1"/>
  <c r="N324" i="12" s="1"/>
  <c r="N325" i="12" s="1"/>
  <c r="N326" i="12" s="1"/>
  <c r="N327" i="12" s="1"/>
  <c r="N301" i="12"/>
  <c r="N302" i="12" s="1"/>
  <c r="N303" i="12" s="1"/>
  <c r="N304" i="12" s="1"/>
  <c r="N305" i="12" s="1"/>
  <c r="N306" i="12" s="1"/>
  <c r="N307" i="12" s="1"/>
  <c r="N308" i="12" s="1"/>
  <c r="N309" i="12" s="1"/>
  <c r="N310" i="12" s="1"/>
  <c r="N311" i="12" s="1"/>
  <c r="N312" i="12" s="1"/>
  <c r="N286" i="12"/>
  <c r="N287" i="12" s="1"/>
  <c r="N288" i="12" s="1"/>
  <c r="N289" i="12" s="1"/>
  <c r="N290" i="12" s="1"/>
  <c r="N291" i="12" s="1"/>
  <c r="N292" i="12" s="1"/>
  <c r="N293" i="12" s="1"/>
  <c r="N294" i="12" s="1"/>
  <c r="N295" i="12" s="1"/>
  <c r="N296" i="12" s="1"/>
  <c r="N297" i="12" s="1"/>
  <c r="N271" i="12"/>
  <c r="N272" i="12" s="1"/>
  <c r="N273" i="12" s="1"/>
  <c r="N274" i="12" s="1"/>
  <c r="N275" i="12" s="1"/>
  <c r="N276" i="12" s="1"/>
  <c r="N277" i="12" s="1"/>
  <c r="N278" i="12" s="1"/>
  <c r="N279" i="12" s="1"/>
  <c r="N280" i="12" s="1"/>
  <c r="N281" i="12" s="1"/>
  <c r="N282" i="12" s="1"/>
  <c r="N256" i="12"/>
  <c r="N257" i="12" s="1"/>
  <c r="N258" i="12" s="1"/>
  <c r="N259" i="12" s="1"/>
  <c r="N260" i="12" s="1"/>
  <c r="N261" i="12" s="1"/>
  <c r="N262" i="12" s="1"/>
  <c r="N263" i="12" s="1"/>
  <c r="N264" i="12" s="1"/>
  <c r="N265" i="12" s="1"/>
  <c r="N266" i="12" s="1"/>
  <c r="N267" i="12" s="1"/>
  <c r="N241" i="12"/>
  <c r="N242" i="12" s="1"/>
  <c r="N243" i="12" s="1"/>
  <c r="N226" i="12"/>
  <c r="N227" i="12" s="1"/>
  <c r="N228" i="12" s="1"/>
  <c r="N229" i="12" s="1"/>
  <c r="N230" i="12" s="1"/>
  <c r="N231" i="12" s="1"/>
  <c r="N232" i="12" s="1"/>
  <c r="N233" i="12" s="1"/>
  <c r="N234" i="12" s="1"/>
  <c r="N235" i="12" s="1"/>
  <c r="N236" i="12" s="1"/>
  <c r="N237" i="12" s="1"/>
  <c r="N213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AB150" i="12"/>
  <c r="AB149" i="12"/>
  <c r="AB148" i="12"/>
  <c r="AB147" i="12"/>
  <c r="AB146" i="12"/>
  <c r="AB145" i="12"/>
  <c r="AB144" i="12"/>
  <c r="AB143" i="12"/>
  <c r="AB142" i="12"/>
  <c r="AB141" i="12"/>
  <c r="AB140" i="12"/>
  <c r="AB139" i="12"/>
  <c r="AB138" i="12"/>
  <c r="AB137" i="12"/>
  <c r="AB136" i="12"/>
  <c r="AB135" i="12"/>
  <c r="AB134" i="12"/>
  <c r="AB133" i="12"/>
  <c r="AB132" i="12"/>
  <c r="AB131" i="12"/>
  <c r="AB130" i="12"/>
  <c r="AB129" i="12"/>
  <c r="AB128" i="12"/>
  <c r="AB127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Z97" i="12"/>
  <c r="Y97" i="12"/>
  <c r="X97" i="12"/>
  <c r="W97" i="12"/>
  <c r="V97" i="12"/>
  <c r="U97" i="12"/>
  <c r="T97" i="12"/>
  <c r="S97" i="12"/>
  <c r="R97" i="12"/>
  <c r="Q97" i="12"/>
  <c r="P97" i="12"/>
  <c r="M97" i="12"/>
  <c r="M96" i="12"/>
  <c r="M95" i="12"/>
  <c r="Z94" i="12"/>
  <c r="Y94" i="12"/>
  <c r="X94" i="12"/>
  <c r="W94" i="12"/>
  <c r="V94" i="12"/>
  <c r="U94" i="12"/>
  <c r="T94" i="12"/>
  <c r="S94" i="12"/>
  <c r="R94" i="12"/>
  <c r="Q94" i="12"/>
  <c r="P94" i="12"/>
  <c r="M94" i="12"/>
  <c r="M93" i="12"/>
  <c r="M92" i="12"/>
  <c r="Z91" i="12"/>
  <c r="Y91" i="12"/>
  <c r="X91" i="12"/>
  <c r="W91" i="12"/>
  <c r="V91" i="12"/>
  <c r="U91" i="12"/>
  <c r="T91" i="12"/>
  <c r="S91" i="12"/>
  <c r="R91" i="12"/>
  <c r="Q91" i="12"/>
  <c r="P91" i="12"/>
  <c r="M91" i="12"/>
  <c r="M90" i="12"/>
  <c r="M89" i="12"/>
  <c r="Z88" i="12"/>
  <c r="Y88" i="12"/>
  <c r="X88" i="12"/>
  <c r="W88" i="12"/>
  <c r="V88" i="12"/>
  <c r="U88" i="12"/>
  <c r="T88" i="12"/>
  <c r="S88" i="12"/>
  <c r="R88" i="12"/>
  <c r="Q88" i="12"/>
  <c r="P88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S64" i="12"/>
  <c r="M64" i="12"/>
  <c r="S63" i="12"/>
  <c r="M63" i="12"/>
  <c r="S62" i="12"/>
  <c r="M62" i="12"/>
  <c r="S61" i="12"/>
  <c r="M61" i="12"/>
  <c r="S60" i="12"/>
  <c r="M60" i="12"/>
  <c r="S59" i="12"/>
  <c r="M59" i="12"/>
  <c r="S58" i="12"/>
  <c r="M58" i="12"/>
  <c r="S57" i="12"/>
  <c r="M57" i="12"/>
  <c r="S56" i="12"/>
  <c r="M56" i="12"/>
  <c r="S55" i="12"/>
  <c r="M55" i="12"/>
  <c r="S54" i="12"/>
  <c r="M54" i="12"/>
  <c r="S53" i="12"/>
  <c r="M53" i="12"/>
  <c r="S52" i="12"/>
  <c r="M52" i="12"/>
  <c r="S51" i="12"/>
  <c r="M51" i="12"/>
  <c r="S50" i="12"/>
  <c r="M50" i="12"/>
  <c r="S48" i="12"/>
  <c r="M48" i="12"/>
  <c r="S47" i="12"/>
  <c r="M47" i="12"/>
  <c r="S46" i="12"/>
  <c r="M46" i="12"/>
  <c r="S45" i="12"/>
  <c r="M45" i="12"/>
  <c r="S44" i="12"/>
  <c r="M44" i="12"/>
  <c r="S43" i="12"/>
  <c r="M43" i="12"/>
  <c r="S42" i="12"/>
  <c r="M42" i="12"/>
  <c r="S41" i="12"/>
  <c r="M41" i="12"/>
  <c r="S40" i="12"/>
  <c r="M40" i="12"/>
  <c r="S39" i="12"/>
  <c r="M39" i="12"/>
  <c r="S38" i="12"/>
  <c r="M38" i="12"/>
  <c r="S37" i="12"/>
  <c r="M37" i="12"/>
  <c r="S36" i="12"/>
  <c r="M36" i="12"/>
  <c r="S35" i="12"/>
  <c r="M35" i="12"/>
  <c r="S34" i="12"/>
  <c r="M34" i="12"/>
  <c r="S33" i="12"/>
  <c r="M33" i="12"/>
  <c r="S32" i="12"/>
  <c r="M32" i="12"/>
  <c r="S31" i="12"/>
  <c r="M31" i="12"/>
  <c r="S30" i="12"/>
  <c r="M30" i="12"/>
  <c r="S29" i="12"/>
  <c r="M29" i="12"/>
  <c r="S28" i="12"/>
  <c r="M28" i="12"/>
  <c r="S27" i="12"/>
  <c r="M27" i="12"/>
  <c r="S26" i="12"/>
  <c r="M26" i="12"/>
  <c r="S25" i="12"/>
  <c r="M25" i="12"/>
  <c r="S24" i="12"/>
  <c r="M24" i="12"/>
  <c r="S23" i="12"/>
  <c r="M23" i="12"/>
  <c r="S22" i="12"/>
  <c r="M22" i="12"/>
  <c r="S21" i="12"/>
  <c r="M21" i="12"/>
  <c r="S20" i="12"/>
  <c r="M20" i="12"/>
  <c r="D19" i="12"/>
  <c r="C19" i="12"/>
  <c r="B19" i="12"/>
  <c r="Q8" i="12"/>
  <c r="R100" i="12" s="1"/>
  <c r="I3" i="12"/>
  <c r="H3" i="12"/>
  <c r="G3" i="12"/>
  <c r="G20" i="12" s="1"/>
  <c r="H20" i="12" s="1"/>
  <c r="C20" i="12" s="1"/>
  <c r="AD156" i="11"/>
  <c r="AB156" i="11"/>
  <c r="AA156" i="11"/>
  <c r="Z156" i="11"/>
  <c r="Y156" i="11"/>
  <c r="X156" i="11"/>
  <c r="W156" i="11"/>
  <c r="V156" i="11"/>
  <c r="U156" i="11"/>
  <c r="AB155" i="11"/>
  <c r="AA155" i="11"/>
  <c r="Z155" i="11"/>
  <c r="Y155" i="11"/>
  <c r="X155" i="11"/>
  <c r="W155" i="11"/>
  <c r="V155" i="11"/>
  <c r="U155" i="11"/>
  <c r="Z154" i="11"/>
  <c r="Y154" i="11"/>
  <c r="X154" i="11"/>
  <c r="W154" i="11"/>
  <c r="V154" i="11"/>
  <c r="U154" i="11"/>
  <c r="Z153" i="11"/>
  <c r="Y153" i="11"/>
  <c r="X153" i="11"/>
  <c r="W153" i="11"/>
  <c r="V153" i="11"/>
  <c r="U153" i="11"/>
  <c r="Y152" i="11"/>
  <c r="X152" i="11"/>
  <c r="W152" i="11"/>
  <c r="V152" i="11"/>
  <c r="U152" i="11"/>
  <c r="AG150" i="11"/>
  <c r="X151" i="11" s="1"/>
  <c r="AF150" i="11"/>
  <c r="AE150" i="11"/>
  <c r="V151" i="11" s="1"/>
  <c r="AD150" i="11"/>
  <c r="U151" i="11" s="1"/>
  <c r="X150" i="11"/>
  <c r="U150" i="11"/>
  <c r="AK149" i="11"/>
  <c r="AK150" i="11" s="1"/>
  <c r="AB150" i="11" s="1"/>
  <c r="AJ149" i="11"/>
  <c r="AJ150" i="11" s="1"/>
  <c r="AI149" i="11"/>
  <c r="AI150" i="11" s="1"/>
  <c r="AH149" i="11"/>
  <c r="AH150" i="11" s="1"/>
  <c r="AB149" i="11"/>
  <c r="AA149" i="11"/>
  <c r="Z149" i="11"/>
  <c r="Y149" i="11"/>
  <c r="X149" i="11"/>
  <c r="W149" i="11"/>
  <c r="V149" i="11"/>
  <c r="U149" i="11"/>
  <c r="AB148" i="11"/>
  <c r="AA148" i="11"/>
  <c r="Z148" i="11"/>
  <c r="Y148" i="11"/>
  <c r="X148" i="11"/>
  <c r="W148" i="11"/>
  <c r="V148" i="11"/>
  <c r="U148" i="11"/>
  <c r="AB147" i="11"/>
  <c r="AA147" i="11"/>
  <c r="Z147" i="11"/>
  <c r="Y147" i="11"/>
  <c r="X147" i="11"/>
  <c r="W147" i="11"/>
  <c r="V147" i="11"/>
  <c r="U147" i="11"/>
  <c r="R147" i="11"/>
  <c r="V144" i="11"/>
  <c r="AD139" i="11"/>
  <c r="AB139" i="11"/>
  <c r="AA139" i="11"/>
  <c r="Z139" i="11"/>
  <c r="Y139" i="11"/>
  <c r="X139" i="11"/>
  <c r="W139" i="11"/>
  <c r="V139" i="11"/>
  <c r="U139" i="11"/>
  <c r="AB138" i="11"/>
  <c r="AA138" i="11"/>
  <c r="Z138" i="11"/>
  <c r="Y138" i="11"/>
  <c r="X138" i="11"/>
  <c r="W138" i="11"/>
  <c r="V138" i="11"/>
  <c r="U138" i="11"/>
  <c r="Z137" i="11"/>
  <c r="Y137" i="11"/>
  <c r="X137" i="11"/>
  <c r="W137" i="11"/>
  <c r="V137" i="11"/>
  <c r="U137" i="11"/>
  <c r="Z136" i="11"/>
  <c r="Y136" i="11"/>
  <c r="X136" i="11"/>
  <c r="W136" i="11"/>
  <c r="V136" i="11"/>
  <c r="U136" i="11"/>
  <c r="Y135" i="11"/>
  <c r="X135" i="11"/>
  <c r="W135" i="11"/>
  <c r="V135" i="11"/>
  <c r="U135" i="11"/>
  <c r="U134" i="11"/>
  <c r="AK133" i="11"/>
  <c r="AK134" i="11" s="1"/>
  <c r="AG133" i="11"/>
  <c r="X134" i="11" s="1"/>
  <c r="AF133" i="11"/>
  <c r="W134" i="11" s="1"/>
  <c r="AE133" i="11"/>
  <c r="V134" i="11" s="1"/>
  <c r="AD133" i="11"/>
  <c r="X133" i="11"/>
  <c r="W133" i="11"/>
  <c r="V133" i="11"/>
  <c r="U133" i="11"/>
  <c r="AK132" i="11"/>
  <c r="AJ132" i="11"/>
  <c r="AJ133" i="11" s="1"/>
  <c r="AI132" i="11"/>
  <c r="AI133" i="11" s="1"/>
  <c r="Z133" i="11" s="1"/>
  <c r="AH132" i="11"/>
  <c r="AH133" i="11" s="1"/>
  <c r="Y133" i="11" s="1"/>
  <c r="AB132" i="11"/>
  <c r="AA132" i="11"/>
  <c r="Z132" i="11"/>
  <c r="Y132" i="11"/>
  <c r="X132" i="11"/>
  <c r="W132" i="11"/>
  <c r="V132" i="11"/>
  <c r="U132" i="11"/>
  <c r="AB131" i="11"/>
  <c r="AA131" i="11"/>
  <c r="Z131" i="11"/>
  <c r="Y131" i="11"/>
  <c r="X131" i="11"/>
  <c r="W131" i="11"/>
  <c r="V131" i="11"/>
  <c r="U131" i="11"/>
  <c r="AB130" i="11"/>
  <c r="AA130" i="11"/>
  <c r="Z130" i="11"/>
  <c r="Y130" i="11"/>
  <c r="X130" i="11"/>
  <c r="W130" i="11"/>
  <c r="V130" i="11"/>
  <c r="U130" i="11"/>
  <c r="R130" i="11"/>
  <c r="R131" i="11" s="1"/>
  <c r="V127" i="11"/>
  <c r="AK122" i="11"/>
  <c r="AJ122" i="11"/>
  <c r="AI122" i="11"/>
  <c r="AH122" i="11"/>
  <c r="AG122" i="11"/>
  <c r="AF122" i="11"/>
  <c r="AE122" i="11"/>
  <c r="AD122" i="11"/>
  <c r="AB122" i="11"/>
  <c r="AA122" i="11"/>
  <c r="Z122" i="11"/>
  <c r="Y122" i="11"/>
  <c r="X122" i="11"/>
  <c r="W122" i="11"/>
  <c r="V122" i="11"/>
  <c r="U122" i="11"/>
  <c r="AB121" i="11"/>
  <c r="AA121" i="11"/>
  <c r="Z121" i="11"/>
  <c r="Y121" i="11"/>
  <c r="X121" i="11"/>
  <c r="W121" i="11"/>
  <c r="V121" i="11"/>
  <c r="U121" i="11"/>
  <c r="Z120" i="11"/>
  <c r="Y120" i="11"/>
  <c r="X120" i="11"/>
  <c r="W120" i="11"/>
  <c r="V120" i="11"/>
  <c r="U120" i="11"/>
  <c r="Z119" i="11"/>
  <c r="Y119" i="11"/>
  <c r="X119" i="11"/>
  <c r="W119" i="11"/>
  <c r="V119" i="11"/>
  <c r="U119" i="11"/>
  <c r="Y118" i="11"/>
  <c r="X118" i="11"/>
  <c r="W118" i="11"/>
  <c r="V118" i="11"/>
  <c r="U118" i="11"/>
  <c r="AG116" i="11"/>
  <c r="AF116" i="11"/>
  <c r="W117" i="11" s="1"/>
  <c r="AE116" i="11"/>
  <c r="V117" i="11" s="1"/>
  <c r="AD116" i="11"/>
  <c r="U117" i="11" s="1"/>
  <c r="U116" i="11"/>
  <c r="AK115" i="11"/>
  <c r="AK116" i="11" s="1"/>
  <c r="AJ115" i="11"/>
  <c r="AJ116" i="11" s="1"/>
  <c r="AA116" i="11" s="1"/>
  <c r="AI115" i="11"/>
  <c r="AI116" i="11" s="1"/>
  <c r="AH115" i="11"/>
  <c r="AH116" i="11" s="1"/>
  <c r="Y117" i="11" s="1"/>
  <c r="AB115" i="11"/>
  <c r="AA115" i="11"/>
  <c r="Z115" i="11"/>
  <c r="Y115" i="11"/>
  <c r="X115" i="11"/>
  <c r="W115" i="11"/>
  <c r="V115" i="11"/>
  <c r="U115" i="11"/>
  <c r="AB114" i="11"/>
  <c r="AA114" i="11"/>
  <c r="Z114" i="11"/>
  <c r="Y114" i="11"/>
  <c r="X114" i="11"/>
  <c r="W114" i="11"/>
  <c r="V114" i="11"/>
  <c r="U114" i="11"/>
  <c r="Q114" i="11"/>
  <c r="AB113" i="11"/>
  <c r="AA113" i="11"/>
  <c r="Z113" i="11"/>
  <c r="Y113" i="11"/>
  <c r="X113" i="11"/>
  <c r="W113" i="11"/>
  <c r="V113" i="11"/>
  <c r="U113" i="11"/>
  <c r="R113" i="11"/>
  <c r="R114" i="11" s="1"/>
  <c r="R115" i="11" s="1"/>
  <c r="W110" i="11"/>
  <c r="V110" i="11"/>
  <c r="AE105" i="11"/>
  <c r="AD105" i="11"/>
  <c r="AB105" i="11"/>
  <c r="AA105" i="11"/>
  <c r="Z105" i="11"/>
  <c r="Y105" i="11"/>
  <c r="X105" i="11"/>
  <c r="W105" i="11"/>
  <c r="V105" i="11"/>
  <c r="U105" i="11"/>
  <c r="AB104" i="11"/>
  <c r="AA104" i="11"/>
  <c r="Z104" i="11"/>
  <c r="Y104" i="11"/>
  <c r="X104" i="11"/>
  <c r="W104" i="11"/>
  <c r="V104" i="11"/>
  <c r="U104" i="11"/>
  <c r="Z103" i="11"/>
  <c r="Y103" i="11"/>
  <c r="X103" i="11"/>
  <c r="W103" i="11"/>
  <c r="V103" i="11"/>
  <c r="U103" i="11"/>
  <c r="Z102" i="11"/>
  <c r="Y102" i="11"/>
  <c r="X102" i="11"/>
  <c r="W102" i="11"/>
  <c r="V102" i="11"/>
  <c r="U102" i="11"/>
  <c r="Y101" i="11"/>
  <c r="X101" i="11"/>
  <c r="W101" i="11"/>
  <c r="V101" i="11"/>
  <c r="U101" i="11"/>
  <c r="AJ100" i="11"/>
  <c r="AG99" i="11"/>
  <c r="X100" i="11" s="1"/>
  <c r="AF99" i="11"/>
  <c r="W100" i="11" s="1"/>
  <c r="AE99" i="11"/>
  <c r="V100" i="11" s="1"/>
  <c r="AD99" i="11"/>
  <c r="U100" i="11" s="1"/>
  <c r="X99" i="11"/>
  <c r="W99" i="11"/>
  <c r="V99" i="11"/>
  <c r="AK98" i="11"/>
  <c r="AK99" i="11" s="1"/>
  <c r="AJ98" i="11"/>
  <c r="AJ99" i="11" s="1"/>
  <c r="AA99" i="11" s="1"/>
  <c r="AI98" i="11"/>
  <c r="AI99" i="11" s="1"/>
  <c r="AH98" i="11"/>
  <c r="AH99" i="11" s="1"/>
  <c r="Y100" i="11" s="1"/>
  <c r="AB98" i="11"/>
  <c r="AA98" i="11"/>
  <c r="Z98" i="11"/>
  <c r="Y98" i="11"/>
  <c r="X98" i="11"/>
  <c r="W98" i="11"/>
  <c r="V98" i="11"/>
  <c r="U98" i="11"/>
  <c r="AB97" i="11"/>
  <c r="AA97" i="11"/>
  <c r="Z97" i="11"/>
  <c r="Y97" i="11"/>
  <c r="X97" i="11"/>
  <c r="W97" i="11"/>
  <c r="V97" i="11"/>
  <c r="U97" i="11"/>
  <c r="AB96" i="11"/>
  <c r="AA96" i="11"/>
  <c r="Z96" i="11"/>
  <c r="Y96" i="11"/>
  <c r="X96" i="11"/>
  <c r="W96" i="11"/>
  <c r="V96" i="11"/>
  <c r="U96" i="11"/>
  <c r="R96" i="11"/>
  <c r="R97" i="11" s="1"/>
  <c r="Q97" i="11" s="1"/>
  <c r="W93" i="11"/>
  <c r="V93" i="11"/>
  <c r="AE88" i="11"/>
  <c r="AD88" i="11"/>
  <c r="AB88" i="11"/>
  <c r="AA88" i="11"/>
  <c r="Z88" i="11"/>
  <c r="Y88" i="11"/>
  <c r="X88" i="11"/>
  <c r="W88" i="11"/>
  <c r="V88" i="11"/>
  <c r="U88" i="11"/>
  <c r="AB87" i="11"/>
  <c r="AA87" i="11"/>
  <c r="Z87" i="11"/>
  <c r="Y87" i="11"/>
  <c r="X87" i="11"/>
  <c r="W87" i="11"/>
  <c r="V87" i="11"/>
  <c r="U87" i="11"/>
  <c r="Z86" i="11"/>
  <c r="Y86" i="11"/>
  <c r="X86" i="11"/>
  <c r="W86" i="11"/>
  <c r="V86" i="11"/>
  <c r="U86" i="11"/>
  <c r="Z85" i="11"/>
  <c r="Y85" i="11"/>
  <c r="X85" i="11"/>
  <c r="W85" i="11"/>
  <c r="V85" i="11"/>
  <c r="U85" i="11"/>
  <c r="Y84" i="11"/>
  <c r="X84" i="11"/>
  <c r="W84" i="11"/>
  <c r="V84" i="11"/>
  <c r="U84" i="11"/>
  <c r="AH82" i="11"/>
  <c r="Y83" i="11" s="1"/>
  <c r="AG82" i="11"/>
  <c r="X83" i="11" s="1"/>
  <c r="AF82" i="11"/>
  <c r="W83" i="11" s="1"/>
  <c r="AE82" i="11"/>
  <c r="V82" i="11" s="1"/>
  <c r="AD82" i="11"/>
  <c r="U83" i="11" s="1"/>
  <c r="X82" i="11"/>
  <c r="W82" i="11"/>
  <c r="AK81" i="11"/>
  <c r="AK82" i="11" s="1"/>
  <c r="AJ81" i="11"/>
  <c r="AJ82" i="11" s="1"/>
  <c r="AA82" i="11" s="1"/>
  <c r="AI81" i="11"/>
  <c r="AI82" i="11" s="1"/>
  <c r="AH81" i="11"/>
  <c r="AB81" i="11"/>
  <c r="AA81" i="11"/>
  <c r="Z81" i="11"/>
  <c r="Y81" i="11"/>
  <c r="X81" i="11"/>
  <c r="W81" i="11"/>
  <c r="V81" i="11"/>
  <c r="U81" i="11"/>
  <c r="AB80" i="11"/>
  <c r="AA80" i="11"/>
  <c r="Z80" i="11"/>
  <c r="Y80" i="11"/>
  <c r="X80" i="11"/>
  <c r="W80" i="11"/>
  <c r="V80" i="11"/>
  <c r="U80" i="11"/>
  <c r="Q80" i="11"/>
  <c r="AB79" i="11"/>
  <c r="AA79" i="11"/>
  <c r="Z79" i="11"/>
  <c r="Y79" i="11"/>
  <c r="X79" i="11"/>
  <c r="W79" i="11"/>
  <c r="V79" i="11"/>
  <c r="U79" i="11"/>
  <c r="R79" i="11"/>
  <c r="R80" i="11" s="1"/>
  <c r="R81" i="11" s="1"/>
  <c r="W76" i="11"/>
  <c r="V76" i="11"/>
  <c r="AK71" i="11"/>
  <c r="AJ71" i="11"/>
  <c r="AI71" i="11"/>
  <c r="AH71" i="11"/>
  <c r="AG71" i="11"/>
  <c r="AF71" i="11"/>
  <c r="AE71" i="11"/>
  <c r="AD71" i="11"/>
  <c r="AB71" i="11"/>
  <c r="AA71" i="11"/>
  <c r="Z71" i="11"/>
  <c r="Y71" i="11"/>
  <c r="X71" i="11"/>
  <c r="W71" i="11"/>
  <c r="V71" i="11"/>
  <c r="U71" i="11"/>
  <c r="AB70" i="11"/>
  <c r="AA70" i="11"/>
  <c r="Z70" i="11"/>
  <c r="Y70" i="11"/>
  <c r="X70" i="11"/>
  <c r="W70" i="11"/>
  <c r="V70" i="11"/>
  <c r="U70" i="11"/>
  <c r="Z69" i="11"/>
  <c r="Y69" i="11"/>
  <c r="X69" i="11"/>
  <c r="W69" i="11"/>
  <c r="V69" i="11"/>
  <c r="U69" i="11"/>
  <c r="Z68" i="11"/>
  <c r="Y68" i="11"/>
  <c r="X68" i="11"/>
  <c r="W68" i="11"/>
  <c r="V68" i="11"/>
  <c r="U68" i="11"/>
  <c r="Y67" i="11"/>
  <c r="X67" i="11"/>
  <c r="W67" i="11"/>
  <c r="V67" i="11"/>
  <c r="U67" i="11"/>
  <c r="X66" i="11"/>
  <c r="AG65" i="11"/>
  <c r="AF65" i="11"/>
  <c r="AE65" i="11"/>
  <c r="V66" i="11" s="1"/>
  <c r="AD65" i="11"/>
  <c r="U66" i="11" s="1"/>
  <c r="X65" i="11"/>
  <c r="U65" i="11"/>
  <c r="AK64" i="11"/>
  <c r="AK65" i="11" s="1"/>
  <c r="AJ64" i="11"/>
  <c r="AJ65" i="11" s="1"/>
  <c r="AI64" i="11"/>
  <c r="AI65" i="11" s="1"/>
  <c r="AH64" i="11"/>
  <c r="AH65" i="11" s="1"/>
  <c r="AB64" i="11"/>
  <c r="AA64" i="11"/>
  <c r="Z64" i="11"/>
  <c r="Y64" i="11"/>
  <c r="X64" i="11"/>
  <c r="W64" i="11"/>
  <c r="V64" i="11"/>
  <c r="U64" i="11"/>
  <c r="AB63" i="11"/>
  <c r="AA63" i="11"/>
  <c r="Z63" i="11"/>
  <c r="Y63" i="11"/>
  <c r="X63" i="11"/>
  <c r="W63" i="11"/>
  <c r="V63" i="11"/>
  <c r="U63" i="11"/>
  <c r="AB62" i="11"/>
  <c r="AA62" i="11"/>
  <c r="Z62" i="11"/>
  <c r="Y62" i="11"/>
  <c r="X62" i="11"/>
  <c r="W62" i="11"/>
  <c r="V62" i="11"/>
  <c r="U62" i="11"/>
  <c r="R62" i="11"/>
  <c r="V59" i="11"/>
  <c r="AE57" i="11"/>
  <c r="V53" i="11" s="1"/>
  <c r="AE54" i="11"/>
  <c r="AD54" i="11"/>
  <c r="U54" i="11"/>
  <c r="U53" i="11"/>
  <c r="U52" i="11"/>
  <c r="AI51" i="11"/>
  <c r="AH51" i="11"/>
  <c r="U51" i="11"/>
  <c r="U50" i="11"/>
  <c r="AG48" i="11"/>
  <c r="AF48" i="11"/>
  <c r="AE48" i="11"/>
  <c r="AD48" i="11"/>
  <c r="U49" i="11" s="1"/>
  <c r="U48" i="11"/>
  <c r="AK47" i="11"/>
  <c r="AK48" i="11" s="1"/>
  <c r="AJ47" i="11"/>
  <c r="AJ48" i="11" s="1"/>
  <c r="AJ49" i="11" s="1"/>
  <c r="AI47" i="11"/>
  <c r="AI48" i="11" s="1"/>
  <c r="AH47" i="11"/>
  <c r="AH48" i="11" s="1"/>
  <c r="U47" i="11"/>
  <c r="U46" i="11"/>
  <c r="U45" i="11"/>
  <c r="R45" i="11"/>
  <c r="W42" i="11"/>
  <c r="V42" i="11"/>
  <c r="AE40" i="11"/>
  <c r="AF40" i="11" s="1"/>
  <c r="U37" i="11"/>
  <c r="U36" i="11"/>
  <c r="U35" i="11"/>
  <c r="AI34" i="11"/>
  <c r="AH34" i="11"/>
  <c r="U34" i="11"/>
  <c r="U33" i="11"/>
  <c r="U32" i="11"/>
  <c r="AG31" i="11"/>
  <c r="AF31" i="11"/>
  <c r="AE31" i="11"/>
  <c r="U31" i="11"/>
  <c r="AK30" i="11"/>
  <c r="AK31" i="11" s="1"/>
  <c r="AJ30" i="11"/>
  <c r="AJ31" i="11" s="1"/>
  <c r="AI30" i="11"/>
  <c r="AI31" i="11" s="1"/>
  <c r="AH30" i="11"/>
  <c r="AH31" i="11" s="1"/>
  <c r="U30" i="11"/>
  <c r="U29" i="11"/>
  <c r="U28" i="11"/>
  <c r="R28" i="11"/>
  <c r="R29" i="11" s="1"/>
  <c r="AE27" i="11"/>
  <c r="W25" i="11"/>
  <c r="V25" i="11"/>
  <c r="H14" i="11"/>
  <c r="F13" i="11"/>
  <c r="D13" i="11"/>
  <c r="C13" i="11"/>
  <c r="B13" i="11"/>
  <c r="J2" i="11"/>
  <c r="I2" i="11"/>
  <c r="H2" i="11"/>
  <c r="J241" i="10"/>
  <c r="I241" i="10"/>
  <c r="H241" i="10"/>
  <c r="G241" i="10"/>
  <c r="F241" i="10"/>
  <c r="E241" i="10"/>
  <c r="D241" i="10"/>
  <c r="C241" i="10"/>
  <c r="J240" i="10"/>
  <c r="I240" i="10"/>
  <c r="H240" i="10"/>
  <c r="G240" i="10"/>
  <c r="F240" i="10"/>
  <c r="E240" i="10"/>
  <c r="D240" i="10"/>
  <c r="C240" i="10"/>
  <c r="J239" i="10"/>
  <c r="I239" i="10"/>
  <c r="H239" i="10"/>
  <c r="G239" i="10"/>
  <c r="F239" i="10"/>
  <c r="E239" i="10"/>
  <c r="D239" i="10"/>
  <c r="C239" i="10"/>
  <c r="J238" i="10"/>
  <c r="I238" i="10"/>
  <c r="H238" i="10"/>
  <c r="G238" i="10"/>
  <c r="F238" i="10"/>
  <c r="E238" i="10"/>
  <c r="D238" i="10"/>
  <c r="C238" i="10"/>
  <c r="J237" i="10"/>
  <c r="I237" i="10"/>
  <c r="H237" i="10"/>
  <c r="G237" i="10"/>
  <c r="F237" i="10"/>
  <c r="E237" i="10"/>
  <c r="D237" i="10"/>
  <c r="C237" i="10"/>
  <c r="J236" i="10"/>
  <c r="I236" i="10"/>
  <c r="H236" i="10"/>
  <c r="G236" i="10"/>
  <c r="F236" i="10"/>
  <c r="E236" i="10"/>
  <c r="D236" i="10"/>
  <c r="C236" i="10"/>
  <c r="J235" i="10"/>
  <c r="I235" i="10"/>
  <c r="H235" i="10"/>
  <c r="G235" i="10"/>
  <c r="F235" i="10"/>
  <c r="E235" i="10"/>
  <c r="D235" i="10"/>
  <c r="C235" i="10"/>
  <c r="K234" i="10"/>
  <c r="J234" i="10"/>
  <c r="I234" i="10"/>
  <c r="H234" i="10"/>
  <c r="G234" i="10"/>
  <c r="F234" i="10"/>
  <c r="E234" i="10"/>
  <c r="D234" i="10"/>
  <c r="C234" i="10"/>
  <c r="A234" i="10"/>
  <c r="A235" i="10" s="1"/>
  <c r="J230" i="10"/>
  <c r="I230" i="10"/>
  <c r="H230" i="10"/>
  <c r="G230" i="10"/>
  <c r="F230" i="10"/>
  <c r="E230" i="10"/>
  <c r="D230" i="10"/>
  <c r="C230" i="10"/>
  <c r="J229" i="10"/>
  <c r="I229" i="10"/>
  <c r="H229" i="10"/>
  <c r="G229" i="10"/>
  <c r="F229" i="10"/>
  <c r="E229" i="10"/>
  <c r="D229" i="10"/>
  <c r="C229" i="10"/>
  <c r="J228" i="10"/>
  <c r="I228" i="10"/>
  <c r="H228" i="10"/>
  <c r="G228" i="10"/>
  <c r="F228" i="10"/>
  <c r="E228" i="10"/>
  <c r="D228" i="10"/>
  <c r="C228" i="10"/>
  <c r="J227" i="10"/>
  <c r="I227" i="10"/>
  <c r="H227" i="10"/>
  <c r="G227" i="10"/>
  <c r="F227" i="10"/>
  <c r="E227" i="10"/>
  <c r="D227" i="10"/>
  <c r="C227" i="10"/>
  <c r="J226" i="10"/>
  <c r="I226" i="10"/>
  <c r="H226" i="10"/>
  <c r="G226" i="10"/>
  <c r="F226" i="10"/>
  <c r="E226" i="10"/>
  <c r="D226" i="10"/>
  <c r="C226" i="10"/>
  <c r="J225" i="10"/>
  <c r="I225" i="10"/>
  <c r="H225" i="10"/>
  <c r="G225" i="10"/>
  <c r="F225" i="10"/>
  <c r="E225" i="10"/>
  <c r="D225" i="10"/>
  <c r="C225" i="10"/>
  <c r="J224" i="10"/>
  <c r="I224" i="10"/>
  <c r="H224" i="10"/>
  <c r="G224" i="10"/>
  <c r="F224" i="10"/>
  <c r="E224" i="10"/>
  <c r="D224" i="10"/>
  <c r="C224" i="10"/>
  <c r="J223" i="10"/>
  <c r="I223" i="10"/>
  <c r="H223" i="10"/>
  <c r="G223" i="10"/>
  <c r="F223" i="10"/>
  <c r="E223" i="10"/>
  <c r="D223" i="10"/>
  <c r="C223" i="10"/>
  <c r="A223" i="10"/>
  <c r="A224" i="10" s="1"/>
  <c r="J219" i="10"/>
  <c r="I219" i="10"/>
  <c r="H219" i="10"/>
  <c r="G219" i="10"/>
  <c r="F219" i="10"/>
  <c r="E219" i="10"/>
  <c r="D219" i="10"/>
  <c r="C219" i="10"/>
  <c r="J218" i="10"/>
  <c r="I218" i="10"/>
  <c r="H218" i="10"/>
  <c r="G218" i="10"/>
  <c r="F218" i="10"/>
  <c r="E218" i="10"/>
  <c r="D218" i="10"/>
  <c r="C218" i="10"/>
  <c r="J217" i="10"/>
  <c r="I217" i="10"/>
  <c r="H217" i="10"/>
  <c r="G217" i="10"/>
  <c r="F217" i="10"/>
  <c r="E217" i="10"/>
  <c r="D217" i="10"/>
  <c r="C217" i="10"/>
  <c r="J216" i="10"/>
  <c r="I216" i="10"/>
  <c r="H216" i="10"/>
  <c r="G216" i="10"/>
  <c r="F216" i="10"/>
  <c r="E216" i="10"/>
  <c r="D216" i="10"/>
  <c r="C216" i="10"/>
  <c r="J215" i="10"/>
  <c r="I215" i="10"/>
  <c r="H215" i="10"/>
  <c r="G215" i="10"/>
  <c r="F215" i="10"/>
  <c r="E215" i="10"/>
  <c r="D215" i="10"/>
  <c r="C215" i="10"/>
  <c r="J214" i="10"/>
  <c r="I214" i="10"/>
  <c r="H214" i="10"/>
  <c r="G214" i="10"/>
  <c r="F214" i="10"/>
  <c r="E214" i="10"/>
  <c r="D214" i="10"/>
  <c r="C214" i="10"/>
  <c r="J213" i="10"/>
  <c r="I213" i="10"/>
  <c r="H213" i="10"/>
  <c r="G213" i="10"/>
  <c r="F213" i="10"/>
  <c r="E213" i="10"/>
  <c r="D213" i="10"/>
  <c r="C213" i="10"/>
  <c r="K212" i="10"/>
  <c r="J212" i="10"/>
  <c r="I212" i="10"/>
  <c r="H212" i="10"/>
  <c r="G212" i="10"/>
  <c r="F212" i="10"/>
  <c r="E212" i="10"/>
  <c r="D212" i="10"/>
  <c r="C212" i="10"/>
  <c r="A212" i="10"/>
  <c r="A213" i="10" s="1"/>
  <c r="J208" i="10"/>
  <c r="I208" i="10"/>
  <c r="H208" i="10"/>
  <c r="G208" i="10"/>
  <c r="F208" i="10"/>
  <c r="E208" i="10"/>
  <c r="D208" i="10"/>
  <c r="C208" i="10"/>
  <c r="J207" i="10"/>
  <c r="I207" i="10"/>
  <c r="H207" i="10"/>
  <c r="G207" i="10"/>
  <c r="F207" i="10"/>
  <c r="E207" i="10"/>
  <c r="D207" i="10"/>
  <c r="C207" i="10"/>
  <c r="J206" i="10"/>
  <c r="I206" i="10"/>
  <c r="H206" i="10"/>
  <c r="G206" i="10"/>
  <c r="F206" i="10"/>
  <c r="E206" i="10"/>
  <c r="D206" i="10"/>
  <c r="C206" i="10"/>
  <c r="J205" i="10"/>
  <c r="I205" i="10"/>
  <c r="H205" i="10"/>
  <c r="G205" i="10"/>
  <c r="F205" i="10"/>
  <c r="E205" i="10"/>
  <c r="D205" i="10"/>
  <c r="C205" i="10"/>
  <c r="J204" i="10"/>
  <c r="I204" i="10"/>
  <c r="H204" i="10"/>
  <c r="G204" i="10"/>
  <c r="F204" i="10"/>
  <c r="E204" i="10"/>
  <c r="D204" i="10"/>
  <c r="C204" i="10"/>
  <c r="J203" i="10"/>
  <c r="I203" i="10"/>
  <c r="H203" i="10"/>
  <c r="G203" i="10"/>
  <c r="F203" i="10"/>
  <c r="E203" i="10"/>
  <c r="D203" i="10"/>
  <c r="C203" i="10"/>
  <c r="J202" i="10"/>
  <c r="I202" i="10"/>
  <c r="H202" i="10"/>
  <c r="G202" i="10"/>
  <c r="F202" i="10"/>
  <c r="E202" i="10"/>
  <c r="D202" i="10"/>
  <c r="C202" i="10"/>
  <c r="J201" i="10"/>
  <c r="I201" i="10"/>
  <c r="H201" i="10"/>
  <c r="G201" i="10"/>
  <c r="F201" i="10"/>
  <c r="E201" i="10"/>
  <c r="D201" i="10"/>
  <c r="C201" i="10"/>
  <c r="A201" i="10"/>
  <c r="A202" i="10" s="1"/>
  <c r="J197" i="10"/>
  <c r="I197" i="10"/>
  <c r="H197" i="10"/>
  <c r="G197" i="10"/>
  <c r="F197" i="10"/>
  <c r="E197" i="10"/>
  <c r="D197" i="10"/>
  <c r="C197" i="10"/>
  <c r="J196" i="10"/>
  <c r="I196" i="10"/>
  <c r="H196" i="10"/>
  <c r="G196" i="10"/>
  <c r="F196" i="10"/>
  <c r="E196" i="10"/>
  <c r="D196" i="10"/>
  <c r="C196" i="10"/>
  <c r="J195" i="10"/>
  <c r="I195" i="10"/>
  <c r="H195" i="10"/>
  <c r="G195" i="10"/>
  <c r="F195" i="10"/>
  <c r="E195" i="10"/>
  <c r="D195" i="10"/>
  <c r="C195" i="10"/>
  <c r="J194" i="10"/>
  <c r="I194" i="10"/>
  <c r="H194" i="10"/>
  <c r="G194" i="10"/>
  <c r="F194" i="10"/>
  <c r="E194" i="10"/>
  <c r="D194" i="10"/>
  <c r="C194" i="10"/>
  <c r="J193" i="10"/>
  <c r="I193" i="10"/>
  <c r="H193" i="10"/>
  <c r="G193" i="10"/>
  <c r="F193" i="10"/>
  <c r="E193" i="10"/>
  <c r="D193" i="10"/>
  <c r="C193" i="10"/>
  <c r="J192" i="10"/>
  <c r="I192" i="10"/>
  <c r="H192" i="10"/>
  <c r="G192" i="10"/>
  <c r="F192" i="10"/>
  <c r="E192" i="10"/>
  <c r="D192" i="10"/>
  <c r="C192" i="10"/>
  <c r="J191" i="10"/>
  <c r="I191" i="10"/>
  <c r="H191" i="10"/>
  <c r="G191" i="10"/>
  <c r="F191" i="10"/>
  <c r="E191" i="10"/>
  <c r="D191" i="10"/>
  <c r="C191" i="10"/>
  <c r="K190" i="10"/>
  <c r="J190" i="10"/>
  <c r="I190" i="10"/>
  <c r="H190" i="10"/>
  <c r="G190" i="10"/>
  <c r="F190" i="10"/>
  <c r="E190" i="10"/>
  <c r="D190" i="10"/>
  <c r="C190" i="10"/>
  <c r="A190" i="10"/>
  <c r="A191" i="10" s="1"/>
  <c r="J185" i="10"/>
  <c r="I185" i="10"/>
  <c r="H185" i="10"/>
  <c r="G185" i="10"/>
  <c r="F185" i="10"/>
  <c r="E185" i="10"/>
  <c r="D185" i="10"/>
  <c r="C185" i="10"/>
  <c r="J184" i="10"/>
  <c r="I184" i="10"/>
  <c r="H184" i="10"/>
  <c r="G184" i="10"/>
  <c r="F184" i="10"/>
  <c r="E184" i="10"/>
  <c r="D184" i="10"/>
  <c r="C184" i="10"/>
  <c r="J183" i="10"/>
  <c r="I183" i="10"/>
  <c r="H183" i="10"/>
  <c r="G183" i="10"/>
  <c r="F183" i="10"/>
  <c r="E183" i="10"/>
  <c r="D183" i="10"/>
  <c r="C183" i="10"/>
  <c r="J182" i="10"/>
  <c r="I182" i="10"/>
  <c r="H182" i="10"/>
  <c r="G182" i="10"/>
  <c r="F182" i="10"/>
  <c r="E182" i="10"/>
  <c r="D182" i="10"/>
  <c r="C182" i="10"/>
  <c r="J181" i="10"/>
  <c r="I181" i="10"/>
  <c r="H181" i="10"/>
  <c r="G181" i="10"/>
  <c r="F181" i="10"/>
  <c r="E181" i="10"/>
  <c r="D181" i="10"/>
  <c r="C181" i="10"/>
  <c r="J180" i="10"/>
  <c r="I180" i="10"/>
  <c r="H180" i="10"/>
  <c r="G180" i="10"/>
  <c r="F180" i="10"/>
  <c r="E180" i="10"/>
  <c r="D180" i="10"/>
  <c r="C180" i="10"/>
  <c r="J179" i="10"/>
  <c r="I179" i="10"/>
  <c r="H179" i="10"/>
  <c r="G179" i="10"/>
  <c r="F179" i="10"/>
  <c r="E179" i="10"/>
  <c r="D179" i="10"/>
  <c r="C179" i="10"/>
  <c r="J178" i="10"/>
  <c r="I178" i="10"/>
  <c r="H178" i="10"/>
  <c r="G178" i="10"/>
  <c r="F178" i="10"/>
  <c r="E178" i="10"/>
  <c r="D178" i="10"/>
  <c r="C178" i="10"/>
  <c r="A178" i="10"/>
  <c r="K173" i="10"/>
  <c r="J173" i="10"/>
  <c r="I173" i="10"/>
  <c r="H173" i="10"/>
  <c r="G173" i="10"/>
  <c r="F173" i="10"/>
  <c r="E173" i="10"/>
  <c r="D173" i="10"/>
  <c r="C173" i="10"/>
  <c r="K172" i="10"/>
  <c r="J172" i="10"/>
  <c r="I172" i="10"/>
  <c r="H172" i="10"/>
  <c r="G172" i="10"/>
  <c r="F172" i="10"/>
  <c r="E172" i="10"/>
  <c r="D172" i="10"/>
  <c r="C172" i="10"/>
  <c r="K171" i="10"/>
  <c r="J171" i="10"/>
  <c r="I171" i="10"/>
  <c r="H171" i="10"/>
  <c r="G171" i="10"/>
  <c r="F171" i="10"/>
  <c r="E171" i="10"/>
  <c r="D171" i="10"/>
  <c r="C171" i="10"/>
  <c r="K170" i="10"/>
  <c r="J170" i="10"/>
  <c r="I170" i="10"/>
  <c r="H170" i="10"/>
  <c r="G170" i="10"/>
  <c r="F170" i="10"/>
  <c r="E170" i="10"/>
  <c r="D170" i="10"/>
  <c r="C170" i="10"/>
  <c r="K169" i="10"/>
  <c r="J169" i="10"/>
  <c r="I169" i="10"/>
  <c r="H169" i="10"/>
  <c r="G169" i="10"/>
  <c r="F169" i="10"/>
  <c r="E169" i="10"/>
  <c r="D169" i="10"/>
  <c r="C169" i="10"/>
  <c r="K168" i="10"/>
  <c r="J168" i="10"/>
  <c r="I168" i="10"/>
  <c r="H168" i="10"/>
  <c r="G168" i="10"/>
  <c r="F168" i="10"/>
  <c r="E168" i="10"/>
  <c r="D168" i="10"/>
  <c r="C168" i="10"/>
  <c r="K167" i="10"/>
  <c r="J167" i="10"/>
  <c r="I167" i="10"/>
  <c r="H167" i="10"/>
  <c r="G167" i="10"/>
  <c r="F167" i="10"/>
  <c r="E167" i="10"/>
  <c r="D167" i="10"/>
  <c r="C167" i="10"/>
  <c r="K166" i="10"/>
  <c r="J166" i="10"/>
  <c r="I166" i="10"/>
  <c r="H166" i="10"/>
  <c r="G166" i="10"/>
  <c r="F166" i="10"/>
  <c r="E166" i="10"/>
  <c r="D166" i="10"/>
  <c r="C166" i="10"/>
  <c r="J161" i="10"/>
  <c r="I161" i="10"/>
  <c r="H161" i="10"/>
  <c r="G161" i="10"/>
  <c r="F161" i="10"/>
  <c r="E161" i="10"/>
  <c r="D161" i="10"/>
  <c r="C161" i="10"/>
  <c r="K158" i="10"/>
  <c r="J158" i="10"/>
  <c r="I158" i="10"/>
  <c r="H158" i="10"/>
  <c r="G158" i="10"/>
  <c r="F158" i="10"/>
  <c r="E158" i="10"/>
  <c r="D158" i="10"/>
  <c r="C158" i="10"/>
  <c r="K157" i="10"/>
  <c r="J157" i="10"/>
  <c r="I157" i="10"/>
  <c r="H157" i="10"/>
  <c r="G157" i="10"/>
  <c r="F157" i="10"/>
  <c r="E157" i="10"/>
  <c r="D157" i="10"/>
  <c r="C157" i="10"/>
  <c r="K156" i="10"/>
  <c r="J156" i="10"/>
  <c r="I156" i="10"/>
  <c r="H156" i="10"/>
  <c r="G156" i="10"/>
  <c r="F156" i="10"/>
  <c r="E156" i="10"/>
  <c r="D156" i="10"/>
  <c r="C156" i="10"/>
  <c r="K155" i="10"/>
  <c r="J155" i="10"/>
  <c r="I155" i="10"/>
  <c r="H155" i="10"/>
  <c r="G155" i="10"/>
  <c r="F155" i="10"/>
  <c r="E155" i="10"/>
  <c r="D155" i="10"/>
  <c r="C155" i="10"/>
  <c r="K154" i="10"/>
  <c r="J154" i="10"/>
  <c r="I154" i="10"/>
  <c r="H154" i="10"/>
  <c r="G154" i="10"/>
  <c r="F154" i="10"/>
  <c r="E154" i="10"/>
  <c r="D154" i="10"/>
  <c r="C154" i="10"/>
  <c r="K153" i="10"/>
  <c r="J153" i="10"/>
  <c r="I153" i="10"/>
  <c r="H153" i="10"/>
  <c r="G153" i="10"/>
  <c r="F153" i="10"/>
  <c r="E153" i="10"/>
  <c r="D153" i="10"/>
  <c r="C153" i="10"/>
  <c r="K152" i="10"/>
  <c r="J152" i="10"/>
  <c r="I152" i="10"/>
  <c r="H152" i="10"/>
  <c r="G152" i="10"/>
  <c r="F152" i="10"/>
  <c r="E152" i="10"/>
  <c r="D152" i="10"/>
  <c r="C152" i="10"/>
  <c r="K151" i="10"/>
  <c r="J151" i="10"/>
  <c r="I151" i="10"/>
  <c r="H151" i="10"/>
  <c r="G151" i="10"/>
  <c r="F151" i="10"/>
  <c r="E151" i="10"/>
  <c r="D151" i="10"/>
  <c r="C151" i="10"/>
  <c r="J144" i="10"/>
  <c r="I144" i="10"/>
  <c r="H144" i="10"/>
  <c r="G144" i="10"/>
  <c r="F144" i="10"/>
  <c r="E144" i="10"/>
  <c r="D144" i="10"/>
  <c r="J143" i="10"/>
  <c r="I143" i="10"/>
  <c r="I118" i="10" s="1"/>
  <c r="H143" i="10"/>
  <c r="G143" i="10"/>
  <c r="F143" i="10"/>
  <c r="E143" i="10"/>
  <c r="E118" i="10" s="1"/>
  <c r="D143" i="10"/>
  <c r="J142" i="10"/>
  <c r="I142" i="10"/>
  <c r="H142" i="10"/>
  <c r="G142" i="10"/>
  <c r="F142" i="10"/>
  <c r="E142" i="10"/>
  <c r="D142" i="10"/>
  <c r="J141" i="10"/>
  <c r="I141" i="10"/>
  <c r="H141" i="10"/>
  <c r="G141" i="10"/>
  <c r="F141" i="10"/>
  <c r="E141" i="10"/>
  <c r="D141" i="10"/>
  <c r="J140" i="10"/>
  <c r="I140" i="10"/>
  <c r="H140" i="10"/>
  <c r="G140" i="10"/>
  <c r="F140" i="10"/>
  <c r="E140" i="10"/>
  <c r="D140" i="10"/>
  <c r="J139" i="10"/>
  <c r="I139" i="10"/>
  <c r="I114" i="10" s="1"/>
  <c r="H139" i="10"/>
  <c r="G139" i="10"/>
  <c r="F139" i="10"/>
  <c r="E139" i="10"/>
  <c r="E114" i="10" s="1"/>
  <c r="D139" i="10"/>
  <c r="J138" i="10"/>
  <c r="I138" i="10"/>
  <c r="H138" i="10"/>
  <c r="G138" i="10"/>
  <c r="F138" i="10"/>
  <c r="E138" i="10"/>
  <c r="D138" i="10"/>
  <c r="J137" i="10"/>
  <c r="I137" i="10"/>
  <c r="H137" i="10"/>
  <c r="G137" i="10"/>
  <c r="G112" i="10" s="1"/>
  <c r="F137" i="10"/>
  <c r="E137" i="10"/>
  <c r="D137" i="10"/>
  <c r="J134" i="10"/>
  <c r="I134" i="10"/>
  <c r="H134" i="10"/>
  <c r="G134" i="10"/>
  <c r="F134" i="10"/>
  <c r="E134" i="10"/>
  <c r="D134" i="10"/>
  <c r="C134" i="10"/>
  <c r="J131" i="10"/>
  <c r="J119" i="10" s="1"/>
  <c r="I131" i="10"/>
  <c r="H131" i="10"/>
  <c r="H119" i="10" s="1"/>
  <c r="G131" i="10"/>
  <c r="G119" i="10" s="1"/>
  <c r="F131" i="10"/>
  <c r="F119" i="10" s="1"/>
  <c r="E131" i="10"/>
  <c r="D131" i="10"/>
  <c r="D119" i="10" s="1"/>
  <c r="C131" i="10"/>
  <c r="C119" i="10" s="1"/>
  <c r="J130" i="10"/>
  <c r="J118" i="10" s="1"/>
  <c r="I130" i="10"/>
  <c r="H130" i="10"/>
  <c r="H118" i="10" s="1"/>
  <c r="G130" i="10"/>
  <c r="G118" i="10" s="1"/>
  <c r="F130" i="10"/>
  <c r="E130" i="10"/>
  <c r="D130" i="10"/>
  <c r="D118" i="10" s="1"/>
  <c r="C130" i="10"/>
  <c r="C118" i="10" s="1"/>
  <c r="J129" i="10"/>
  <c r="I129" i="10"/>
  <c r="H129" i="10"/>
  <c r="G129" i="10"/>
  <c r="F129" i="10"/>
  <c r="E129" i="10"/>
  <c r="D129" i="10"/>
  <c r="C129" i="10"/>
  <c r="J128" i="10"/>
  <c r="J116" i="10" s="1"/>
  <c r="I128" i="10"/>
  <c r="H128" i="10"/>
  <c r="G128" i="10"/>
  <c r="F128" i="10"/>
  <c r="F116" i="10" s="1"/>
  <c r="E128" i="10"/>
  <c r="D128" i="10"/>
  <c r="C128" i="10"/>
  <c r="J127" i="10"/>
  <c r="J115" i="10" s="1"/>
  <c r="I127" i="10"/>
  <c r="H127" i="10"/>
  <c r="H115" i="10" s="1"/>
  <c r="G127" i="10"/>
  <c r="G115" i="10" s="1"/>
  <c r="F127" i="10"/>
  <c r="F115" i="10" s="1"/>
  <c r="E127" i="10"/>
  <c r="D127" i="10"/>
  <c r="D115" i="10" s="1"/>
  <c r="C127" i="10"/>
  <c r="C115" i="10" s="1"/>
  <c r="J126" i="10"/>
  <c r="J114" i="10" s="1"/>
  <c r="I126" i="10"/>
  <c r="H126" i="10"/>
  <c r="H114" i="10" s="1"/>
  <c r="G126" i="10"/>
  <c r="G114" i="10" s="1"/>
  <c r="F126" i="10"/>
  <c r="F114" i="10" s="1"/>
  <c r="E126" i="10"/>
  <c r="D126" i="10"/>
  <c r="D114" i="10" s="1"/>
  <c r="C126" i="10"/>
  <c r="C114" i="10" s="1"/>
  <c r="J125" i="10"/>
  <c r="I125" i="10"/>
  <c r="H125" i="10"/>
  <c r="G125" i="10"/>
  <c r="F125" i="10"/>
  <c r="E125" i="10"/>
  <c r="D125" i="10"/>
  <c r="C125" i="10"/>
  <c r="J124" i="10"/>
  <c r="J112" i="10" s="1"/>
  <c r="I124" i="10"/>
  <c r="H124" i="10"/>
  <c r="G124" i="10"/>
  <c r="F124" i="10"/>
  <c r="E124" i="10"/>
  <c r="D124" i="10"/>
  <c r="D112" i="10" s="1"/>
  <c r="C124" i="10"/>
  <c r="T123" i="10"/>
  <c r="S123" i="10"/>
  <c r="R123" i="10"/>
  <c r="Q123" i="10"/>
  <c r="P123" i="10"/>
  <c r="O123" i="10"/>
  <c r="N123" i="10"/>
  <c r="M123" i="10"/>
  <c r="T122" i="10"/>
  <c r="S122" i="10"/>
  <c r="R122" i="10"/>
  <c r="Q122" i="10"/>
  <c r="P122" i="10"/>
  <c r="O122" i="10"/>
  <c r="N122" i="10"/>
  <c r="M122" i="10"/>
  <c r="T121" i="10"/>
  <c r="S121" i="10"/>
  <c r="R121" i="10"/>
  <c r="Q121" i="10"/>
  <c r="P121" i="10"/>
  <c r="O121" i="10"/>
  <c r="N121" i="10"/>
  <c r="M121" i="10"/>
  <c r="T120" i="10"/>
  <c r="S120" i="10"/>
  <c r="R120" i="10"/>
  <c r="Q120" i="10"/>
  <c r="P120" i="10"/>
  <c r="O120" i="10"/>
  <c r="N120" i="10"/>
  <c r="M120" i="10"/>
  <c r="T119" i="10"/>
  <c r="S119" i="10"/>
  <c r="R119" i="10"/>
  <c r="Q119" i="10"/>
  <c r="P119" i="10"/>
  <c r="O119" i="10"/>
  <c r="N119" i="10"/>
  <c r="M119" i="10"/>
  <c r="K119" i="10"/>
  <c r="I119" i="10"/>
  <c r="E119" i="10"/>
  <c r="T118" i="10"/>
  <c r="S118" i="10"/>
  <c r="R118" i="10"/>
  <c r="Q118" i="10"/>
  <c r="P118" i="10"/>
  <c r="O118" i="10"/>
  <c r="N118" i="10"/>
  <c r="M118" i="10"/>
  <c r="K118" i="10"/>
  <c r="F118" i="10"/>
  <c r="K117" i="10"/>
  <c r="G117" i="10"/>
  <c r="C117" i="10"/>
  <c r="K116" i="10"/>
  <c r="H116" i="10"/>
  <c r="G116" i="10"/>
  <c r="D116" i="10"/>
  <c r="C116" i="10"/>
  <c r="K115" i="10"/>
  <c r="I115" i="10"/>
  <c r="E115" i="10"/>
  <c r="K114" i="10"/>
  <c r="K113" i="10"/>
  <c r="G113" i="10"/>
  <c r="C113" i="10"/>
  <c r="K112" i="10"/>
  <c r="F82" i="10" s="1"/>
  <c r="H112" i="10"/>
  <c r="C112" i="10"/>
  <c r="M101" i="10"/>
  <c r="D101" i="10"/>
  <c r="M100" i="10"/>
  <c r="D100" i="10"/>
  <c r="M99" i="10"/>
  <c r="D99" i="10"/>
  <c r="M98" i="10"/>
  <c r="D98" i="10"/>
  <c r="M97" i="10"/>
  <c r="D97" i="10"/>
  <c r="M95" i="10"/>
  <c r="D95" i="10"/>
  <c r="M94" i="10"/>
  <c r="D94" i="10"/>
  <c r="M93" i="10"/>
  <c r="D93" i="10"/>
  <c r="M92" i="10"/>
  <c r="D92" i="10"/>
  <c r="M91" i="10"/>
  <c r="D91" i="10"/>
  <c r="M89" i="10"/>
  <c r="D89" i="10"/>
  <c r="M88" i="10"/>
  <c r="D88" i="10"/>
  <c r="M87" i="10"/>
  <c r="D87" i="10"/>
  <c r="M86" i="10"/>
  <c r="D86" i="10"/>
  <c r="M85" i="10"/>
  <c r="D85" i="10"/>
  <c r="M82" i="10"/>
  <c r="M80" i="10"/>
  <c r="D80" i="10"/>
  <c r="M79" i="10"/>
  <c r="D79" i="10"/>
  <c r="F79" i="10" s="1"/>
  <c r="M78" i="10"/>
  <c r="D78" i="10"/>
  <c r="M76" i="10"/>
  <c r="E76" i="10"/>
  <c r="D76" i="10"/>
  <c r="M75" i="10"/>
  <c r="M74" i="10"/>
  <c r="M73" i="10"/>
  <c r="M71" i="10"/>
  <c r="D71" i="10"/>
  <c r="M69" i="10"/>
  <c r="D69" i="10"/>
  <c r="M68" i="10"/>
  <c r="D68" i="10"/>
  <c r="M67" i="10"/>
  <c r="D67" i="10"/>
  <c r="V42" i="10"/>
  <c r="D82" i="10" s="1"/>
  <c r="M37" i="10"/>
  <c r="M36" i="10"/>
  <c r="M35" i="10"/>
  <c r="M34" i="10"/>
  <c r="M33" i="10"/>
  <c r="M31" i="10"/>
  <c r="M30" i="10"/>
  <c r="M29" i="10"/>
  <c r="M28" i="10"/>
  <c r="M27" i="10"/>
  <c r="M19" i="10"/>
  <c r="M18" i="10"/>
  <c r="M17" i="10"/>
  <c r="M16" i="10"/>
  <c r="M15" i="10"/>
  <c r="M14" i="10"/>
  <c r="M13" i="10"/>
  <c r="M12" i="10"/>
  <c r="M11" i="10"/>
  <c r="M7" i="10"/>
  <c r="M6" i="10"/>
  <c r="M5" i="10"/>
  <c r="M4" i="10"/>
  <c r="M3" i="10"/>
  <c r="M2" i="10"/>
  <c r="L42" i="9"/>
  <c r="K42" i="9"/>
  <c r="J42" i="9"/>
  <c r="I42" i="9"/>
  <c r="H42" i="9"/>
  <c r="G42" i="9"/>
  <c r="F42" i="9"/>
  <c r="E42" i="9"/>
  <c r="E46" i="9" s="1"/>
  <c r="D14" i="9" s="1"/>
  <c r="L41" i="9"/>
  <c r="K41" i="9"/>
  <c r="J41" i="9"/>
  <c r="I41" i="9"/>
  <c r="I45" i="9" s="1"/>
  <c r="H21" i="9" s="1"/>
  <c r="H41" i="9"/>
  <c r="G41" i="9"/>
  <c r="F41" i="9"/>
  <c r="E41" i="9"/>
  <c r="E45" i="9" s="1"/>
  <c r="D21" i="9" s="1"/>
  <c r="L40" i="9"/>
  <c r="K40" i="9"/>
  <c r="J40" i="9"/>
  <c r="I40" i="9"/>
  <c r="H40" i="9"/>
  <c r="G40" i="9"/>
  <c r="F40" i="9"/>
  <c r="E40" i="9"/>
  <c r="E44" i="9" s="1"/>
  <c r="D7" i="9" s="1"/>
  <c r="AE79" i="8"/>
  <c r="AD79" i="8"/>
  <c r="AC79" i="8"/>
  <c r="AB79" i="8"/>
  <c r="AA79" i="8"/>
  <c r="Z79" i="8"/>
  <c r="Y79" i="8"/>
  <c r="X79" i="8"/>
  <c r="AJ78" i="8"/>
  <c r="AI78" i="8"/>
  <c r="AH78" i="8"/>
  <c r="AG78" i="8"/>
  <c r="AJ77" i="8"/>
  <c r="AI77" i="8"/>
  <c r="AH77" i="8"/>
  <c r="AG77" i="8"/>
  <c r="AJ76" i="8"/>
  <c r="AI76" i="8"/>
  <c r="AH76" i="8"/>
  <c r="AG76" i="8"/>
  <c r="AJ75" i="8"/>
  <c r="AI75" i="8"/>
  <c r="AH75" i="8"/>
  <c r="AG75" i="8"/>
  <c r="AJ74" i="8"/>
  <c r="AI74" i="8"/>
  <c r="AH74" i="8"/>
  <c r="AG74" i="8"/>
  <c r="AJ73" i="8"/>
  <c r="AI73" i="8"/>
  <c r="AH73" i="8"/>
  <c r="AG73" i="8"/>
  <c r="AJ68" i="8"/>
  <c r="AI68" i="8"/>
  <c r="AH68" i="8"/>
  <c r="AG68" i="8"/>
  <c r="AJ67" i="8"/>
  <c r="AI67" i="8"/>
  <c r="AH67" i="8"/>
  <c r="AG67" i="8"/>
  <c r="AJ66" i="8"/>
  <c r="AI66" i="8"/>
  <c r="AH66" i="8"/>
  <c r="AG66" i="8"/>
  <c r="AJ65" i="8"/>
  <c r="AI65" i="8"/>
  <c r="AH65" i="8"/>
  <c r="AG65" i="8"/>
  <c r="AJ64" i="8"/>
  <c r="AI64" i="8"/>
  <c r="AH64" i="8"/>
  <c r="AG64" i="8"/>
  <c r="AJ63" i="8"/>
  <c r="AI63" i="8"/>
  <c r="AH63" i="8"/>
  <c r="AG63" i="8"/>
  <c r="L51" i="8"/>
  <c r="K51" i="8"/>
  <c r="J51" i="8"/>
  <c r="I51" i="8"/>
  <c r="H51" i="8"/>
  <c r="G51" i="8"/>
  <c r="F51" i="8"/>
  <c r="E51" i="8"/>
  <c r="L44" i="8"/>
  <c r="K44" i="8"/>
  <c r="J44" i="8"/>
  <c r="I44" i="8"/>
  <c r="H44" i="8"/>
  <c r="G44" i="8"/>
  <c r="F44" i="8"/>
  <c r="E44" i="8"/>
  <c r="L37" i="8"/>
  <c r="L39" i="8" s="1"/>
  <c r="K14" i="8" s="1"/>
  <c r="X64" i="4" s="1"/>
  <c r="K37" i="8"/>
  <c r="K39" i="8" s="1"/>
  <c r="J37" i="8"/>
  <c r="J39" i="8" s="1"/>
  <c r="I14" i="8" s="1"/>
  <c r="V64" i="4" s="1"/>
  <c r="I37" i="8"/>
  <c r="I39" i="8" s="1"/>
  <c r="H14" i="8" s="1"/>
  <c r="U64" i="4" s="1"/>
  <c r="H37" i="8"/>
  <c r="H39" i="8" s="1"/>
  <c r="G14" i="8" s="1"/>
  <c r="T64" i="4" s="1"/>
  <c r="G37" i="8"/>
  <c r="G39" i="8" s="1"/>
  <c r="F37" i="8"/>
  <c r="F39" i="8" s="1"/>
  <c r="E14" i="8" s="1"/>
  <c r="R64" i="4" s="1"/>
  <c r="E37" i="8"/>
  <c r="E39" i="8" s="1"/>
  <c r="D14" i="8" s="1"/>
  <c r="Q64" i="4" s="1"/>
  <c r="AA64" i="4" s="1"/>
  <c r="L36" i="8"/>
  <c r="K12" i="8" s="1"/>
  <c r="X62" i="4" s="1"/>
  <c r="AE198" i="14" s="1"/>
  <c r="AE199" i="14" s="1"/>
  <c r="K36" i="8"/>
  <c r="J36" i="8"/>
  <c r="I12" i="8" s="1"/>
  <c r="V62" i="4" s="1"/>
  <c r="AC198" i="14" s="1"/>
  <c r="AC199" i="14" s="1"/>
  <c r="I36" i="8"/>
  <c r="H12" i="8" s="1"/>
  <c r="U62" i="4" s="1"/>
  <c r="AB198" i="14" s="1"/>
  <c r="AB199" i="14" s="1"/>
  <c r="H36" i="8"/>
  <c r="G12" i="8" s="1"/>
  <c r="T62" i="4" s="1"/>
  <c r="AA198" i="14" s="1"/>
  <c r="AA199" i="14" s="1"/>
  <c r="G36" i="8"/>
  <c r="F36" i="8"/>
  <c r="E12" i="8" s="1"/>
  <c r="R62" i="4" s="1"/>
  <c r="Y198" i="14" s="1"/>
  <c r="Y199" i="14" s="1"/>
  <c r="E36" i="8"/>
  <c r="D12" i="8" s="1"/>
  <c r="Q62" i="4" s="1"/>
  <c r="X198" i="14" s="1"/>
  <c r="X199" i="14" s="1"/>
  <c r="L35" i="8"/>
  <c r="K10" i="8" s="1"/>
  <c r="X60" i="4" s="1"/>
  <c r="AE168" i="14" s="1"/>
  <c r="AE170" i="14" s="1"/>
  <c r="AE171" i="14" s="1"/>
  <c r="K35" i="8"/>
  <c r="J35" i="8"/>
  <c r="I10" i="8" s="1"/>
  <c r="V60" i="4" s="1"/>
  <c r="AC168" i="14" s="1"/>
  <c r="AC170" i="14" s="1"/>
  <c r="AC171" i="14" s="1"/>
  <c r="I35" i="8"/>
  <c r="H35" i="8"/>
  <c r="G35" i="8"/>
  <c r="F35" i="8"/>
  <c r="E10" i="8" s="1"/>
  <c r="R60" i="4" s="1"/>
  <c r="Y168" i="14" s="1"/>
  <c r="Y170" i="14" s="1"/>
  <c r="Y171" i="14" s="1"/>
  <c r="E35" i="8"/>
  <c r="D10" i="8" s="1"/>
  <c r="Q60" i="4" s="1"/>
  <c r="X168" i="14" s="1"/>
  <c r="X170" i="14" s="1"/>
  <c r="X171" i="14" s="1"/>
  <c r="L34" i="8"/>
  <c r="L43" i="8" s="1"/>
  <c r="K16" i="8" s="1"/>
  <c r="X66" i="4" s="1"/>
  <c r="AE144" i="14" s="1"/>
  <c r="AE145" i="14" s="1"/>
  <c r="K34" i="8"/>
  <c r="K43" i="8" s="1"/>
  <c r="J16" i="8" s="1"/>
  <c r="W66" i="4" s="1"/>
  <c r="AD144" i="14" s="1"/>
  <c r="AD145" i="14" s="1"/>
  <c r="J34" i="8"/>
  <c r="J43" i="8" s="1"/>
  <c r="I16" i="8" s="1"/>
  <c r="V66" i="4" s="1"/>
  <c r="AC144" i="14" s="1"/>
  <c r="AC145" i="14" s="1"/>
  <c r="I34" i="8"/>
  <c r="I43" i="8" s="1"/>
  <c r="H16" i="8" s="1"/>
  <c r="U66" i="4" s="1"/>
  <c r="AB144" i="14" s="1"/>
  <c r="AB145" i="14" s="1"/>
  <c r="H34" i="8"/>
  <c r="H43" i="8" s="1"/>
  <c r="G16" i="8" s="1"/>
  <c r="T66" i="4" s="1"/>
  <c r="AA144" i="14" s="1"/>
  <c r="AA145" i="14" s="1"/>
  <c r="G34" i="8"/>
  <c r="G43" i="8" s="1"/>
  <c r="F16" i="8" s="1"/>
  <c r="S66" i="4" s="1"/>
  <c r="Z144" i="14" s="1"/>
  <c r="Z145" i="14" s="1"/>
  <c r="F34" i="8"/>
  <c r="F43" i="8" s="1"/>
  <c r="E16" i="8" s="1"/>
  <c r="R66" i="4" s="1"/>
  <c r="Y144" i="14" s="1"/>
  <c r="Y145" i="14" s="1"/>
  <c r="E34" i="8"/>
  <c r="E43" i="8" s="1"/>
  <c r="D16" i="8" s="1"/>
  <c r="Q66" i="4" s="1"/>
  <c r="X144" i="14" s="1"/>
  <c r="X145" i="14" s="1"/>
  <c r="L32" i="8"/>
  <c r="K32" i="8"/>
  <c r="J32" i="8"/>
  <c r="I32" i="8"/>
  <c r="H32" i="8"/>
  <c r="G32" i="8"/>
  <c r="F32" i="8"/>
  <c r="E32" i="8"/>
  <c r="L28" i="8"/>
  <c r="K28" i="8"/>
  <c r="J28" i="8"/>
  <c r="I3" i="8" s="1"/>
  <c r="V55" i="4" s="1"/>
  <c r="AC226" i="14" s="1"/>
  <c r="AC227" i="14" s="1"/>
  <c r="I28" i="8"/>
  <c r="H3" i="8" s="1"/>
  <c r="U55" i="4" s="1"/>
  <c r="AB226" i="14" s="1"/>
  <c r="AB227" i="14" s="1"/>
  <c r="H28" i="8"/>
  <c r="G3" i="8" s="1"/>
  <c r="T55" i="4" s="1"/>
  <c r="AA226" i="14" s="1"/>
  <c r="AA227" i="14" s="1"/>
  <c r="G28" i="8"/>
  <c r="F28" i="8"/>
  <c r="E3" i="8" s="1"/>
  <c r="R55" i="4" s="1"/>
  <c r="Y226" i="14" s="1"/>
  <c r="Y227" i="14" s="1"/>
  <c r="E28" i="8"/>
  <c r="D3" i="8" s="1"/>
  <c r="Q55" i="4" s="1"/>
  <c r="X226" i="14" s="1"/>
  <c r="X227" i="14" s="1"/>
  <c r="L27" i="8"/>
  <c r="L40" i="8" s="1"/>
  <c r="K4" i="8" s="1"/>
  <c r="X56" i="4" s="1"/>
  <c r="AE220" i="14" s="1"/>
  <c r="AE221" i="14" s="1"/>
  <c r="K27" i="8"/>
  <c r="K40" i="8" s="1"/>
  <c r="J4" i="8" s="1"/>
  <c r="W56" i="4" s="1"/>
  <c r="AD220" i="14" s="1"/>
  <c r="AD221" i="14" s="1"/>
  <c r="J27" i="8"/>
  <c r="J40" i="8" s="1"/>
  <c r="I4" i="8" s="1"/>
  <c r="V56" i="4" s="1"/>
  <c r="AC220" i="14" s="1"/>
  <c r="AC221" i="14" s="1"/>
  <c r="I27" i="8"/>
  <c r="I40" i="8" s="1"/>
  <c r="H4" i="8" s="1"/>
  <c r="U56" i="4" s="1"/>
  <c r="AB220" i="14" s="1"/>
  <c r="AB221" i="14" s="1"/>
  <c r="H27" i="8"/>
  <c r="H40" i="8" s="1"/>
  <c r="G4" i="8" s="1"/>
  <c r="T56" i="4" s="1"/>
  <c r="AA220" i="14" s="1"/>
  <c r="AA221" i="14" s="1"/>
  <c r="G27" i="8"/>
  <c r="G40" i="8" s="1"/>
  <c r="F27" i="8"/>
  <c r="F40" i="8" s="1"/>
  <c r="E4" i="8" s="1"/>
  <c r="R56" i="4" s="1"/>
  <c r="Y220" i="14" s="1"/>
  <c r="Y221" i="14" s="1"/>
  <c r="E27" i="8"/>
  <c r="E40" i="8" s="1"/>
  <c r="D4" i="8" s="1"/>
  <c r="Q56" i="4" s="1"/>
  <c r="X220" i="14" s="1"/>
  <c r="X221" i="14" s="1"/>
  <c r="L26" i="8"/>
  <c r="L31" i="8" s="1"/>
  <c r="K26" i="8"/>
  <c r="K31" i="8" s="1"/>
  <c r="J8" i="8" s="1"/>
  <c r="W59" i="4" s="1"/>
  <c r="J26" i="8"/>
  <c r="J31" i="8" s="1"/>
  <c r="I8" i="8" s="1"/>
  <c r="V59" i="4" s="1"/>
  <c r="I26" i="8"/>
  <c r="I31" i="8" s="1"/>
  <c r="H8" i="8" s="1"/>
  <c r="U59" i="4" s="1"/>
  <c r="H26" i="8"/>
  <c r="H31" i="8" s="1"/>
  <c r="G8" i="8" s="1"/>
  <c r="T59" i="4" s="1"/>
  <c r="G26" i="8"/>
  <c r="G31" i="8" s="1"/>
  <c r="F8" i="8" s="1"/>
  <c r="S59" i="4" s="1"/>
  <c r="F26" i="8"/>
  <c r="F30" i="8" s="1"/>
  <c r="E7" i="8" s="1"/>
  <c r="R58" i="4" s="1"/>
  <c r="Y47" i="14" s="1"/>
  <c r="E26" i="8"/>
  <c r="E31" i="8" s="1"/>
  <c r="D8" i="8" s="1"/>
  <c r="Q59" i="4" s="1"/>
  <c r="L24" i="8"/>
  <c r="K24" i="8"/>
  <c r="J24" i="8"/>
  <c r="I24" i="8"/>
  <c r="H24" i="8"/>
  <c r="G24" i="8"/>
  <c r="F24" i="8"/>
  <c r="E24" i="8"/>
  <c r="J14" i="8"/>
  <c r="W64" i="4" s="1"/>
  <c r="F14" i="8"/>
  <c r="S64" i="4" s="1"/>
  <c r="J12" i="8"/>
  <c r="W62" i="4" s="1"/>
  <c r="AD198" i="14" s="1"/>
  <c r="AD199" i="14" s="1"/>
  <c r="F12" i="8"/>
  <c r="S62" i="4" s="1"/>
  <c r="Z198" i="14" s="1"/>
  <c r="Z199" i="14" s="1"/>
  <c r="J10" i="8"/>
  <c r="W60" i="4" s="1"/>
  <c r="AD168" i="14" s="1"/>
  <c r="H10" i="8"/>
  <c r="U60" i="4" s="1"/>
  <c r="AB168" i="14" s="1"/>
  <c r="AB170" i="14" s="1"/>
  <c r="AB171" i="14" s="1"/>
  <c r="G10" i="8"/>
  <c r="T60" i="4" s="1"/>
  <c r="AA168" i="14" s="1"/>
  <c r="AA170" i="14" s="1"/>
  <c r="AA171" i="14" s="1"/>
  <c r="F10" i="8"/>
  <c r="S60" i="4" s="1"/>
  <c r="Z168" i="14" s="1"/>
  <c r="K8" i="8"/>
  <c r="X59" i="4" s="1"/>
  <c r="F4" i="8"/>
  <c r="S56" i="4" s="1"/>
  <c r="Z220" i="14" s="1"/>
  <c r="Z221" i="14" s="1"/>
  <c r="K3" i="8"/>
  <c r="X55" i="4" s="1"/>
  <c r="AE226" i="14" s="1"/>
  <c r="AE227" i="14" s="1"/>
  <c r="J3" i="8"/>
  <c r="W55" i="4" s="1"/>
  <c r="AD226" i="14" s="1"/>
  <c r="AD227" i="14" s="1"/>
  <c r="F3" i="8"/>
  <c r="S55" i="4" s="1"/>
  <c r="Z226" i="14" s="1"/>
  <c r="Z227" i="14" s="1"/>
  <c r="AE82" i="7"/>
  <c r="AD82" i="7"/>
  <c r="AC82" i="7"/>
  <c r="AB82" i="7"/>
  <c r="AA82" i="7"/>
  <c r="Z82" i="7"/>
  <c r="Y82" i="7"/>
  <c r="X82" i="7"/>
  <c r="AJ81" i="7"/>
  <c r="AI81" i="7"/>
  <c r="AH81" i="7"/>
  <c r="AG81" i="7"/>
  <c r="AJ80" i="7"/>
  <c r="AI80" i="7"/>
  <c r="AH80" i="7"/>
  <c r="AG80" i="7"/>
  <c r="AJ79" i="7"/>
  <c r="AI79" i="7"/>
  <c r="AH79" i="7"/>
  <c r="AG79" i="7"/>
  <c r="AJ78" i="7"/>
  <c r="AI78" i="7"/>
  <c r="AH78" i="7"/>
  <c r="AG78" i="7"/>
  <c r="AJ77" i="7"/>
  <c r="AI77" i="7"/>
  <c r="AH77" i="7"/>
  <c r="AG77" i="7"/>
  <c r="AJ76" i="7"/>
  <c r="AI76" i="7"/>
  <c r="AH76" i="7"/>
  <c r="AG76" i="7"/>
  <c r="AJ71" i="7"/>
  <c r="AI71" i="7"/>
  <c r="AH71" i="7"/>
  <c r="AG71" i="7"/>
  <c r="AJ70" i="7"/>
  <c r="AI70" i="7"/>
  <c r="AH70" i="7"/>
  <c r="AG70" i="7"/>
  <c r="AJ69" i="7"/>
  <c r="AI69" i="7"/>
  <c r="AH69" i="7"/>
  <c r="AG69" i="7"/>
  <c r="AJ68" i="7"/>
  <c r="AI68" i="7"/>
  <c r="AH68" i="7"/>
  <c r="AG68" i="7"/>
  <c r="AJ67" i="7"/>
  <c r="AI67" i="7"/>
  <c r="AH67" i="7"/>
  <c r="AG67" i="7"/>
  <c r="AJ66" i="7"/>
  <c r="AI66" i="7"/>
  <c r="AH66" i="7"/>
  <c r="AG66" i="7"/>
  <c r="L46" i="7"/>
  <c r="K46" i="7"/>
  <c r="J46" i="7"/>
  <c r="I46" i="7"/>
  <c r="H19" i="7" s="1"/>
  <c r="U51" i="4" s="1"/>
  <c r="H46" i="7"/>
  <c r="G19" i="7" s="1"/>
  <c r="T51" i="4" s="1"/>
  <c r="G46" i="7"/>
  <c r="F46" i="7"/>
  <c r="E46" i="7"/>
  <c r="D19" i="7" s="1"/>
  <c r="Q51" i="4" s="1"/>
  <c r="I45" i="7"/>
  <c r="I42" i="7"/>
  <c r="H4" i="7" s="1"/>
  <c r="U40" i="4" s="1"/>
  <c r="I41" i="7"/>
  <c r="L39" i="7"/>
  <c r="L41" i="7" s="1"/>
  <c r="K16" i="7" s="1"/>
  <c r="K39" i="7"/>
  <c r="K41" i="7" s="1"/>
  <c r="J16" i="7" s="1"/>
  <c r="J39" i="7"/>
  <c r="J41" i="7" s="1"/>
  <c r="I16" i="7" s="1"/>
  <c r="I39" i="7"/>
  <c r="I40" i="7" s="1"/>
  <c r="H14" i="7" s="1"/>
  <c r="H39" i="7"/>
  <c r="G39" i="7"/>
  <c r="G41" i="7" s="1"/>
  <c r="F16" i="7" s="1"/>
  <c r="F39" i="7"/>
  <c r="F41" i="7" s="1"/>
  <c r="E16" i="7" s="1"/>
  <c r="E39" i="7"/>
  <c r="E41" i="7" s="1"/>
  <c r="D16" i="7" s="1"/>
  <c r="L38" i="7"/>
  <c r="K12" i="7" s="1"/>
  <c r="X46" i="4" s="1"/>
  <c r="K38" i="7"/>
  <c r="J38" i="7"/>
  <c r="I38" i="7"/>
  <c r="H38" i="7"/>
  <c r="G12" i="7" s="1"/>
  <c r="T46" i="4" s="1"/>
  <c r="G38" i="7"/>
  <c r="F38" i="7"/>
  <c r="E38" i="7"/>
  <c r="L35" i="7"/>
  <c r="K35" i="7"/>
  <c r="J35" i="7"/>
  <c r="I35" i="7"/>
  <c r="I36" i="7" s="1"/>
  <c r="H35" i="7"/>
  <c r="H36" i="7" s="1"/>
  <c r="G10" i="7" s="1"/>
  <c r="T44" i="4" s="1"/>
  <c r="G35" i="7"/>
  <c r="G36" i="7" s="1"/>
  <c r="F10" i="7" s="1"/>
  <c r="S44" i="4" s="1"/>
  <c r="F35" i="7"/>
  <c r="F36" i="7" s="1"/>
  <c r="E35" i="7"/>
  <c r="E36" i="7" s="1"/>
  <c r="D10" i="7" s="1"/>
  <c r="Q44" i="4" s="1"/>
  <c r="L34" i="7"/>
  <c r="L45" i="7" s="1"/>
  <c r="K18" i="7" s="1"/>
  <c r="X50" i="4" s="1"/>
  <c r="K34" i="7"/>
  <c r="K45" i="7" s="1"/>
  <c r="J18" i="7" s="1"/>
  <c r="W50" i="4" s="1"/>
  <c r="J34" i="7"/>
  <c r="J45" i="7" s="1"/>
  <c r="I18" i="7" s="1"/>
  <c r="V50" i="4" s="1"/>
  <c r="I34" i="7"/>
  <c r="H34" i="7"/>
  <c r="H45" i="7" s="1"/>
  <c r="G18" i="7" s="1"/>
  <c r="T50" i="4" s="1"/>
  <c r="G34" i="7"/>
  <c r="G45" i="7" s="1"/>
  <c r="F18" i="7" s="1"/>
  <c r="S50" i="4" s="1"/>
  <c r="F34" i="7"/>
  <c r="F45" i="7" s="1"/>
  <c r="E18" i="7" s="1"/>
  <c r="R50" i="4" s="1"/>
  <c r="E34" i="7"/>
  <c r="E45" i="7" s="1"/>
  <c r="D18" i="7" s="1"/>
  <c r="Q50" i="4" s="1"/>
  <c r="L32" i="7"/>
  <c r="K32" i="7"/>
  <c r="J32" i="7"/>
  <c r="I32" i="7"/>
  <c r="H32" i="7"/>
  <c r="G32" i="7"/>
  <c r="F32" i="7"/>
  <c r="E32" i="7"/>
  <c r="L29" i="7"/>
  <c r="K3" i="7" s="1"/>
  <c r="X39" i="4" s="1"/>
  <c r="K29" i="7"/>
  <c r="J3" i="7" s="1"/>
  <c r="W39" i="4" s="1"/>
  <c r="J29" i="7"/>
  <c r="I29" i="7"/>
  <c r="H29" i="7"/>
  <c r="G3" i="7" s="1"/>
  <c r="T39" i="4" s="1"/>
  <c r="G29" i="7"/>
  <c r="F3" i="7" s="1"/>
  <c r="S39" i="4" s="1"/>
  <c r="F29" i="7"/>
  <c r="E29" i="7"/>
  <c r="L28" i="7"/>
  <c r="L42" i="7" s="1"/>
  <c r="K4" i="7" s="1"/>
  <c r="X40" i="4" s="1"/>
  <c r="K28" i="7"/>
  <c r="K42" i="7" s="1"/>
  <c r="J4" i="7" s="1"/>
  <c r="W40" i="4" s="1"/>
  <c r="J28" i="7"/>
  <c r="J42" i="7" s="1"/>
  <c r="I28" i="7"/>
  <c r="H28" i="7"/>
  <c r="H42" i="7" s="1"/>
  <c r="G4" i="7" s="1"/>
  <c r="T40" i="4" s="1"/>
  <c r="G28" i="7"/>
  <c r="G42" i="7" s="1"/>
  <c r="F4" i="7" s="1"/>
  <c r="S40" i="4" s="1"/>
  <c r="F28" i="7"/>
  <c r="F42" i="7" s="1"/>
  <c r="E28" i="7"/>
  <c r="E42" i="7" s="1"/>
  <c r="D4" i="7" s="1"/>
  <c r="Q40" i="4" s="1"/>
  <c r="L27" i="7"/>
  <c r="L31" i="7" s="1"/>
  <c r="K7" i="7" s="1"/>
  <c r="X42" i="4" s="1"/>
  <c r="AE45" i="14" s="1"/>
  <c r="K27" i="7"/>
  <c r="K31" i="7" s="1"/>
  <c r="J7" i="7" s="1"/>
  <c r="W42" i="4" s="1"/>
  <c r="AD45" i="14" s="1"/>
  <c r="J27" i="7"/>
  <c r="J31" i="7" s="1"/>
  <c r="I7" i="7" s="1"/>
  <c r="V42" i="4" s="1"/>
  <c r="AC45" i="14" s="1"/>
  <c r="I27" i="7"/>
  <c r="I31" i="7" s="1"/>
  <c r="H27" i="7"/>
  <c r="H31" i="7" s="1"/>
  <c r="G7" i="7" s="1"/>
  <c r="T42" i="4" s="1"/>
  <c r="AA45" i="14" s="1"/>
  <c r="G27" i="7"/>
  <c r="G31" i="7" s="1"/>
  <c r="F7" i="7" s="1"/>
  <c r="S42" i="4" s="1"/>
  <c r="Z45" i="14" s="1"/>
  <c r="F27" i="7"/>
  <c r="F31" i="7" s="1"/>
  <c r="E7" i="7" s="1"/>
  <c r="R42" i="4" s="1"/>
  <c r="Y45" i="14" s="1"/>
  <c r="E27" i="7"/>
  <c r="E31" i="7" s="1"/>
  <c r="L25" i="7"/>
  <c r="K25" i="7"/>
  <c r="J25" i="7"/>
  <c r="I25" i="7"/>
  <c r="H25" i="7"/>
  <c r="G25" i="7"/>
  <c r="F25" i="7"/>
  <c r="E25" i="7"/>
  <c r="K19" i="7"/>
  <c r="X51" i="4" s="1"/>
  <c r="J19" i="7"/>
  <c r="W51" i="4" s="1"/>
  <c r="I19" i="7"/>
  <c r="V51" i="4" s="1"/>
  <c r="F19" i="7"/>
  <c r="S51" i="4" s="1"/>
  <c r="E19" i="7"/>
  <c r="R51" i="4" s="1"/>
  <c r="C19" i="7"/>
  <c r="H18" i="7"/>
  <c r="U50" i="4" s="1"/>
  <c r="C18" i="7"/>
  <c r="H16" i="7"/>
  <c r="C16" i="7"/>
  <c r="C15" i="7"/>
  <c r="C14" i="7"/>
  <c r="C13" i="7"/>
  <c r="J12" i="7"/>
  <c r="W46" i="4" s="1"/>
  <c r="I12" i="7"/>
  <c r="V46" i="4" s="1"/>
  <c r="H12" i="7"/>
  <c r="U46" i="4" s="1"/>
  <c r="F12" i="7"/>
  <c r="S46" i="4" s="1"/>
  <c r="E12" i="7"/>
  <c r="R46" i="4" s="1"/>
  <c r="D12" i="7"/>
  <c r="Q46" i="4" s="1"/>
  <c r="C12" i="7"/>
  <c r="H11" i="7"/>
  <c r="U45" i="4" s="1"/>
  <c r="G11" i="7"/>
  <c r="T45" i="4" s="1"/>
  <c r="F11" i="7"/>
  <c r="S45" i="4" s="1"/>
  <c r="E11" i="7"/>
  <c r="R45" i="4" s="1"/>
  <c r="D11" i="7"/>
  <c r="Q45" i="4" s="1"/>
  <c r="E10" i="7"/>
  <c r="R44" i="4" s="1"/>
  <c r="C10" i="7"/>
  <c r="C8" i="7"/>
  <c r="D8" i="7" s="1"/>
  <c r="H7" i="7"/>
  <c r="U42" i="4" s="1"/>
  <c r="AB45" i="14" s="1"/>
  <c r="D7" i="7"/>
  <c r="Q42" i="4" s="1"/>
  <c r="X45" i="14" s="1"/>
  <c r="C7" i="7"/>
  <c r="C6" i="7"/>
  <c r="I4" i="7"/>
  <c r="V40" i="4" s="1"/>
  <c r="E4" i="7"/>
  <c r="R40" i="4" s="1"/>
  <c r="C4" i="7"/>
  <c r="I3" i="7"/>
  <c r="V39" i="4" s="1"/>
  <c r="H3" i="7"/>
  <c r="U39" i="4" s="1"/>
  <c r="E3" i="7"/>
  <c r="R39" i="4" s="1"/>
  <c r="D3" i="7"/>
  <c r="Q39" i="4" s="1"/>
  <c r="C3" i="7"/>
  <c r="AE106" i="6"/>
  <c r="AD106" i="6"/>
  <c r="AC106" i="6"/>
  <c r="AB106" i="6"/>
  <c r="AA106" i="6"/>
  <c r="Z106" i="6"/>
  <c r="Y106" i="6"/>
  <c r="X106" i="6"/>
  <c r="AJ105" i="6"/>
  <c r="AI105" i="6"/>
  <c r="AH105" i="6"/>
  <c r="AG105" i="6"/>
  <c r="AJ104" i="6"/>
  <c r="AI104" i="6"/>
  <c r="AH104" i="6"/>
  <c r="AG104" i="6"/>
  <c r="AJ103" i="6"/>
  <c r="AI103" i="6"/>
  <c r="AH103" i="6"/>
  <c r="AG103" i="6"/>
  <c r="AJ102" i="6"/>
  <c r="AI102" i="6"/>
  <c r="AH102" i="6"/>
  <c r="AG102" i="6"/>
  <c r="AJ101" i="6"/>
  <c r="AI101" i="6"/>
  <c r="AH101" i="6"/>
  <c r="AG101" i="6"/>
  <c r="AJ100" i="6"/>
  <c r="AI100" i="6"/>
  <c r="AH100" i="6"/>
  <c r="AG100" i="6"/>
  <c r="AJ95" i="6"/>
  <c r="AI95" i="6"/>
  <c r="AH95" i="6"/>
  <c r="AG95" i="6"/>
  <c r="AJ94" i="6"/>
  <c r="AI94" i="6"/>
  <c r="AH94" i="6"/>
  <c r="AG94" i="6"/>
  <c r="AJ93" i="6"/>
  <c r="AI93" i="6"/>
  <c r="AH93" i="6"/>
  <c r="AG93" i="6"/>
  <c r="AJ92" i="6"/>
  <c r="AI92" i="6"/>
  <c r="AH92" i="6"/>
  <c r="AG92" i="6"/>
  <c r="AJ91" i="6"/>
  <c r="AI91" i="6"/>
  <c r="AH91" i="6"/>
  <c r="AG91" i="6"/>
  <c r="AJ90" i="6"/>
  <c r="AI90" i="6"/>
  <c r="AH90" i="6"/>
  <c r="AG90" i="6"/>
  <c r="L65" i="6"/>
  <c r="K65" i="6"/>
  <c r="J65" i="6"/>
  <c r="I65" i="6"/>
  <c r="H65" i="6"/>
  <c r="G65" i="6"/>
  <c r="F65" i="6"/>
  <c r="E65" i="6"/>
  <c r="E61" i="6"/>
  <c r="H60" i="6"/>
  <c r="F60" i="6"/>
  <c r="F61" i="6" s="1"/>
  <c r="H59" i="6"/>
  <c r="F59" i="6"/>
  <c r="E59" i="6"/>
  <c r="L53" i="6"/>
  <c r="K17" i="6" s="1"/>
  <c r="X35" i="4" s="1"/>
  <c r="K53" i="6"/>
  <c r="J53" i="6"/>
  <c r="I17" i="6" s="1"/>
  <c r="V35" i="4" s="1"/>
  <c r="I53" i="6"/>
  <c r="H17" i="6" s="1"/>
  <c r="U35" i="4" s="1"/>
  <c r="H53" i="6"/>
  <c r="G17" i="6" s="1"/>
  <c r="T35" i="4" s="1"/>
  <c r="G53" i="6"/>
  <c r="F17" i="6" s="1"/>
  <c r="S35" i="4" s="1"/>
  <c r="F53" i="6"/>
  <c r="E53" i="6"/>
  <c r="D17" i="6" s="1"/>
  <c r="Q35" i="4" s="1"/>
  <c r="J52" i="6"/>
  <c r="I16" i="6" s="1"/>
  <c r="V34" i="4" s="1"/>
  <c r="L46" i="6"/>
  <c r="K46" i="6"/>
  <c r="K48" i="6" s="1"/>
  <c r="J14" i="6" s="1"/>
  <c r="W32" i="4" s="1"/>
  <c r="J46" i="6"/>
  <c r="I46" i="6"/>
  <c r="H46" i="6"/>
  <c r="G46" i="6"/>
  <c r="G48" i="6" s="1"/>
  <c r="F14" i="6" s="1"/>
  <c r="S32" i="4" s="1"/>
  <c r="F46" i="6"/>
  <c r="E46" i="6"/>
  <c r="L45" i="6"/>
  <c r="K45" i="6"/>
  <c r="J12" i="6" s="1"/>
  <c r="W30" i="4" s="1"/>
  <c r="J45" i="6"/>
  <c r="I12" i="6" s="1"/>
  <c r="V30" i="4" s="1"/>
  <c r="I45" i="6"/>
  <c r="H12" i="6" s="1"/>
  <c r="U30" i="4" s="1"/>
  <c r="H45" i="6"/>
  <c r="G45" i="6"/>
  <c r="F12" i="6" s="1"/>
  <c r="S30" i="4" s="1"/>
  <c r="F45" i="6"/>
  <c r="E45" i="6"/>
  <c r="D12" i="6" s="1"/>
  <c r="Q30" i="4" s="1"/>
  <c r="L42" i="6"/>
  <c r="K42" i="6"/>
  <c r="J42" i="6"/>
  <c r="I42" i="6"/>
  <c r="H42" i="6"/>
  <c r="G42" i="6"/>
  <c r="F42" i="6"/>
  <c r="E42" i="6"/>
  <c r="L41" i="6"/>
  <c r="L52" i="6" s="1"/>
  <c r="K41" i="6"/>
  <c r="K52" i="6" s="1"/>
  <c r="J16" i="6" s="1"/>
  <c r="W34" i="4" s="1"/>
  <c r="J41" i="6"/>
  <c r="I41" i="6"/>
  <c r="I52" i="6" s="1"/>
  <c r="H16" i="6" s="1"/>
  <c r="U34" i="4" s="1"/>
  <c r="H41" i="6"/>
  <c r="H52" i="6" s="1"/>
  <c r="G16" i="6" s="1"/>
  <c r="T34" i="4" s="1"/>
  <c r="G41" i="6"/>
  <c r="G52" i="6" s="1"/>
  <c r="F16" i="6" s="1"/>
  <c r="S34" i="4" s="1"/>
  <c r="F41" i="6"/>
  <c r="F52" i="6" s="1"/>
  <c r="E16" i="6" s="1"/>
  <c r="R34" i="4" s="1"/>
  <c r="E41" i="6"/>
  <c r="E52" i="6" s="1"/>
  <c r="D16" i="6" s="1"/>
  <c r="Q34" i="4" s="1"/>
  <c r="L39" i="6"/>
  <c r="K39" i="6"/>
  <c r="J39" i="6"/>
  <c r="I39" i="6"/>
  <c r="H39" i="6"/>
  <c r="G39" i="6"/>
  <c r="F39" i="6"/>
  <c r="E39" i="6"/>
  <c r="L35" i="6"/>
  <c r="K35" i="6"/>
  <c r="J35" i="6"/>
  <c r="I3" i="6" s="1"/>
  <c r="V23" i="4" s="1"/>
  <c r="I35" i="6"/>
  <c r="H3" i="6" s="1"/>
  <c r="U23" i="4" s="1"/>
  <c r="H35" i="6"/>
  <c r="G35" i="6"/>
  <c r="F35" i="6"/>
  <c r="E3" i="6" s="1"/>
  <c r="R23" i="4" s="1"/>
  <c r="E35" i="6"/>
  <c r="D3" i="6" s="1"/>
  <c r="Q23" i="4" s="1"/>
  <c r="L34" i="6"/>
  <c r="K34" i="6"/>
  <c r="J34" i="6"/>
  <c r="I34" i="6"/>
  <c r="H34" i="6"/>
  <c r="G34" i="6"/>
  <c r="F34" i="6"/>
  <c r="F50" i="6" s="1"/>
  <c r="E18" i="6" s="1"/>
  <c r="R36" i="4" s="1"/>
  <c r="E34" i="6"/>
  <c r="E50" i="6" s="1"/>
  <c r="D18" i="6" s="1"/>
  <c r="Q36" i="4" s="1"/>
  <c r="L33" i="6"/>
  <c r="L38" i="6" s="1"/>
  <c r="K8" i="6" s="1"/>
  <c r="X27" i="4" s="1"/>
  <c r="K33" i="6"/>
  <c r="K38" i="6" s="1"/>
  <c r="J8" i="6" s="1"/>
  <c r="W27" i="4" s="1"/>
  <c r="J33" i="6"/>
  <c r="J37" i="6" s="1"/>
  <c r="I7" i="6" s="1"/>
  <c r="V26" i="4" s="1"/>
  <c r="AC46" i="14" s="1"/>
  <c r="I33" i="6"/>
  <c r="I38" i="6" s="1"/>
  <c r="H33" i="6"/>
  <c r="H38" i="6" s="1"/>
  <c r="G8" i="6" s="1"/>
  <c r="T27" i="4" s="1"/>
  <c r="G33" i="6"/>
  <c r="G38" i="6" s="1"/>
  <c r="F8" i="6" s="1"/>
  <c r="S27" i="4" s="1"/>
  <c r="F33" i="6"/>
  <c r="F38" i="6" s="1"/>
  <c r="E8" i="6" s="1"/>
  <c r="R27" i="4" s="1"/>
  <c r="E33" i="6"/>
  <c r="E38" i="6" s="1"/>
  <c r="D8" i="6" s="1"/>
  <c r="Q27" i="4" s="1"/>
  <c r="L31" i="6"/>
  <c r="K31" i="6"/>
  <c r="J31" i="6"/>
  <c r="I2" i="6" s="1"/>
  <c r="V22" i="4" s="1"/>
  <c r="I31" i="6"/>
  <c r="H2" i="6" s="1"/>
  <c r="U22" i="4" s="1"/>
  <c r="H31" i="6"/>
  <c r="G2" i="6" s="1"/>
  <c r="T22" i="4" s="1"/>
  <c r="G31" i="6"/>
  <c r="F31" i="6"/>
  <c r="E2" i="6" s="1"/>
  <c r="R22" i="4" s="1"/>
  <c r="E31" i="6"/>
  <c r="D2" i="6" s="1"/>
  <c r="Q22" i="4" s="1"/>
  <c r="C18" i="6"/>
  <c r="J17" i="6"/>
  <c r="W35" i="4" s="1"/>
  <c r="E17" i="6"/>
  <c r="R35" i="4" s="1"/>
  <c r="C17" i="6"/>
  <c r="K16" i="6"/>
  <c r="X34" i="4" s="1"/>
  <c r="C16" i="6"/>
  <c r="D14" i="6"/>
  <c r="Q32" i="4" s="1"/>
  <c r="C14" i="6"/>
  <c r="C13" i="6"/>
  <c r="D13" i="6" s="1"/>
  <c r="Q31" i="4" s="1"/>
  <c r="AA31" i="4" s="1"/>
  <c r="K12" i="6"/>
  <c r="X30" i="4" s="1"/>
  <c r="G12" i="6"/>
  <c r="T30" i="4" s="1"/>
  <c r="E12" i="6"/>
  <c r="R30" i="4" s="1"/>
  <c r="C12" i="6"/>
  <c r="C10" i="6"/>
  <c r="H8" i="6"/>
  <c r="U27" i="4" s="1"/>
  <c r="C8" i="6"/>
  <c r="C7" i="6"/>
  <c r="C6" i="6"/>
  <c r="C4" i="6"/>
  <c r="K3" i="6"/>
  <c r="X23" i="4" s="1"/>
  <c r="J3" i="6"/>
  <c r="W23" i="4" s="1"/>
  <c r="G3" i="6"/>
  <c r="T23" i="4" s="1"/>
  <c r="F3" i="6"/>
  <c r="S23" i="4" s="1"/>
  <c r="C3" i="6"/>
  <c r="K2" i="6"/>
  <c r="X22" i="4" s="1"/>
  <c r="J2" i="6"/>
  <c r="W22" i="4" s="1"/>
  <c r="F2" i="6"/>
  <c r="S22" i="4" s="1"/>
  <c r="C2" i="6"/>
  <c r="AE106" i="5"/>
  <c r="AD106" i="5"/>
  <c r="AC106" i="5"/>
  <c r="AB106" i="5"/>
  <c r="AA106" i="5"/>
  <c r="Z106" i="5"/>
  <c r="Y106" i="5"/>
  <c r="X106" i="5"/>
  <c r="AJ105" i="5"/>
  <c r="AE105" i="5"/>
  <c r="AE108" i="5" s="1"/>
  <c r="AE109" i="5" s="1"/>
  <c r="AD105" i="5"/>
  <c r="AD108" i="5" s="1"/>
  <c r="AD109" i="5" s="1"/>
  <c r="AC105" i="5"/>
  <c r="AC108" i="5" s="1"/>
  <c r="AC109" i="5" s="1"/>
  <c r="AB105" i="5"/>
  <c r="AB108" i="5" s="1"/>
  <c r="AB109" i="5" s="1"/>
  <c r="AA105" i="5"/>
  <c r="AA108" i="5" s="1"/>
  <c r="AA109" i="5" s="1"/>
  <c r="Z105" i="5"/>
  <c r="Y105" i="5"/>
  <c r="Y108" i="5" s="1"/>
  <c r="Y109" i="5" s="1"/>
  <c r="X105" i="5"/>
  <c r="X108" i="5" s="1"/>
  <c r="X109" i="5" s="1"/>
  <c r="W105" i="5"/>
  <c r="E65" i="5" s="1"/>
  <c r="AJ104" i="5"/>
  <c r="AI104" i="5"/>
  <c r="AH104" i="5"/>
  <c r="AG104" i="5"/>
  <c r="AJ103" i="5"/>
  <c r="AI103" i="5"/>
  <c r="AH103" i="5"/>
  <c r="AG103" i="5"/>
  <c r="AJ102" i="5"/>
  <c r="AI102" i="5"/>
  <c r="AH102" i="5"/>
  <c r="AG102" i="5"/>
  <c r="AJ101" i="5"/>
  <c r="AI101" i="5"/>
  <c r="AH101" i="5"/>
  <c r="AG101" i="5"/>
  <c r="AJ100" i="5"/>
  <c r="AI100" i="5"/>
  <c r="AH100" i="5"/>
  <c r="AG100" i="5"/>
  <c r="AE93" i="5"/>
  <c r="I56" i="5" s="1"/>
  <c r="AD93" i="5"/>
  <c r="AC93" i="5"/>
  <c r="H56" i="5" s="1"/>
  <c r="AB93" i="5"/>
  <c r="AA93" i="5"/>
  <c r="Z93" i="5"/>
  <c r="Y93" i="5"/>
  <c r="X93" i="5"/>
  <c r="W93" i="5"/>
  <c r="E56" i="5" s="1"/>
  <c r="AE90" i="5"/>
  <c r="AD90" i="5"/>
  <c r="AC90" i="5"/>
  <c r="AB90" i="5"/>
  <c r="AA90" i="5"/>
  <c r="Z90" i="5"/>
  <c r="Y90" i="5"/>
  <c r="X90" i="5"/>
  <c r="W90" i="5"/>
  <c r="E66" i="5" s="1"/>
  <c r="E74" i="5"/>
  <c r="I66" i="5"/>
  <c r="J66" i="5" s="1"/>
  <c r="K66" i="5" s="1"/>
  <c r="L66" i="5" s="1"/>
  <c r="H66" i="5"/>
  <c r="I64" i="5"/>
  <c r="H64" i="5"/>
  <c r="E64" i="5"/>
  <c r="I63" i="5"/>
  <c r="H63" i="5"/>
  <c r="E63" i="5"/>
  <c r="I62" i="5"/>
  <c r="H62" i="5"/>
  <c r="E62" i="5"/>
  <c r="I61" i="5"/>
  <c r="H61" i="5"/>
  <c r="E61" i="5"/>
  <c r="I60" i="5"/>
  <c r="H60" i="5"/>
  <c r="E60" i="5"/>
  <c r="I58" i="5"/>
  <c r="H58" i="5"/>
  <c r="E58" i="5"/>
  <c r="I57" i="5"/>
  <c r="H57" i="5"/>
  <c r="E57" i="5"/>
  <c r="I55" i="5"/>
  <c r="H55" i="5"/>
  <c r="E55" i="5"/>
  <c r="I54" i="5"/>
  <c r="H54" i="5"/>
  <c r="E54" i="5"/>
  <c r="I53" i="5"/>
  <c r="H53" i="5"/>
  <c r="E53" i="5"/>
  <c r="L46" i="5"/>
  <c r="K17" i="5" s="1"/>
  <c r="X19" i="4" s="1"/>
  <c r="K46" i="5"/>
  <c r="J17" i="5" s="1"/>
  <c r="W19" i="4" s="1"/>
  <c r="J46" i="5"/>
  <c r="I46" i="5"/>
  <c r="H46" i="5"/>
  <c r="G17" i="5" s="1"/>
  <c r="T19" i="4" s="1"/>
  <c r="G46" i="5"/>
  <c r="F17" i="5" s="1"/>
  <c r="S19" i="4" s="1"/>
  <c r="F46" i="5"/>
  <c r="E46" i="5"/>
  <c r="E45" i="5"/>
  <c r="D16" i="5" s="1"/>
  <c r="Q18" i="4" s="1"/>
  <c r="AA18" i="4" s="1"/>
  <c r="E43" i="5"/>
  <c r="D15" i="5" s="1"/>
  <c r="Q17" i="4" s="1"/>
  <c r="L39" i="5"/>
  <c r="K39" i="5"/>
  <c r="J39" i="5"/>
  <c r="I39" i="5"/>
  <c r="H39" i="5"/>
  <c r="G39" i="5"/>
  <c r="F39" i="5"/>
  <c r="E39" i="5"/>
  <c r="L37" i="5"/>
  <c r="L38" i="5" s="1"/>
  <c r="K37" i="5"/>
  <c r="K38" i="5" s="1"/>
  <c r="J37" i="5"/>
  <c r="J38" i="5" s="1"/>
  <c r="I37" i="5"/>
  <c r="I38" i="5" s="1"/>
  <c r="H37" i="5"/>
  <c r="H38" i="5" s="1"/>
  <c r="G37" i="5"/>
  <c r="G38" i="5" s="1"/>
  <c r="F37" i="5"/>
  <c r="F38" i="5" s="1"/>
  <c r="E37" i="5"/>
  <c r="E38" i="5" s="1"/>
  <c r="L36" i="5"/>
  <c r="K12" i="5" s="1"/>
  <c r="X14" i="4" s="1"/>
  <c r="K36" i="5"/>
  <c r="J36" i="5"/>
  <c r="I12" i="5" s="1"/>
  <c r="V14" i="4" s="1"/>
  <c r="I36" i="5"/>
  <c r="H12" i="5" s="1"/>
  <c r="U14" i="4" s="1"/>
  <c r="H36" i="5"/>
  <c r="G36" i="5"/>
  <c r="F36" i="5"/>
  <c r="E36" i="5"/>
  <c r="D12" i="5" s="1"/>
  <c r="Q14" i="4" s="1"/>
  <c r="E35" i="5"/>
  <c r="D11" i="5" s="1"/>
  <c r="Q13" i="4" s="1"/>
  <c r="L33" i="5"/>
  <c r="K33" i="5"/>
  <c r="J33" i="5"/>
  <c r="I33" i="5"/>
  <c r="H33" i="5"/>
  <c r="G33" i="5"/>
  <c r="F33" i="5"/>
  <c r="F34" i="5" s="1"/>
  <c r="E10" i="5" s="1"/>
  <c r="R12" i="4" s="1"/>
  <c r="E33" i="5"/>
  <c r="L32" i="5"/>
  <c r="K32" i="5"/>
  <c r="J32" i="5"/>
  <c r="I32" i="5"/>
  <c r="H32" i="5"/>
  <c r="G32" i="5"/>
  <c r="F32" i="5"/>
  <c r="E32" i="5"/>
  <c r="L31" i="5"/>
  <c r="K31" i="5"/>
  <c r="J31" i="5"/>
  <c r="I31" i="5"/>
  <c r="H31" i="5"/>
  <c r="G31" i="5"/>
  <c r="F31" i="5"/>
  <c r="E31" i="5"/>
  <c r="H29" i="5"/>
  <c r="G6" i="5" s="1"/>
  <c r="T9" i="4" s="1"/>
  <c r="AA39" i="14" s="1"/>
  <c r="L28" i="5"/>
  <c r="K3" i="5" s="1"/>
  <c r="X7" i="4" s="1"/>
  <c r="K28" i="5"/>
  <c r="J28" i="5"/>
  <c r="I28" i="5"/>
  <c r="H3" i="5" s="1"/>
  <c r="U7" i="4" s="1"/>
  <c r="H28" i="5"/>
  <c r="G3" i="5" s="1"/>
  <c r="T7" i="4" s="1"/>
  <c r="G28" i="5"/>
  <c r="F28" i="5"/>
  <c r="E28" i="5"/>
  <c r="D3" i="5" s="1"/>
  <c r="Q7" i="4" s="1"/>
  <c r="L27" i="5"/>
  <c r="K27" i="5"/>
  <c r="J27" i="5"/>
  <c r="I27" i="5"/>
  <c r="H27" i="5"/>
  <c r="G27" i="5"/>
  <c r="F27" i="5"/>
  <c r="E27" i="5"/>
  <c r="L26" i="5"/>
  <c r="L30" i="5" s="1"/>
  <c r="K7" i="5" s="1"/>
  <c r="X10" i="4" s="1"/>
  <c r="AE44" i="14" s="1"/>
  <c r="K26" i="5"/>
  <c r="K30" i="5" s="1"/>
  <c r="J26" i="5"/>
  <c r="J30" i="5" s="1"/>
  <c r="I26" i="5"/>
  <c r="H26" i="5"/>
  <c r="H30" i="5" s="1"/>
  <c r="G7" i="5" s="1"/>
  <c r="T10" i="4" s="1"/>
  <c r="AA44" i="14" s="1"/>
  <c r="G26" i="5"/>
  <c r="G30" i="5" s="1"/>
  <c r="F26" i="5"/>
  <c r="F30" i="5" s="1"/>
  <c r="E7" i="5" s="1"/>
  <c r="R10" i="4" s="1"/>
  <c r="Y44" i="14" s="1"/>
  <c r="E26" i="5"/>
  <c r="L24" i="5"/>
  <c r="K2" i="5" s="1"/>
  <c r="X6" i="4" s="1"/>
  <c r="K24" i="5"/>
  <c r="J24" i="5"/>
  <c r="I24" i="5"/>
  <c r="H2" i="5" s="1"/>
  <c r="U6" i="4" s="1"/>
  <c r="H24" i="5"/>
  <c r="G2" i="5" s="1"/>
  <c r="T6" i="4" s="1"/>
  <c r="G24" i="5"/>
  <c r="F24" i="5"/>
  <c r="E24" i="5"/>
  <c r="C18" i="5"/>
  <c r="I17" i="5"/>
  <c r="V19" i="4" s="1"/>
  <c r="H17" i="5"/>
  <c r="U19" i="4" s="1"/>
  <c r="E17" i="5"/>
  <c r="R19" i="4" s="1"/>
  <c r="D17" i="5"/>
  <c r="Q19" i="4" s="1"/>
  <c r="AA19" i="4" s="1"/>
  <c r="M16" i="5"/>
  <c r="C16" i="5"/>
  <c r="C15" i="5"/>
  <c r="D14" i="5"/>
  <c r="C14" i="5"/>
  <c r="C13" i="5"/>
  <c r="J12" i="5"/>
  <c r="W14" i="4" s="1"/>
  <c r="G12" i="5"/>
  <c r="T14" i="4" s="1"/>
  <c r="F12" i="5"/>
  <c r="S14" i="4" s="1"/>
  <c r="E12" i="5"/>
  <c r="R14" i="4" s="1"/>
  <c r="C12" i="5"/>
  <c r="E11" i="5"/>
  <c r="R13" i="4" s="1"/>
  <c r="C11" i="5"/>
  <c r="C10" i="5"/>
  <c r="C8" i="5"/>
  <c r="J7" i="5"/>
  <c r="W10" i="4" s="1"/>
  <c r="AD44" i="14" s="1"/>
  <c r="I7" i="5"/>
  <c r="V10" i="4" s="1"/>
  <c r="AC44" i="14" s="1"/>
  <c r="F7" i="5"/>
  <c r="S10" i="4" s="1"/>
  <c r="Z44" i="14" s="1"/>
  <c r="C7" i="5"/>
  <c r="C6" i="5"/>
  <c r="C4" i="5"/>
  <c r="J3" i="5"/>
  <c r="W7" i="4" s="1"/>
  <c r="I3" i="5"/>
  <c r="V7" i="4" s="1"/>
  <c r="F3" i="5"/>
  <c r="S7" i="4" s="1"/>
  <c r="E3" i="5"/>
  <c r="R7" i="4" s="1"/>
  <c r="C3" i="5"/>
  <c r="J2" i="5"/>
  <c r="W6" i="4" s="1"/>
  <c r="I2" i="5"/>
  <c r="V6" i="4" s="1"/>
  <c r="F2" i="5"/>
  <c r="S6" i="4" s="1"/>
  <c r="E2" i="5"/>
  <c r="R6" i="4" s="1"/>
  <c r="C2" i="5"/>
  <c r="Q6" i="4" s="1"/>
  <c r="AA6" i="4" s="1"/>
  <c r="E116" i="4"/>
  <c r="D116" i="4"/>
  <c r="C116" i="4"/>
  <c r="B116" i="4"/>
  <c r="F116" i="4" s="1"/>
  <c r="K99" i="4"/>
  <c r="J99" i="4"/>
  <c r="I99" i="4"/>
  <c r="H99" i="4"/>
  <c r="L99" i="4" s="1"/>
  <c r="AB97" i="4"/>
  <c r="Z97" i="4"/>
  <c r="P97" i="4"/>
  <c r="AB96" i="4"/>
  <c r="Z96" i="4"/>
  <c r="P96" i="4"/>
  <c r="AB95" i="4"/>
  <c r="Z95" i="4"/>
  <c r="P95" i="4"/>
  <c r="AB94" i="4"/>
  <c r="Z94" i="4"/>
  <c r="P94" i="4"/>
  <c r="AB93" i="4"/>
  <c r="Z93" i="4"/>
  <c r="P93" i="4"/>
  <c r="AB91" i="4"/>
  <c r="Z91" i="4"/>
  <c r="P91" i="4"/>
  <c r="AB90" i="4"/>
  <c r="Z90" i="4"/>
  <c r="P90" i="4"/>
  <c r="AB89" i="4"/>
  <c r="Z89" i="4"/>
  <c r="P89" i="4"/>
  <c r="AB88" i="4"/>
  <c r="Z88" i="4"/>
  <c r="P88" i="4"/>
  <c r="AB87" i="4"/>
  <c r="Z87" i="4"/>
  <c r="P87" i="4"/>
  <c r="Z84" i="4"/>
  <c r="P84" i="4"/>
  <c r="AA84" i="4" s="1"/>
  <c r="Z83" i="4"/>
  <c r="P83" i="4"/>
  <c r="AA82" i="4"/>
  <c r="Z82" i="4"/>
  <c r="P82" i="4"/>
  <c r="Z81" i="4"/>
  <c r="P81" i="4"/>
  <c r="AA81" i="4" s="1"/>
  <c r="Z80" i="4"/>
  <c r="P80" i="4"/>
  <c r="W101" i="14" s="1"/>
  <c r="Z79" i="4"/>
  <c r="P79" i="4"/>
  <c r="Z78" i="4"/>
  <c r="P78" i="4"/>
  <c r="Z77" i="4"/>
  <c r="P77" i="4"/>
  <c r="Z76" i="4"/>
  <c r="P76" i="4"/>
  <c r="Z75" i="4"/>
  <c r="P75" i="4"/>
  <c r="Z74" i="4"/>
  <c r="P74" i="4"/>
  <c r="W43" i="14" s="1"/>
  <c r="Z73" i="4"/>
  <c r="P73" i="4"/>
  <c r="W38" i="14" s="1"/>
  <c r="Z72" i="4"/>
  <c r="P72" i="4"/>
  <c r="Z71" i="4"/>
  <c r="P71" i="4"/>
  <c r="Z70" i="4"/>
  <c r="P70" i="4"/>
  <c r="AA68" i="4"/>
  <c r="Z68" i="4"/>
  <c r="P68" i="4"/>
  <c r="Z67" i="4"/>
  <c r="P67" i="4"/>
  <c r="AA67" i="4" s="1"/>
  <c r="Z66" i="4"/>
  <c r="P66" i="4"/>
  <c r="Z65" i="4"/>
  <c r="P65" i="4"/>
  <c r="Z64" i="4"/>
  <c r="P64" i="4"/>
  <c r="W95" i="14" s="1"/>
  <c r="Z63" i="4"/>
  <c r="P63" i="4"/>
  <c r="W73" i="14" s="1"/>
  <c r="Z62" i="4"/>
  <c r="P62" i="4"/>
  <c r="Z61" i="4"/>
  <c r="P61" i="4"/>
  <c r="AA61" i="4" s="1"/>
  <c r="Z60" i="4"/>
  <c r="P60" i="4"/>
  <c r="Z59" i="4"/>
  <c r="P59" i="4"/>
  <c r="Z58" i="4"/>
  <c r="P58" i="4"/>
  <c r="W47" i="14" s="1"/>
  <c r="Z57" i="4"/>
  <c r="P57" i="4"/>
  <c r="W42" i="14" s="1"/>
  <c r="Z56" i="4"/>
  <c r="P56" i="4"/>
  <c r="Z55" i="4"/>
  <c r="P55" i="4"/>
  <c r="Z54" i="4"/>
  <c r="P54" i="4"/>
  <c r="Z52" i="4"/>
  <c r="P52" i="4"/>
  <c r="AA52" i="4" s="1"/>
  <c r="Z51" i="4"/>
  <c r="P51" i="4"/>
  <c r="Z50" i="4"/>
  <c r="P50" i="4"/>
  <c r="AA50" i="4" s="1"/>
  <c r="Z49" i="4"/>
  <c r="P49" i="4"/>
  <c r="AA49" i="4" s="1"/>
  <c r="Z48" i="4"/>
  <c r="P48" i="4"/>
  <c r="W91" i="14" s="1"/>
  <c r="Z47" i="4"/>
  <c r="P47" i="4"/>
  <c r="W69" i="14" s="1"/>
  <c r="Z46" i="4"/>
  <c r="P46" i="4"/>
  <c r="AA46" i="4" s="1"/>
  <c r="Z45" i="4"/>
  <c r="P45" i="4"/>
  <c r="Z44" i="4"/>
  <c r="P44" i="4"/>
  <c r="AA44" i="4" s="1"/>
  <c r="Z43" i="4"/>
  <c r="P43" i="4"/>
  <c r="Z42" i="4"/>
  <c r="P42" i="4"/>
  <c r="Z41" i="4"/>
  <c r="P41" i="4"/>
  <c r="W40" i="14" s="1"/>
  <c r="Z40" i="4"/>
  <c r="P40" i="4"/>
  <c r="AA40" i="4" s="1"/>
  <c r="Z39" i="4"/>
  <c r="P39" i="4"/>
  <c r="Z38" i="4"/>
  <c r="P38" i="4"/>
  <c r="AA38" i="4" s="1"/>
  <c r="AA36" i="4"/>
  <c r="Z36" i="4"/>
  <c r="P36" i="4"/>
  <c r="AA35" i="4"/>
  <c r="Z35" i="4"/>
  <c r="P35" i="4"/>
  <c r="Z34" i="4"/>
  <c r="P34" i="4"/>
  <c r="AA34" i="4" s="1"/>
  <c r="Z33" i="4"/>
  <c r="P33" i="4"/>
  <c r="AA33" i="4" s="1"/>
  <c r="AA32" i="4"/>
  <c r="Z32" i="4"/>
  <c r="P32" i="4"/>
  <c r="W97" i="14" s="1"/>
  <c r="Z31" i="4"/>
  <c r="P31" i="4"/>
  <c r="W75" i="14" s="1"/>
  <c r="Z30" i="4"/>
  <c r="P30" i="4"/>
  <c r="AA30" i="4" s="1"/>
  <c r="Z29" i="4"/>
  <c r="P29" i="4"/>
  <c r="Z28" i="4"/>
  <c r="P28" i="4"/>
  <c r="Z27" i="4"/>
  <c r="P27" i="4"/>
  <c r="AA27" i="4" s="1"/>
  <c r="Z26" i="4"/>
  <c r="P26" i="4"/>
  <c r="W46" i="14" s="1"/>
  <c r="Z25" i="4"/>
  <c r="P25" i="4"/>
  <c r="W41" i="14" s="1"/>
  <c r="Z24" i="4"/>
  <c r="P24" i="4"/>
  <c r="Z23" i="4"/>
  <c r="P23" i="4"/>
  <c r="Z22" i="4"/>
  <c r="P22" i="4"/>
  <c r="AA22" i="4" s="1"/>
  <c r="Z20" i="4"/>
  <c r="P20" i="4"/>
  <c r="Z19" i="4"/>
  <c r="P19" i="4"/>
  <c r="Z18" i="4"/>
  <c r="P18" i="4"/>
  <c r="Z17" i="4"/>
  <c r="P17" i="4"/>
  <c r="Z16" i="4"/>
  <c r="P16" i="4"/>
  <c r="W93" i="14" s="1"/>
  <c r="Z15" i="4"/>
  <c r="P15" i="4"/>
  <c r="W71" i="14" s="1"/>
  <c r="Z14" i="4"/>
  <c r="P14" i="4"/>
  <c r="Z13" i="4"/>
  <c r="P13" i="4"/>
  <c r="Z12" i="4"/>
  <c r="P12" i="4"/>
  <c r="Z11" i="4"/>
  <c r="P11" i="4"/>
  <c r="E11" i="4"/>
  <c r="D11" i="4"/>
  <c r="C11" i="4"/>
  <c r="B11" i="4"/>
  <c r="Z10" i="4"/>
  <c r="P10" i="4"/>
  <c r="W44" i="14" s="1"/>
  <c r="Z9" i="4"/>
  <c r="P9" i="4"/>
  <c r="W39" i="14" s="1"/>
  <c r="Z8" i="4"/>
  <c r="P8" i="4"/>
  <c r="Z7" i="4"/>
  <c r="P7" i="4"/>
  <c r="Z6" i="4"/>
  <c r="P6" i="4"/>
  <c r="K1" i="4"/>
  <c r="J1" i="4"/>
  <c r="I1" i="4"/>
  <c r="H1" i="4"/>
  <c r="H12" i="4" s="1"/>
  <c r="J3" i="3"/>
  <c r="I3" i="3"/>
  <c r="H3" i="3"/>
  <c r="G3" i="3"/>
  <c r="F3" i="3"/>
  <c r="E3" i="3"/>
  <c r="D3" i="3"/>
  <c r="Q35" i="2"/>
  <c r="W29" i="2"/>
  <c r="V29" i="2"/>
  <c r="U29" i="2"/>
  <c r="T29" i="2"/>
  <c r="S29" i="2"/>
  <c r="R29" i="2"/>
  <c r="Q29" i="2"/>
  <c r="P29" i="2"/>
  <c r="Q34" i="2" s="1"/>
  <c r="O29" i="2"/>
  <c r="N29" i="2"/>
  <c r="M29" i="2"/>
  <c r="W28" i="2"/>
  <c r="K9" i="2" s="1"/>
  <c r="V28" i="2"/>
  <c r="U28" i="2"/>
  <c r="I9" i="2" s="1"/>
  <c r="T28" i="2"/>
  <c r="H9" i="2" s="1"/>
  <c r="S28" i="2"/>
  <c r="G9" i="2" s="1"/>
  <c r="R28" i="2"/>
  <c r="Q28" i="2"/>
  <c r="E9" i="2" s="1"/>
  <c r="P28" i="2"/>
  <c r="Q33" i="2" s="1"/>
  <c r="O28" i="2"/>
  <c r="N28" i="2"/>
  <c r="M28" i="2"/>
  <c r="W27" i="2"/>
  <c r="K8" i="2" s="1"/>
  <c r="V27" i="2"/>
  <c r="U27" i="2"/>
  <c r="T27" i="2"/>
  <c r="H8" i="2" s="1"/>
  <c r="S27" i="2"/>
  <c r="G8" i="2" s="1"/>
  <c r="R27" i="2"/>
  <c r="Q27" i="2"/>
  <c r="E8" i="2" s="1"/>
  <c r="P27" i="2"/>
  <c r="Q32" i="2" s="1"/>
  <c r="O27" i="2"/>
  <c r="N27" i="2"/>
  <c r="M27" i="2"/>
  <c r="W26" i="2"/>
  <c r="K7" i="2" s="1"/>
  <c r="V26" i="2"/>
  <c r="U26" i="2"/>
  <c r="T26" i="2"/>
  <c r="H7" i="2" s="1"/>
  <c r="S26" i="2"/>
  <c r="G7" i="2" s="1"/>
  <c r="R26" i="2"/>
  <c r="Q26" i="2"/>
  <c r="P26" i="2"/>
  <c r="Q31" i="2" s="1"/>
  <c r="O26" i="2"/>
  <c r="N26" i="2"/>
  <c r="M26" i="2"/>
  <c r="W13" i="2"/>
  <c r="K6" i="2" s="1"/>
  <c r="V13" i="2"/>
  <c r="J6" i="2" s="1"/>
  <c r="U13" i="2"/>
  <c r="T13" i="2"/>
  <c r="S13" i="2"/>
  <c r="G6" i="2" s="1"/>
  <c r="R13" i="2"/>
  <c r="F6" i="2" s="1"/>
  <c r="Q13" i="2"/>
  <c r="P13" i="2"/>
  <c r="K10" i="2"/>
  <c r="J10" i="2"/>
  <c r="I10" i="2"/>
  <c r="H10" i="2"/>
  <c r="G10" i="2"/>
  <c r="F10" i="2"/>
  <c r="E10" i="2"/>
  <c r="D10" i="2"/>
  <c r="J9" i="2"/>
  <c r="F9" i="2"/>
  <c r="D9" i="2"/>
  <c r="J8" i="2"/>
  <c r="I8" i="2"/>
  <c r="F8" i="2"/>
  <c r="D8" i="2"/>
  <c r="J7" i="2"/>
  <c r="I7" i="2"/>
  <c r="F7" i="2"/>
  <c r="E7" i="2"/>
  <c r="D7" i="2"/>
  <c r="I6" i="2"/>
  <c r="H6" i="2"/>
  <c r="E6" i="2"/>
  <c r="D6" i="2"/>
  <c r="K5" i="2"/>
  <c r="J5" i="2"/>
  <c r="I5" i="2"/>
  <c r="H5" i="2"/>
  <c r="G5" i="2"/>
  <c r="F5" i="2"/>
  <c r="E5" i="2"/>
  <c r="L82" i="1"/>
  <c r="K82" i="1"/>
  <c r="J82" i="1"/>
  <c r="I82" i="1"/>
  <c r="H82" i="1"/>
  <c r="G82" i="1"/>
  <c r="F82" i="1"/>
  <c r="V7" i="1"/>
  <c r="U7" i="1"/>
  <c r="T7" i="1"/>
  <c r="S7" i="1"/>
  <c r="R7" i="1"/>
  <c r="Q7" i="1"/>
  <c r="P7" i="1"/>
  <c r="N7" i="1"/>
  <c r="M7" i="1"/>
  <c r="L7" i="1"/>
  <c r="K7" i="1"/>
  <c r="J7" i="1"/>
  <c r="I7" i="1"/>
  <c r="H7" i="1"/>
  <c r="Q120" i="1" l="1"/>
  <c r="J73" i="1"/>
  <c r="N413" i="14"/>
  <c r="E413" i="14" s="1"/>
  <c r="Z170" i="14"/>
  <c r="Z171" i="14" s="1"/>
  <c r="F29" i="8"/>
  <c r="E6" i="8" s="1"/>
  <c r="F31" i="8"/>
  <c r="E8" i="8" s="1"/>
  <c r="R59" i="4" s="1"/>
  <c r="F38" i="8"/>
  <c r="E13" i="8" s="1"/>
  <c r="R63" i="4" s="1"/>
  <c r="Y73" i="14" s="1"/>
  <c r="AA55" i="4"/>
  <c r="AA59" i="4"/>
  <c r="AA54" i="4"/>
  <c r="AD170" i="14"/>
  <c r="AD171" i="14" s="1"/>
  <c r="K74" i="1"/>
  <c r="J68" i="1"/>
  <c r="L50" i="1"/>
  <c r="H73" i="1"/>
  <c r="M44" i="1"/>
  <c r="K10" i="1"/>
  <c r="J56" i="1"/>
  <c r="I50" i="1"/>
  <c r="G20" i="1"/>
  <c r="I20" i="1"/>
  <c r="H10" i="1"/>
  <c r="H31" i="1"/>
  <c r="M36" i="1"/>
  <c r="L73" i="1"/>
  <c r="N31" i="1"/>
  <c r="L56" i="1"/>
  <c r="G56" i="1"/>
  <c r="M67" i="1"/>
  <c r="L74" i="1"/>
  <c r="L68" i="1"/>
  <c r="I31" i="1"/>
  <c r="L36" i="1"/>
  <c r="M73" i="1"/>
  <c r="G73" i="1"/>
  <c r="L31" i="1"/>
  <c r="G67" i="1"/>
  <c r="I44" i="1"/>
  <c r="H67" i="1"/>
  <c r="N44" i="1"/>
  <c r="J10" i="1"/>
  <c r="M50" i="1"/>
  <c r="N10" i="1"/>
  <c r="I10" i="1"/>
  <c r="G44" i="1"/>
  <c r="L20" i="1"/>
  <c r="L10" i="1"/>
  <c r="H68" i="1"/>
  <c r="G50" i="1"/>
  <c r="K68" i="1"/>
  <c r="I68" i="1"/>
  <c r="J31" i="1"/>
  <c r="H36" i="1"/>
  <c r="N36" i="1"/>
  <c r="N67" i="1"/>
  <c r="J36" i="1"/>
  <c r="K44" i="1"/>
  <c r="I56" i="1"/>
  <c r="N56" i="1"/>
  <c r="M31" i="1"/>
  <c r="I36" i="1"/>
  <c r="M10" i="1"/>
  <c r="K73" i="1"/>
  <c r="L67" i="1"/>
  <c r="H50" i="1"/>
  <c r="K31" i="1"/>
  <c r="I73" i="1"/>
  <c r="N68" i="1"/>
  <c r="G68" i="1"/>
  <c r="M68" i="1"/>
  <c r="L44" i="1"/>
  <c r="G31" i="1"/>
  <c r="G10" i="1"/>
  <c r="H44" i="1"/>
  <c r="H56" i="1"/>
  <c r="N73" i="1"/>
  <c r="I67" i="1"/>
  <c r="K50" i="1"/>
  <c r="J50" i="1"/>
  <c r="M56" i="1"/>
  <c r="K67" i="1"/>
  <c r="G36" i="1"/>
  <c r="K36" i="1"/>
  <c r="J44" i="1"/>
  <c r="K56" i="1"/>
  <c r="H57" i="1"/>
  <c r="M45" i="1"/>
  <c r="I57" i="1"/>
  <c r="K24" i="1"/>
  <c r="N57" i="1"/>
  <c r="H16" i="1"/>
  <c r="J45" i="1"/>
  <c r="H74" i="1"/>
  <c r="M74" i="1"/>
  <c r="M16" i="1"/>
  <c r="J37" i="1"/>
  <c r="H37" i="1"/>
  <c r="G32" i="1"/>
  <c r="M24" i="1"/>
  <c r="L11" i="1"/>
  <c r="N16" i="1"/>
  <c r="K32" i="1"/>
  <c r="N37" i="1"/>
  <c r="K37" i="1"/>
  <c r="M57" i="1"/>
  <c r="L51" i="1"/>
  <c r="M11" i="1"/>
  <c r="I11" i="1"/>
  <c r="I51" i="1"/>
  <c r="I74" i="1"/>
  <c r="K45" i="1"/>
  <c r="J51" i="1"/>
  <c r="G45" i="1"/>
  <c r="J32" i="1"/>
  <c r="N51" i="1"/>
  <c r="J74" i="1"/>
  <c r="L24" i="1"/>
  <c r="L37" i="1"/>
  <c r="J16" i="1"/>
  <c r="K57" i="1"/>
  <c r="I37" i="1"/>
  <c r="G51" i="1"/>
  <c r="I24" i="1"/>
  <c r="H24" i="1"/>
  <c r="I45" i="1"/>
  <c r="M32" i="1"/>
  <c r="M51" i="1"/>
  <c r="I32" i="1"/>
  <c r="L57" i="1"/>
  <c r="H32" i="1"/>
  <c r="K16" i="1"/>
  <c r="J57" i="1"/>
  <c r="H45" i="1"/>
  <c r="H11" i="1"/>
  <c r="G74" i="1"/>
  <c r="J24" i="1"/>
  <c r="L45" i="1"/>
  <c r="G37" i="1"/>
  <c r="G11" i="1"/>
  <c r="L16" i="1"/>
  <c r="H51" i="1"/>
  <c r="G57" i="1"/>
  <c r="N11" i="1"/>
  <c r="L32" i="1"/>
  <c r="N32" i="1"/>
  <c r="G24" i="1"/>
  <c r="G16" i="1"/>
  <c r="J11" i="1"/>
  <c r="K11" i="1"/>
  <c r="I16" i="1"/>
  <c r="K51" i="1"/>
  <c r="N74" i="1"/>
  <c r="M37" i="1"/>
  <c r="N45" i="1"/>
  <c r="N24" i="1"/>
  <c r="B173" i="1"/>
  <c r="C174" i="1"/>
  <c r="C163" i="1"/>
  <c r="B162" i="1"/>
  <c r="G110" i="14"/>
  <c r="D110" i="14"/>
  <c r="C111" i="14"/>
  <c r="J111" i="14"/>
  <c r="B112" i="14"/>
  <c r="I112" i="14"/>
  <c r="H113" i="14"/>
  <c r="H114" i="14" s="1"/>
  <c r="B55" i="14"/>
  <c r="H56" i="14"/>
  <c r="I55" i="14"/>
  <c r="J55" i="14" s="1"/>
  <c r="G54" i="14"/>
  <c r="D54" i="14"/>
  <c r="I18" i="14"/>
  <c r="B18" i="14"/>
  <c r="G16" i="14"/>
  <c r="D16" i="14"/>
  <c r="J17" i="14"/>
  <c r="C17" i="14"/>
  <c r="I414" i="14"/>
  <c r="C414" i="14" s="1"/>
  <c r="S341" i="14"/>
  <c r="G146" i="12"/>
  <c r="B145" i="12"/>
  <c r="T46" i="12"/>
  <c r="U40" i="12"/>
  <c r="N244" i="12"/>
  <c r="Q134" i="12"/>
  <c r="Q87" i="12" s="1"/>
  <c r="Q128" i="12"/>
  <c r="Q72" i="12" s="1"/>
  <c r="Q132" i="12"/>
  <c r="Q103" i="12" s="1"/>
  <c r="Q130" i="12"/>
  <c r="Q101" i="12" s="1"/>
  <c r="Q127" i="12"/>
  <c r="Q71" i="12" s="1"/>
  <c r="Q129" i="12"/>
  <c r="Q73" i="12" s="1"/>
  <c r="Q131" i="12"/>
  <c r="Q102" i="12" s="1"/>
  <c r="Q133" i="12"/>
  <c r="Q86" i="12" s="1"/>
  <c r="X46" i="12"/>
  <c r="U46" i="12"/>
  <c r="X40" i="12"/>
  <c r="W37" i="12"/>
  <c r="T40" i="12"/>
  <c r="Y46" i="12"/>
  <c r="Z43" i="12"/>
  <c r="AA17" i="4"/>
  <c r="G294" i="16"/>
  <c r="C294" i="16" s="1"/>
  <c r="B294" i="16"/>
  <c r="D293" i="16"/>
  <c r="A295" i="16"/>
  <c r="F295" i="16"/>
  <c r="E296" i="16"/>
  <c r="N88" i="3"/>
  <c r="L88" i="3" s="1"/>
  <c r="B88" i="3" s="1"/>
  <c r="L87" i="3"/>
  <c r="B87" i="3" s="1"/>
  <c r="M93" i="3"/>
  <c r="K93" i="3" s="1"/>
  <c r="M87" i="3"/>
  <c r="K87" i="3" s="1"/>
  <c r="U71" i="3"/>
  <c r="T70" i="3"/>
  <c r="U53" i="3"/>
  <c r="T52" i="3"/>
  <c r="L15" i="3"/>
  <c r="P15" i="3"/>
  <c r="O15" i="3"/>
  <c r="Q15" i="3"/>
  <c r="R15" i="3"/>
  <c r="K15" i="3"/>
  <c r="M15" i="3"/>
  <c r="N15" i="3"/>
  <c r="AG37" i="3"/>
  <c r="AH38" i="3"/>
  <c r="AG38" i="3" s="1"/>
  <c r="P25" i="3" s="1"/>
  <c r="AG44" i="3"/>
  <c r="AH45" i="3"/>
  <c r="AG52" i="3"/>
  <c r="AH53" i="3"/>
  <c r="AA13" i="4"/>
  <c r="R138" i="15"/>
  <c r="R142" i="15"/>
  <c r="R171" i="15"/>
  <c r="R105" i="15"/>
  <c r="R109" i="15" s="1"/>
  <c r="S154" i="15"/>
  <c r="R208" i="15"/>
  <c r="B159" i="15"/>
  <c r="G159" i="15"/>
  <c r="H159" i="15" s="1"/>
  <c r="D159" i="15" s="1"/>
  <c r="R107" i="15"/>
  <c r="R176" i="15"/>
  <c r="T50" i="15"/>
  <c r="T49" i="15"/>
  <c r="R140" i="15"/>
  <c r="R172" i="15"/>
  <c r="R209" i="15"/>
  <c r="R108" i="15"/>
  <c r="R141" i="15"/>
  <c r="R206" i="15"/>
  <c r="R210" i="15"/>
  <c r="I46" i="9"/>
  <c r="H14" i="9" s="1"/>
  <c r="L44" i="9"/>
  <c r="K7" i="9" s="1"/>
  <c r="AI151" i="11"/>
  <c r="Z150" i="11"/>
  <c r="J42" i="5"/>
  <c r="J44" i="5"/>
  <c r="AA14" i="4"/>
  <c r="J47" i="6"/>
  <c r="I13" i="6" s="1"/>
  <c r="V31" i="4" s="1"/>
  <c r="AA66" i="4"/>
  <c r="L46" i="9"/>
  <c r="K14" i="9" s="1"/>
  <c r="F88" i="10"/>
  <c r="J88" i="10"/>
  <c r="F100" i="10"/>
  <c r="E36" i="10" s="1"/>
  <c r="J100" i="10"/>
  <c r="I36" i="10" s="1"/>
  <c r="V96" i="4" s="1"/>
  <c r="B14" i="11"/>
  <c r="I14" i="11"/>
  <c r="H15" i="11"/>
  <c r="V34" i="11"/>
  <c r="V36" i="11"/>
  <c r="V28" i="11"/>
  <c r="V29" i="11"/>
  <c r="AF27" i="11"/>
  <c r="W66" i="11"/>
  <c r="W65" i="11"/>
  <c r="W151" i="11"/>
  <c r="W150" i="11"/>
  <c r="R30" i="11"/>
  <c r="Q29" i="11"/>
  <c r="V52" i="11"/>
  <c r="V51" i="11"/>
  <c r="AF57" i="11"/>
  <c r="V47" i="11"/>
  <c r="V54" i="11"/>
  <c r="V48" i="11"/>
  <c r="V46" i="11"/>
  <c r="V45" i="11"/>
  <c r="H13" i="4"/>
  <c r="I13" i="4" s="1"/>
  <c r="I12" i="4"/>
  <c r="E29" i="5"/>
  <c r="D6" i="5" s="1"/>
  <c r="Q9" i="4" s="1"/>
  <c r="AA9" i="4" s="1"/>
  <c r="E30" i="5"/>
  <c r="D7" i="5" s="1"/>
  <c r="Q10" i="4" s="1"/>
  <c r="AA7" i="4"/>
  <c r="H94" i="10"/>
  <c r="L94" i="10"/>
  <c r="V37" i="11"/>
  <c r="V50" i="11"/>
  <c r="AJ66" i="11"/>
  <c r="AA65" i="11"/>
  <c r="Y116" i="11"/>
  <c r="X117" i="11"/>
  <c r="X116" i="11"/>
  <c r="AI105" i="5"/>
  <c r="Z108" i="5"/>
  <c r="Z109" i="5" s="1"/>
  <c r="H40" i="7"/>
  <c r="G14" i="7" s="1"/>
  <c r="H41" i="7"/>
  <c r="G16" i="7" s="1"/>
  <c r="G15" i="7" s="1"/>
  <c r="T48" i="4" s="1"/>
  <c r="I44" i="9"/>
  <c r="H7" i="9" s="1"/>
  <c r="H5" i="9" s="1"/>
  <c r="Q15" i="4"/>
  <c r="AA15" i="4" s="1"/>
  <c r="E13" i="5"/>
  <c r="R15" i="4" s="1"/>
  <c r="T100" i="15" s="1"/>
  <c r="J38" i="6"/>
  <c r="I8" i="6" s="1"/>
  <c r="V27" i="4" s="1"/>
  <c r="J36" i="6"/>
  <c r="I6" i="6" s="1"/>
  <c r="V25" i="4" s="1"/>
  <c r="AC41" i="14" s="1"/>
  <c r="AC30" i="14" s="1"/>
  <c r="AC35" i="14" s="1"/>
  <c r="V83" i="11"/>
  <c r="R148" i="11"/>
  <c r="Q147" i="11"/>
  <c r="J35" i="5"/>
  <c r="I11" i="5" s="1"/>
  <c r="V13" i="4" s="1"/>
  <c r="X101" i="15" s="1"/>
  <c r="X92" i="15" s="1"/>
  <c r="F48" i="6"/>
  <c r="E14" i="6" s="1"/>
  <c r="R32" i="4" s="1"/>
  <c r="J48" i="6"/>
  <c r="I14" i="6" s="1"/>
  <c r="V32" i="4" s="1"/>
  <c r="AC97" i="14" s="1"/>
  <c r="H44" i="9"/>
  <c r="G7" i="9" s="1"/>
  <c r="H45" i="9"/>
  <c r="G21" i="9" s="1"/>
  <c r="L45" i="9"/>
  <c r="K21" i="9" s="1"/>
  <c r="H46" i="9"/>
  <c r="G14" i="9" s="1"/>
  <c r="G18" i="9" s="1"/>
  <c r="W49" i="11"/>
  <c r="F13" i="15"/>
  <c r="B13" i="15" s="1"/>
  <c r="B12" i="15"/>
  <c r="L1" i="4"/>
  <c r="AA23" i="4"/>
  <c r="K44" i="5"/>
  <c r="K45" i="5" s="1"/>
  <c r="L45" i="5" s="1"/>
  <c r="H65" i="5"/>
  <c r="H48" i="6"/>
  <c r="G14" i="6" s="1"/>
  <c r="T32" i="4" s="1"/>
  <c r="L48" i="6"/>
  <c r="K14" i="6" s="1"/>
  <c r="X32" i="4" s="1"/>
  <c r="H61" i="6"/>
  <c r="I61" i="6" s="1"/>
  <c r="J61" i="6" s="1"/>
  <c r="K61" i="6" s="1"/>
  <c r="F44" i="9"/>
  <c r="E7" i="9" s="1"/>
  <c r="J44" i="9"/>
  <c r="I7" i="9" s="1"/>
  <c r="F45" i="9"/>
  <c r="E21" i="9" s="1"/>
  <c r="J45" i="9"/>
  <c r="I21" i="9" s="1"/>
  <c r="F46" i="9"/>
  <c r="E14" i="9" s="1"/>
  <c r="J46" i="9"/>
  <c r="I14" i="9" s="1"/>
  <c r="I18" i="9" s="1"/>
  <c r="J82" i="10"/>
  <c r="J79" i="10" s="1"/>
  <c r="E113" i="10"/>
  <c r="I113" i="10"/>
  <c r="E117" i="10"/>
  <c r="I117" i="10"/>
  <c r="M107" i="10"/>
  <c r="K2" i="11"/>
  <c r="K13" i="11"/>
  <c r="V116" i="11"/>
  <c r="J3" i="12"/>
  <c r="J19" i="12"/>
  <c r="F19" i="12" s="1"/>
  <c r="Y40" i="12"/>
  <c r="W46" i="12"/>
  <c r="U127" i="12"/>
  <c r="U71" i="12" s="1"/>
  <c r="U128" i="12"/>
  <c r="U72" i="12" s="1"/>
  <c r="U129" i="12"/>
  <c r="U73" i="12" s="1"/>
  <c r="U130" i="12"/>
  <c r="U101" i="12" s="1"/>
  <c r="U131" i="12"/>
  <c r="U102" i="12" s="1"/>
  <c r="U132" i="12"/>
  <c r="U103" i="12" s="1"/>
  <c r="U133" i="12"/>
  <c r="U86" i="12" s="1"/>
  <c r="U134" i="12"/>
  <c r="U87" i="12" s="1"/>
  <c r="N214" i="12"/>
  <c r="N215" i="12" s="1"/>
  <c r="N216" i="12" s="1"/>
  <c r="W134" i="12"/>
  <c r="W87" i="12" s="1"/>
  <c r="S134" i="12"/>
  <c r="S87" i="12" s="1"/>
  <c r="W133" i="12"/>
  <c r="W86" i="12" s="1"/>
  <c r="S133" i="12"/>
  <c r="S86" i="12" s="1"/>
  <c r="W132" i="12"/>
  <c r="W103" i="12" s="1"/>
  <c r="S132" i="12"/>
  <c r="S103" i="12" s="1"/>
  <c r="W131" i="12"/>
  <c r="W102" i="12" s="1"/>
  <c r="S131" i="12"/>
  <c r="S102" i="12" s="1"/>
  <c r="W130" i="12"/>
  <c r="W101" i="12" s="1"/>
  <c r="S130" i="12"/>
  <c r="S101" i="12" s="1"/>
  <c r="W129" i="12"/>
  <c r="W73" i="12" s="1"/>
  <c r="S129" i="12"/>
  <c r="S73" i="12" s="1"/>
  <c r="W128" i="12"/>
  <c r="W72" i="12" s="1"/>
  <c r="S128" i="12"/>
  <c r="S72" i="12" s="1"/>
  <c r="W127" i="12"/>
  <c r="W71" i="12" s="1"/>
  <c r="S127" i="12"/>
  <c r="S71" i="12" s="1"/>
  <c r="Z134" i="12"/>
  <c r="Z87" i="12" s="1"/>
  <c r="V134" i="12"/>
  <c r="V87" i="12" s="1"/>
  <c r="R134" i="12"/>
  <c r="R87" i="12" s="1"/>
  <c r="Z133" i="12"/>
  <c r="Z86" i="12" s="1"/>
  <c r="Z35" i="12" s="1"/>
  <c r="V133" i="12"/>
  <c r="V86" i="12" s="1"/>
  <c r="R133" i="12"/>
  <c r="R86" i="12" s="1"/>
  <c r="Z132" i="12"/>
  <c r="Z103" i="12" s="1"/>
  <c r="Z52" i="12" s="1"/>
  <c r="V132" i="12"/>
  <c r="V103" i="12" s="1"/>
  <c r="R132" i="12"/>
  <c r="R103" i="12" s="1"/>
  <c r="Z131" i="12"/>
  <c r="Z102" i="12" s="1"/>
  <c r="V131" i="12"/>
  <c r="V102" i="12" s="1"/>
  <c r="R131" i="12"/>
  <c r="R102" i="12" s="1"/>
  <c r="Z130" i="12"/>
  <c r="Z101" i="12" s="1"/>
  <c r="Z50" i="12" s="1"/>
  <c r="V130" i="12"/>
  <c r="V101" i="12" s="1"/>
  <c r="R130" i="12"/>
  <c r="R101" i="12" s="1"/>
  <c r="Z129" i="12"/>
  <c r="Z73" i="12" s="1"/>
  <c r="Z22" i="12" s="1"/>
  <c r="V129" i="12"/>
  <c r="V73" i="12" s="1"/>
  <c r="R129" i="12"/>
  <c r="R73" i="12" s="1"/>
  <c r="Z128" i="12"/>
  <c r="Z72" i="12" s="1"/>
  <c r="Z21" i="12" s="1"/>
  <c r="V128" i="12"/>
  <c r="V72" i="12" s="1"/>
  <c r="R128" i="12"/>
  <c r="R72" i="12" s="1"/>
  <c r="Z127" i="12"/>
  <c r="Z71" i="12" s="1"/>
  <c r="V127" i="12"/>
  <c r="V71" i="12" s="1"/>
  <c r="R127" i="12"/>
  <c r="R71" i="12" s="1"/>
  <c r="X134" i="12"/>
  <c r="X87" i="12" s="1"/>
  <c r="X36" i="12" s="1"/>
  <c r="T134" i="12"/>
  <c r="T87" i="12" s="1"/>
  <c r="P134" i="12"/>
  <c r="P87" i="12" s="1"/>
  <c r="X133" i="12"/>
  <c r="X86" i="12" s="1"/>
  <c r="X35" i="12" s="1"/>
  <c r="T133" i="12"/>
  <c r="T86" i="12" s="1"/>
  <c r="P133" i="12"/>
  <c r="P86" i="12" s="1"/>
  <c r="X132" i="12"/>
  <c r="X103" i="12" s="1"/>
  <c r="X52" i="12" s="1"/>
  <c r="T132" i="12"/>
  <c r="T103" i="12" s="1"/>
  <c r="P132" i="12"/>
  <c r="P103" i="12" s="1"/>
  <c r="X131" i="12"/>
  <c r="X102" i="12" s="1"/>
  <c r="T131" i="12"/>
  <c r="T102" i="12" s="1"/>
  <c r="P131" i="12"/>
  <c r="P102" i="12" s="1"/>
  <c r="X130" i="12"/>
  <c r="X101" i="12" s="1"/>
  <c r="X50" i="12" s="1"/>
  <c r="T130" i="12"/>
  <c r="T101" i="12" s="1"/>
  <c r="P130" i="12"/>
  <c r="P101" i="12" s="1"/>
  <c r="X129" i="12"/>
  <c r="X73" i="12" s="1"/>
  <c r="X22" i="12" s="1"/>
  <c r="T129" i="12"/>
  <c r="T73" i="12" s="1"/>
  <c r="P129" i="12"/>
  <c r="P73" i="12" s="1"/>
  <c r="X128" i="12"/>
  <c r="X72" i="12" s="1"/>
  <c r="X21" i="12" s="1"/>
  <c r="T128" i="12"/>
  <c r="T72" i="12" s="1"/>
  <c r="P128" i="12"/>
  <c r="P72" i="12" s="1"/>
  <c r="X127" i="12"/>
  <c r="X71" i="12" s="1"/>
  <c r="T127" i="12"/>
  <c r="T71" i="12" s="1"/>
  <c r="P127" i="12"/>
  <c r="P71" i="12" s="1"/>
  <c r="G12" i="15"/>
  <c r="H12" i="15" s="1"/>
  <c r="D12" i="15" s="1"/>
  <c r="AA39" i="4"/>
  <c r="AA45" i="4"/>
  <c r="AA51" i="4"/>
  <c r="AA56" i="4"/>
  <c r="AA60" i="4"/>
  <c r="AA62" i="4"/>
  <c r="E48" i="6"/>
  <c r="I48" i="6"/>
  <c r="H14" i="6" s="1"/>
  <c r="U32" i="4" s="1"/>
  <c r="J30" i="8"/>
  <c r="I7" i="8" s="1"/>
  <c r="V58" i="4" s="1"/>
  <c r="AC47" i="14" s="1"/>
  <c r="G44" i="9"/>
  <c r="F7" i="9" s="1"/>
  <c r="F3" i="9" s="1"/>
  <c r="K44" i="9"/>
  <c r="J7" i="9" s="1"/>
  <c r="J3" i="9" s="1"/>
  <c r="G45" i="9"/>
  <c r="F21" i="9" s="1"/>
  <c r="K45" i="9"/>
  <c r="J21" i="9" s="1"/>
  <c r="G46" i="9"/>
  <c r="F14" i="9" s="1"/>
  <c r="K46" i="9"/>
  <c r="J14" i="9" s="1"/>
  <c r="D113" i="10"/>
  <c r="H113" i="10"/>
  <c r="D117" i="10"/>
  <c r="H117" i="10"/>
  <c r="E112" i="10"/>
  <c r="I112" i="10"/>
  <c r="F113" i="10"/>
  <c r="J113" i="10"/>
  <c r="E116" i="10"/>
  <c r="I116" i="10"/>
  <c r="K82" i="10" s="1"/>
  <c r="F117" i="10"/>
  <c r="J117" i="10"/>
  <c r="K178" i="10"/>
  <c r="K201" i="10"/>
  <c r="K223" i="10"/>
  <c r="W31" i="11"/>
  <c r="V49" i="11"/>
  <c r="V65" i="11"/>
  <c r="U82" i="11"/>
  <c r="Y82" i="11"/>
  <c r="W116" i="11"/>
  <c r="Y100" i="12"/>
  <c r="Z100" i="12"/>
  <c r="V100" i="12"/>
  <c r="B20" i="12"/>
  <c r="Y127" i="12"/>
  <c r="Y71" i="12" s="1"/>
  <c r="Y20" i="12" s="1"/>
  <c r="Y128" i="12"/>
  <c r="Y72" i="12" s="1"/>
  <c r="Y129" i="12"/>
  <c r="Y73" i="12" s="1"/>
  <c r="Y130" i="12"/>
  <c r="Y101" i="12" s="1"/>
  <c r="Y131" i="12"/>
  <c r="Y102" i="12" s="1"/>
  <c r="Y51" i="12" s="1"/>
  <c r="Y132" i="12"/>
  <c r="Y103" i="12" s="1"/>
  <c r="Y133" i="12"/>
  <c r="Y86" i="12" s="1"/>
  <c r="Y134" i="12"/>
  <c r="Y87" i="12" s="1"/>
  <c r="R139" i="15"/>
  <c r="R143" i="15" s="1"/>
  <c r="G3" i="13"/>
  <c r="K368" i="14"/>
  <c r="F160" i="15"/>
  <c r="B160" i="15" s="1"/>
  <c r="R173" i="15"/>
  <c r="R177" i="15" s="1"/>
  <c r="R195" i="15"/>
  <c r="R196" i="15" s="1"/>
  <c r="D15" i="13"/>
  <c r="S317" i="14"/>
  <c r="R104" i="15"/>
  <c r="W45" i="14"/>
  <c r="AA42" i="4"/>
  <c r="X28" i="14"/>
  <c r="X33" i="14" s="1"/>
  <c r="B13" i="4"/>
  <c r="K15" i="7"/>
  <c r="X48" i="4" s="1"/>
  <c r="R57" i="4"/>
  <c r="Y42" i="14" s="1"/>
  <c r="Y31" i="14" s="1"/>
  <c r="Y36" i="14" s="1"/>
  <c r="E9" i="8"/>
  <c r="R31" i="11"/>
  <c r="Q30" i="11"/>
  <c r="B12" i="4"/>
  <c r="Q11" i="4"/>
  <c r="AA11" i="4" s="1"/>
  <c r="E8" i="5"/>
  <c r="Q16" i="4"/>
  <c r="AA16" i="4" s="1"/>
  <c r="E14" i="5"/>
  <c r="I30" i="5"/>
  <c r="H7" i="5" s="1"/>
  <c r="U10" i="4" s="1"/>
  <c r="AB44" i="14" s="1"/>
  <c r="I29" i="5"/>
  <c r="H6" i="5" s="1"/>
  <c r="U9" i="4" s="1"/>
  <c r="AB39" i="14" s="1"/>
  <c r="AB28" i="14" s="1"/>
  <c r="AB33" i="14" s="1"/>
  <c r="E41" i="5"/>
  <c r="D18" i="5" s="1"/>
  <c r="Q20" i="4" s="1"/>
  <c r="AA20" i="4" s="1"/>
  <c r="E40" i="5"/>
  <c r="D4" i="5" s="1"/>
  <c r="Q8" i="4" s="1"/>
  <c r="AA8" i="4" s="1"/>
  <c r="E44" i="5"/>
  <c r="E42" i="5"/>
  <c r="I44" i="5"/>
  <c r="I42" i="5"/>
  <c r="I35" i="5"/>
  <c r="H11" i="5" s="1"/>
  <c r="U13" i="4" s="1"/>
  <c r="W101" i="15" s="1"/>
  <c r="W92" i="15" s="1"/>
  <c r="E34" i="5"/>
  <c r="D10" i="5" s="1"/>
  <c r="Q12" i="4" s="1"/>
  <c r="AA12" i="4" s="1"/>
  <c r="J49" i="6"/>
  <c r="I4" i="6" s="1"/>
  <c r="V24" i="4" s="1"/>
  <c r="D15" i="7"/>
  <c r="Q48" i="4" s="1"/>
  <c r="AA48" i="4" s="1"/>
  <c r="F15" i="7"/>
  <c r="S48" i="4" s="1"/>
  <c r="J15" i="7"/>
  <c r="W48" i="4" s="1"/>
  <c r="Y167" i="15" s="1"/>
  <c r="Y158" i="15" s="1"/>
  <c r="E3" i="9"/>
  <c r="E4" i="9"/>
  <c r="E5" i="9"/>
  <c r="E6" i="9"/>
  <c r="W85" i="14"/>
  <c r="W82" i="14"/>
  <c r="W79" i="14"/>
  <c r="W54" i="14"/>
  <c r="W62" i="14"/>
  <c r="W58" i="14"/>
  <c r="H117" i="4"/>
  <c r="H50" i="6"/>
  <c r="G18" i="6" s="1"/>
  <c r="T36" i="4" s="1"/>
  <c r="E15" i="7"/>
  <c r="R48" i="4" s="1"/>
  <c r="I15" i="7"/>
  <c r="V48" i="4" s="1"/>
  <c r="X167" i="15" s="1"/>
  <c r="X158" i="15" s="1"/>
  <c r="J20" i="9"/>
  <c r="J16" i="9"/>
  <c r="J10" i="9"/>
  <c r="J17" i="9"/>
  <c r="J11" i="9"/>
  <c r="J18" i="9"/>
  <c r="J12" i="9"/>
  <c r="J19" i="9"/>
  <c r="J9" i="9"/>
  <c r="J13" i="9"/>
  <c r="R116" i="11"/>
  <c r="Q115" i="11"/>
  <c r="Y203" i="15"/>
  <c r="Y194" i="15" s="1"/>
  <c r="U203" i="15"/>
  <c r="U194" i="15" s="1"/>
  <c r="Y201" i="15"/>
  <c r="U201" i="15"/>
  <c r="Y200" i="15"/>
  <c r="U200" i="15"/>
  <c r="Y199" i="15"/>
  <c r="Y190" i="15" s="1"/>
  <c r="U199" i="15"/>
  <c r="U190" i="15" s="1"/>
  <c r="Y198" i="15"/>
  <c r="Y189" i="15" s="1"/>
  <c r="U198" i="15"/>
  <c r="U189" i="15" s="1"/>
  <c r="Y197" i="15"/>
  <c r="U197" i="15"/>
  <c r="U169" i="15"/>
  <c r="U167" i="15"/>
  <c r="U158" i="15" s="1"/>
  <c r="Y166" i="15"/>
  <c r="Y157" i="15" s="1"/>
  <c r="U166" i="15"/>
  <c r="U157" i="15" s="1"/>
  <c r="U165" i="15"/>
  <c r="Y164" i="15"/>
  <c r="Y155" i="15" s="1"/>
  <c r="U164" i="15"/>
  <c r="U155" i="15" s="1"/>
  <c r="Y163" i="15"/>
  <c r="U163" i="15"/>
  <c r="Y133" i="15"/>
  <c r="U133" i="15"/>
  <c r="Y132" i="15"/>
  <c r="U132" i="15"/>
  <c r="U123" i="15" s="1"/>
  <c r="Y130" i="15"/>
  <c r="Y121" i="15" s="1"/>
  <c r="U130" i="15"/>
  <c r="U121" i="15" s="1"/>
  <c r="Y129" i="15"/>
  <c r="U129" i="15"/>
  <c r="Y98" i="15"/>
  <c r="Y89" i="15" s="1"/>
  <c r="U98" i="15"/>
  <c r="U89" i="15" s="1"/>
  <c r="AE97" i="14"/>
  <c r="AA97" i="14"/>
  <c r="AB95" i="14"/>
  <c r="X95" i="14"/>
  <c r="Z91" i="14"/>
  <c r="X203" i="15"/>
  <c r="X194" i="15" s="1"/>
  <c r="T203" i="15"/>
  <c r="T194" i="15" s="1"/>
  <c r="X201" i="15"/>
  <c r="T201" i="15"/>
  <c r="X200" i="15"/>
  <c r="T200" i="15"/>
  <c r="X199" i="15"/>
  <c r="X190" i="15" s="1"/>
  <c r="T199" i="15"/>
  <c r="T190" i="15" s="1"/>
  <c r="X198" i="15"/>
  <c r="X189" i="15" s="1"/>
  <c r="T198" i="15"/>
  <c r="T189" i="15" s="1"/>
  <c r="X197" i="15"/>
  <c r="T197" i="15"/>
  <c r="T169" i="15"/>
  <c r="T167" i="15"/>
  <c r="T158" i="15" s="1"/>
  <c r="X166" i="15"/>
  <c r="X157" i="15" s="1"/>
  <c r="T166" i="15"/>
  <c r="T157" i="15" s="1"/>
  <c r="T165" i="15"/>
  <c r="X164" i="15"/>
  <c r="X155" i="15" s="1"/>
  <c r="T164" i="15"/>
  <c r="T155" i="15" s="1"/>
  <c r="X163" i="15"/>
  <c r="T163" i="15"/>
  <c r="X134" i="15"/>
  <c r="T133" i="15"/>
  <c r="X132" i="15"/>
  <c r="X123" i="15" s="1"/>
  <c r="T132" i="15"/>
  <c r="X130" i="15"/>
  <c r="X121" i="15" s="1"/>
  <c r="T130" i="15"/>
  <c r="T121" i="15" s="1"/>
  <c r="X129" i="15"/>
  <c r="T129" i="15"/>
  <c r="T101" i="15"/>
  <c r="T92" i="15" s="1"/>
  <c r="X98" i="15"/>
  <c r="X89" i="15" s="1"/>
  <c r="T98" i="15"/>
  <c r="T89" i="15" s="1"/>
  <c r="T97" i="15"/>
  <c r="T88" i="15" s="1"/>
  <c r="AD97" i="14"/>
  <c r="Z97" i="14"/>
  <c r="AE95" i="14"/>
  <c r="AA95" i="14"/>
  <c r="Y91" i="14"/>
  <c r="W203" i="15"/>
  <c r="W194" i="15" s="1"/>
  <c r="S203" i="15"/>
  <c r="S194" i="15" s="1"/>
  <c r="W201" i="15"/>
  <c r="S201" i="15"/>
  <c r="W200" i="15"/>
  <c r="S200" i="15"/>
  <c r="W199" i="15"/>
  <c r="W190" i="15" s="1"/>
  <c r="S199" i="15"/>
  <c r="S190" i="15" s="1"/>
  <c r="W198" i="15"/>
  <c r="W189" i="15" s="1"/>
  <c r="S198" i="15"/>
  <c r="S189" i="15" s="1"/>
  <c r="W197" i="15"/>
  <c r="S197" i="15"/>
  <c r="W169" i="15"/>
  <c r="S169" i="15"/>
  <c r="W166" i="15"/>
  <c r="W157" i="15" s="1"/>
  <c r="S166" i="15"/>
  <c r="S157" i="15" s="1"/>
  <c r="S165" i="15"/>
  <c r="W164" i="15"/>
  <c r="W155" i="15" s="1"/>
  <c r="S164" i="15"/>
  <c r="S155" i="15" s="1"/>
  <c r="W163" i="15"/>
  <c r="S163" i="15"/>
  <c r="S134" i="15"/>
  <c r="W133" i="15"/>
  <c r="S133" i="15"/>
  <c r="S124" i="15" s="1"/>
  <c r="W132" i="15"/>
  <c r="S132" i="15"/>
  <c r="W130" i="15"/>
  <c r="W121" i="15" s="1"/>
  <c r="S130" i="15"/>
  <c r="S121" i="15" s="1"/>
  <c r="W129" i="15"/>
  <c r="S129" i="15"/>
  <c r="S101" i="15"/>
  <c r="S92" i="15" s="1"/>
  <c r="S100" i="15"/>
  <c r="W98" i="15"/>
  <c r="W89" i="15" s="1"/>
  <c r="S98" i="15"/>
  <c r="S89" i="15" s="1"/>
  <c r="S97" i="15"/>
  <c r="S88" i="15" s="1"/>
  <c r="S96" i="15"/>
  <c r="S95" i="15"/>
  <c r="Y97" i="14"/>
  <c r="AD95" i="14"/>
  <c r="Z95" i="14"/>
  <c r="X91" i="14"/>
  <c r="V203" i="15"/>
  <c r="V194" i="15" s="1"/>
  <c r="V201" i="15"/>
  <c r="V199" i="15"/>
  <c r="V190" i="15" s="1"/>
  <c r="V197" i="15"/>
  <c r="V166" i="15"/>
  <c r="V157" i="15" s="1"/>
  <c r="V164" i="15"/>
  <c r="V155" i="15" s="1"/>
  <c r="V133" i="15"/>
  <c r="V129" i="15"/>
  <c r="V98" i="15"/>
  <c r="V89" i="15" s="1"/>
  <c r="AB97" i="14"/>
  <c r="Z200" i="15"/>
  <c r="Z198" i="15"/>
  <c r="Z189" i="15" s="1"/>
  <c r="Z167" i="15"/>
  <c r="Z158" i="15" s="1"/>
  <c r="Z163" i="15"/>
  <c r="Z132" i="15"/>
  <c r="Z130" i="15"/>
  <c r="Z121" i="15" s="1"/>
  <c r="X97" i="14"/>
  <c r="AC75" i="14"/>
  <c r="X75" i="14"/>
  <c r="V200" i="15"/>
  <c r="V198" i="15"/>
  <c r="V189" i="15" s="1"/>
  <c r="V169" i="15"/>
  <c r="V165" i="15"/>
  <c r="V163" i="15"/>
  <c r="V132" i="15"/>
  <c r="V130" i="15"/>
  <c r="V121" i="15" s="1"/>
  <c r="AC95" i="14"/>
  <c r="AE91" i="14"/>
  <c r="Z203" i="15"/>
  <c r="Z194" i="15" s="1"/>
  <c r="Z133" i="15"/>
  <c r="Z124" i="15" s="1"/>
  <c r="Z98" i="15"/>
  <c r="Z89" i="15" s="1"/>
  <c r="X71" i="14"/>
  <c r="Z199" i="15"/>
  <c r="Z190" i="15" s="1"/>
  <c r="Z164" i="15"/>
  <c r="Z155" i="15" s="1"/>
  <c r="Z129" i="15"/>
  <c r="Y95" i="14"/>
  <c r="Z197" i="15"/>
  <c r="Z166" i="15"/>
  <c r="Z157" i="15" s="1"/>
  <c r="Z201" i="15"/>
  <c r="G5" i="9"/>
  <c r="G6" i="9"/>
  <c r="G3" i="9"/>
  <c r="G4" i="9"/>
  <c r="G17" i="9"/>
  <c r="G19" i="9"/>
  <c r="G10" i="9"/>
  <c r="G61" i="6"/>
  <c r="H15" i="7"/>
  <c r="U48" i="4" s="1"/>
  <c r="W167" i="15" s="1"/>
  <c r="W158" i="15" s="1"/>
  <c r="K30" i="7"/>
  <c r="J6" i="7" s="1"/>
  <c r="W41" i="4" s="1"/>
  <c r="AD40" i="14" s="1"/>
  <c r="AD29" i="14" s="1"/>
  <c r="AD34" i="14" s="1"/>
  <c r="I3" i="9"/>
  <c r="I4" i="9"/>
  <c r="I5" i="9"/>
  <c r="E19" i="9"/>
  <c r="E13" i="9"/>
  <c r="E9" i="9"/>
  <c r="E20" i="9"/>
  <c r="E16" i="9"/>
  <c r="E10" i="9"/>
  <c r="E17" i="9"/>
  <c r="E11" i="9"/>
  <c r="I19" i="9"/>
  <c r="I13" i="9"/>
  <c r="I9" i="9"/>
  <c r="I20" i="9"/>
  <c r="I16" i="9"/>
  <c r="I10" i="9"/>
  <c r="I17" i="9"/>
  <c r="I11" i="9"/>
  <c r="K5" i="9"/>
  <c r="K6" i="9"/>
  <c r="K3" i="9"/>
  <c r="K17" i="9"/>
  <c r="K11" i="9"/>
  <c r="K18" i="9"/>
  <c r="K12" i="9"/>
  <c r="K19" i="9"/>
  <c r="K13" i="9"/>
  <c r="K9" i="9"/>
  <c r="I12" i="10"/>
  <c r="V77" i="4" s="1"/>
  <c r="E12" i="10"/>
  <c r="R77" i="4" s="1"/>
  <c r="L67" i="10"/>
  <c r="H67" i="10"/>
  <c r="K67" i="10"/>
  <c r="G67" i="10"/>
  <c r="I6" i="10"/>
  <c r="V74" i="4" s="1"/>
  <c r="AC43" i="14" s="1"/>
  <c r="E6" i="10"/>
  <c r="R74" i="4" s="1"/>
  <c r="Y43" i="14" s="1"/>
  <c r="J67" i="10"/>
  <c r="F67" i="10"/>
  <c r="D2" i="10"/>
  <c r="A225" i="10"/>
  <c r="K224" i="10"/>
  <c r="AK66" i="11"/>
  <c r="AB65" i="11"/>
  <c r="R98" i="11"/>
  <c r="AB99" i="11"/>
  <c r="AK100" i="11"/>
  <c r="AK135" i="11"/>
  <c r="AB134" i="11"/>
  <c r="Y134" i="11"/>
  <c r="J34" i="5"/>
  <c r="I10" i="5" s="1"/>
  <c r="V12" i="4" s="1"/>
  <c r="X97" i="15" s="1"/>
  <c r="X88" i="15" s="1"/>
  <c r="I65" i="5"/>
  <c r="J65" i="5" s="1"/>
  <c r="W108" i="5"/>
  <c r="W109" i="5" s="1"/>
  <c r="E36" i="6"/>
  <c r="D6" i="6" s="1"/>
  <c r="Q25" i="4" s="1"/>
  <c r="E37" i="6"/>
  <c r="D7" i="6" s="1"/>
  <c r="Q26" i="4" s="1"/>
  <c r="E43" i="6"/>
  <c r="D10" i="6" s="1"/>
  <c r="Q28" i="4" s="1"/>
  <c r="AA28" i="4" s="1"/>
  <c r="E47" i="6"/>
  <c r="E49" i="6"/>
  <c r="D4" i="6" s="1"/>
  <c r="Q24" i="4" s="1"/>
  <c r="AA24" i="4" s="1"/>
  <c r="L30" i="7"/>
  <c r="K6" i="7" s="1"/>
  <c r="X41" i="4" s="1"/>
  <c r="AE40" i="14" s="1"/>
  <c r="AE29" i="14" s="1"/>
  <c r="AE34" i="14" s="1"/>
  <c r="J38" i="8"/>
  <c r="I13" i="8" s="1"/>
  <c r="V63" i="4" s="1"/>
  <c r="X202" i="15" s="1"/>
  <c r="F9" i="9"/>
  <c r="K16" i="9"/>
  <c r="F4" i="9"/>
  <c r="F5" i="9"/>
  <c r="F6" i="9"/>
  <c r="J4" i="9"/>
  <c r="J5" i="9"/>
  <c r="J6" i="9"/>
  <c r="K30" i="10"/>
  <c r="X90" i="4" s="1"/>
  <c r="J78" i="10"/>
  <c r="I5" i="10" s="1"/>
  <c r="V73" i="4" s="1"/>
  <c r="AC38" i="14" s="1"/>
  <c r="AC27" i="14" s="1"/>
  <c r="AC32" i="14" s="1"/>
  <c r="F78" i="10"/>
  <c r="E5" i="10" s="1"/>
  <c r="R73" i="4" s="1"/>
  <c r="Y38" i="14" s="1"/>
  <c r="Y27" i="14" s="1"/>
  <c r="Y32" i="14" s="1"/>
  <c r="J80" i="10"/>
  <c r="I7" i="10" s="1"/>
  <c r="V75" i="4" s="1"/>
  <c r="F80" i="10"/>
  <c r="E7" i="10" s="1"/>
  <c r="R75" i="4" s="1"/>
  <c r="I100" i="10"/>
  <c r="H36" i="10" s="1"/>
  <c r="E100" i="10"/>
  <c r="D36" i="10" s="1"/>
  <c r="K94" i="10"/>
  <c r="J30" i="10" s="1"/>
  <c r="W90" i="4" s="1"/>
  <c r="G94" i="10"/>
  <c r="I88" i="10"/>
  <c r="E88" i="10"/>
  <c r="D12" i="10" s="1"/>
  <c r="I82" i="10"/>
  <c r="I79" i="10" s="1"/>
  <c r="H6" i="10" s="1"/>
  <c r="U74" i="4" s="1"/>
  <c r="AB43" i="14" s="1"/>
  <c r="E82" i="10"/>
  <c r="E79" i="10" s="1"/>
  <c r="D6" i="10" s="1"/>
  <c r="Q74" i="4" s="1"/>
  <c r="A192" i="10"/>
  <c r="K191" i="10"/>
  <c r="A236" i="10"/>
  <c r="K235" i="10"/>
  <c r="AJ32" i="11"/>
  <c r="AG40" i="11"/>
  <c r="W34" i="11"/>
  <c r="W30" i="11"/>
  <c r="W35" i="11"/>
  <c r="W33" i="11"/>
  <c r="W36" i="11"/>
  <c r="R46" i="11"/>
  <c r="Q45" i="11"/>
  <c r="AK49" i="11"/>
  <c r="AJ50" i="11"/>
  <c r="Y65" i="11"/>
  <c r="Y66" i="11"/>
  <c r="AJ67" i="11"/>
  <c r="AA66" i="11"/>
  <c r="AI83" i="11"/>
  <c r="Z82" i="11"/>
  <c r="AJ83" i="11"/>
  <c r="AB116" i="11"/>
  <c r="AK117" i="11"/>
  <c r="R132" i="11"/>
  <c r="Q131" i="11"/>
  <c r="AI134" i="11"/>
  <c r="Y150" i="11"/>
  <c r="Y151" i="11"/>
  <c r="V150" i="11"/>
  <c r="Z151" i="11"/>
  <c r="Z152" i="11"/>
  <c r="G41" i="5"/>
  <c r="F18" i="5" s="1"/>
  <c r="S20" i="4" s="1"/>
  <c r="F36" i="6"/>
  <c r="E6" i="6" s="1"/>
  <c r="R25" i="4" s="1"/>
  <c r="Y41" i="14" s="1"/>
  <c r="Y30" i="14" s="1"/>
  <c r="Y35" i="14" s="1"/>
  <c r="F37" i="6"/>
  <c r="E7" i="6" s="1"/>
  <c r="R26" i="4" s="1"/>
  <c r="Y46" i="14" s="1"/>
  <c r="F43" i="6"/>
  <c r="E10" i="6" s="1"/>
  <c r="R28" i="4" s="1"/>
  <c r="T131" i="15" s="1"/>
  <c r="F47" i="6"/>
  <c r="E13" i="6" s="1"/>
  <c r="R31" i="4" s="1"/>
  <c r="Y75" i="14" s="1"/>
  <c r="F49" i="6"/>
  <c r="E4" i="6" s="1"/>
  <c r="R24" i="4" s="1"/>
  <c r="Q43" i="4"/>
  <c r="AA43" i="4" s="1"/>
  <c r="E8" i="7"/>
  <c r="G30" i="7"/>
  <c r="F6" i="7" s="1"/>
  <c r="S41" i="4" s="1"/>
  <c r="Z40" i="14" s="1"/>
  <c r="Z29" i="14" s="1"/>
  <c r="Z34" i="14" s="1"/>
  <c r="J36" i="7"/>
  <c r="J37" i="7" s="1"/>
  <c r="I11" i="7" s="1"/>
  <c r="V45" i="4" s="1"/>
  <c r="X169" i="15" s="1"/>
  <c r="X160" i="15" s="1"/>
  <c r="H10" i="7"/>
  <c r="U44" i="4" s="1"/>
  <c r="W165" i="15" s="1"/>
  <c r="L40" i="7"/>
  <c r="K14" i="7" s="1"/>
  <c r="I6" i="9"/>
  <c r="E12" i="9"/>
  <c r="F20" i="9"/>
  <c r="F16" i="9"/>
  <c r="F10" i="9"/>
  <c r="F17" i="9"/>
  <c r="F11" i="9"/>
  <c r="F18" i="9"/>
  <c r="F12" i="9"/>
  <c r="E67" i="10"/>
  <c r="A203" i="10"/>
  <c r="K202" i="10"/>
  <c r="AK32" i="11"/>
  <c r="Z65" i="11"/>
  <c r="AI66" i="11"/>
  <c r="AI100" i="11"/>
  <c r="Z99" i="11"/>
  <c r="AJ101" i="11"/>
  <c r="AA100" i="11"/>
  <c r="AA133" i="11"/>
  <c r="AJ134" i="11"/>
  <c r="R149" i="11"/>
  <c r="Q148" i="11"/>
  <c r="H41" i="5"/>
  <c r="G18" i="5" s="1"/>
  <c r="T20" i="4" s="1"/>
  <c r="H40" i="5"/>
  <c r="G4" i="5" s="1"/>
  <c r="T8" i="4" s="1"/>
  <c r="L29" i="5"/>
  <c r="K6" i="5" s="1"/>
  <c r="X9" i="4" s="1"/>
  <c r="AE39" i="14" s="1"/>
  <c r="AE28" i="14" s="1"/>
  <c r="AE33" i="14" s="1"/>
  <c r="H44" i="5"/>
  <c r="H42" i="5"/>
  <c r="L44" i="5"/>
  <c r="L42" i="5"/>
  <c r="H35" i="5"/>
  <c r="G66" i="5"/>
  <c r="G44" i="5" s="1"/>
  <c r="F66" i="5"/>
  <c r="AG105" i="5"/>
  <c r="G50" i="6"/>
  <c r="F18" i="6" s="1"/>
  <c r="S36" i="4" s="1"/>
  <c r="I36" i="6"/>
  <c r="H6" i="6" s="1"/>
  <c r="U25" i="4" s="1"/>
  <c r="AB41" i="14" s="1"/>
  <c r="AB30" i="14" s="1"/>
  <c r="AB35" i="14" s="1"/>
  <c r="I37" i="6"/>
  <c r="H7" i="6" s="1"/>
  <c r="U26" i="4" s="1"/>
  <c r="AB46" i="14" s="1"/>
  <c r="I47" i="6"/>
  <c r="H13" i="6" s="1"/>
  <c r="U31" i="4" s="1"/>
  <c r="W134" i="15" s="1"/>
  <c r="H30" i="7"/>
  <c r="G6" i="7" s="1"/>
  <c r="T41" i="4" s="1"/>
  <c r="AA40" i="14" s="1"/>
  <c r="AA29" i="14" s="1"/>
  <c r="AA34" i="14" s="1"/>
  <c r="E40" i="7"/>
  <c r="D14" i="7" s="1"/>
  <c r="J29" i="8"/>
  <c r="I6" i="8" s="1"/>
  <c r="K4" i="9"/>
  <c r="I12" i="9"/>
  <c r="E18" i="9"/>
  <c r="H6" i="9"/>
  <c r="H3" i="9"/>
  <c r="H4" i="9"/>
  <c r="H18" i="9"/>
  <c r="H12" i="9"/>
  <c r="H19" i="9"/>
  <c r="H13" i="9"/>
  <c r="H9" i="9"/>
  <c r="H20" i="9"/>
  <c r="H16" i="9"/>
  <c r="H10" i="9"/>
  <c r="H12" i="10"/>
  <c r="U77" i="4" s="1"/>
  <c r="I67" i="10"/>
  <c r="L82" i="10"/>
  <c r="L78" i="10" s="1"/>
  <c r="K5" i="10" s="1"/>
  <c r="X73" i="4" s="1"/>
  <c r="AE38" i="14" s="1"/>
  <c r="AE27" i="14" s="1"/>
  <c r="L88" i="10"/>
  <c r="K12" i="10" s="1"/>
  <c r="L100" i="10"/>
  <c r="K36" i="10" s="1"/>
  <c r="X96" i="4" s="1"/>
  <c r="A214" i="10"/>
  <c r="K213" i="10"/>
  <c r="V32" i="11"/>
  <c r="V31" i="11"/>
  <c r="AI32" i="11"/>
  <c r="AI49" i="11"/>
  <c r="R63" i="11"/>
  <c r="Q62" i="11"/>
  <c r="R82" i="11"/>
  <c r="Q81" i="11"/>
  <c r="AB82" i="11"/>
  <c r="AK83" i="11"/>
  <c r="U99" i="11"/>
  <c r="Y99" i="11"/>
  <c r="AI117" i="11"/>
  <c r="Z116" i="11"/>
  <c r="AJ117" i="11"/>
  <c r="AB133" i="11"/>
  <c r="AJ151" i="11"/>
  <c r="AA150" i="11"/>
  <c r="AK151" i="11"/>
  <c r="F29" i="5"/>
  <c r="E6" i="5" s="1"/>
  <c r="R9" i="4" s="1"/>
  <c r="Y39" i="14" s="1"/>
  <c r="Y28" i="14" s="1"/>
  <c r="Y33" i="14" s="1"/>
  <c r="J29" i="5"/>
  <c r="I6" i="5" s="1"/>
  <c r="V9" i="4" s="1"/>
  <c r="AC39" i="14" s="1"/>
  <c r="AC28" i="14" s="1"/>
  <c r="AC33" i="14" s="1"/>
  <c r="G35" i="5"/>
  <c r="F11" i="5" s="1"/>
  <c r="S13" i="4" s="1"/>
  <c r="U101" i="15" s="1"/>
  <c r="U92" i="15" s="1"/>
  <c r="K35" i="5"/>
  <c r="G40" i="5"/>
  <c r="F4" i="5" s="1"/>
  <c r="S8" i="4" s="1"/>
  <c r="K42" i="5"/>
  <c r="K43" i="5" s="1"/>
  <c r="AH105" i="5"/>
  <c r="G36" i="6"/>
  <c r="F6" i="6" s="1"/>
  <c r="S25" i="4" s="1"/>
  <c r="Z41" i="14" s="1"/>
  <c r="Z30" i="14" s="1"/>
  <c r="Z35" i="14" s="1"/>
  <c r="K36" i="6"/>
  <c r="J6" i="6" s="1"/>
  <c r="W25" i="4" s="1"/>
  <c r="AD41" i="14" s="1"/>
  <c r="AD30" i="14" s="1"/>
  <c r="AD35" i="14" s="1"/>
  <c r="G37" i="6"/>
  <c r="F7" i="6" s="1"/>
  <c r="S26" i="4" s="1"/>
  <c r="Z46" i="14" s="1"/>
  <c r="K37" i="6"/>
  <c r="J7" i="6" s="1"/>
  <c r="W26" i="4" s="1"/>
  <c r="AD46" i="14" s="1"/>
  <c r="G43" i="6"/>
  <c r="F10" i="6" s="1"/>
  <c r="S28" i="4" s="1"/>
  <c r="U131" i="15" s="1"/>
  <c r="G47" i="6"/>
  <c r="F13" i="6" s="1"/>
  <c r="S31" i="4" s="1"/>
  <c r="U134" i="15" s="1"/>
  <c r="K47" i="6"/>
  <c r="J13" i="6" s="1"/>
  <c r="W31" i="4" s="1"/>
  <c r="AD75" i="14" s="1"/>
  <c r="G49" i="6"/>
  <c r="F4" i="6" s="1"/>
  <c r="S24" i="4" s="1"/>
  <c r="E30" i="7"/>
  <c r="D6" i="7" s="1"/>
  <c r="Q41" i="4" s="1"/>
  <c r="I30" i="7"/>
  <c r="H6" i="7" s="1"/>
  <c r="U41" i="4" s="1"/>
  <c r="AB40" i="14" s="1"/>
  <c r="AB29" i="14" s="1"/>
  <c r="AB34" i="14" s="1"/>
  <c r="F40" i="7"/>
  <c r="E14" i="7" s="1"/>
  <c r="E13" i="7" s="1"/>
  <c r="R47" i="4" s="1"/>
  <c r="T168" i="15" s="1"/>
  <c r="T159" i="15" s="1"/>
  <c r="J40" i="7"/>
  <c r="I14" i="7" s="1"/>
  <c r="G29" i="8"/>
  <c r="F6" i="8" s="1"/>
  <c r="K29" i="8"/>
  <c r="J6" i="8" s="1"/>
  <c r="G30" i="8"/>
  <c r="F7" i="8" s="1"/>
  <c r="S58" i="4" s="1"/>
  <c r="Z47" i="14" s="1"/>
  <c r="K30" i="8"/>
  <c r="J7" i="8" s="1"/>
  <c r="W58" i="4" s="1"/>
  <c r="AD47" i="14" s="1"/>
  <c r="G38" i="8"/>
  <c r="F13" i="8" s="1"/>
  <c r="S63" i="4" s="1"/>
  <c r="U202" i="15" s="1"/>
  <c r="K38" i="8"/>
  <c r="J13" i="8" s="1"/>
  <c r="W63" i="4" s="1"/>
  <c r="Y202" i="15" s="1"/>
  <c r="F30" i="10"/>
  <c r="S90" i="4" s="1"/>
  <c r="G82" i="10"/>
  <c r="G78" i="10" s="1"/>
  <c r="F5" i="10" s="1"/>
  <c r="S73" i="4" s="1"/>
  <c r="Z38" i="14" s="1"/>
  <c r="Z27" i="14" s="1"/>
  <c r="Z32" i="14" s="1"/>
  <c r="G88" i="10"/>
  <c r="F12" i="10" s="1"/>
  <c r="K88" i="10"/>
  <c r="J12" i="10" s="1"/>
  <c r="E94" i="10"/>
  <c r="D30" i="10" s="1"/>
  <c r="I94" i="10"/>
  <c r="H30" i="10" s="1"/>
  <c r="G100" i="10"/>
  <c r="F36" i="10" s="1"/>
  <c r="K100" i="10"/>
  <c r="J36" i="10" s="1"/>
  <c r="A179" i="10"/>
  <c r="Q28" i="11"/>
  <c r="E13" i="11" s="1"/>
  <c r="V33" i="11"/>
  <c r="V35" i="11"/>
  <c r="W47" i="11"/>
  <c r="W50" i="11"/>
  <c r="W52" i="11"/>
  <c r="Q79" i="11"/>
  <c r="Q96" i="11"/>
  <c r="Q113" i="11"/>
  <c r="G29" i="5"/>
  <c r="F6" i="5" s="1"/>
  <c r="S9" i="4" s="1"/>
  <c r="Z39" i="14" s="1"/>
  <c r="Z28" i="14" s="1"/>
  <c r="Z33" i="14" s="1"/>
  <c r="K29" i="5"/>
  <c r="J6" i="5" s="1"/>
  <c r="W9" i="4" s="1"/>
  <c r="AD39" i="14" s="1"/>
  <c r="AD28" i="14" s="1"/>
  <c r="AD33" i="14" s="1"/>
  <c r="H36" i="6"/>
  <c r="G6" i="6" s="1"/>
  <c r="T25" i="4" s="1"/>
  <c r="AA41" i="14" s="1"/>
  <c r="AA30" i="14" s="1"/>
  <c r="AA35" i="14" s="1"/>
  <c r="L36" i="6"/>
  <c r="K6" i="6" s="1"/>
  <c r="X25" i="4" s="1"/>
  <c r="AE41" i="14" s="1"/>
  <c r="AE30" i="14" s="1"/>
  <c r="H37" i="6"/>
  <c r="G7" i="6" s="1"/>
  <c r="T26" i="4" s="1"/>
  <c r="AA46" i="14" s="1"/>
  <c r="L37" i="6"/>
  <c r="K7" i="6" s="1"/>
  <c r="X26" i="4" s="1"/>
  <c r="AE46" i="14" s="1"/>
  <c r="H43" i="6"/>
  <c r="H44" i="6" s="1"/>
  <c r="G11" i="6" s="1"/>
  <c r="T29" i="4" s="1"/>
  <c r="V135" i="15" s="1"/>
  <c r="V126" i="15" s="1"/>
  <c r="H47" i="6"/>
  <c r="G13" i="6" s="1"/>
  <c r="T31" i="4" s="1"/>
  <c r="AA75" i="14" s="1"/>
  <c r="L47" i="6"/>
  <c r="K13" i="6" s="1"/>
  <c r="X31" i="4" s="1"/>
  <c r="AE75" i="14" s="1"/>
  <c r="F30" i="7"/>
  <c r="E6" i="7" s="1"/>
  <c r="R41" i="4" s="1"/>
  <c r="Y40" i="14" s="1"/>
  <c r="Y29" i="14" s="1"/>
  <c r="Y34" i="14" s="1"/>
  <c r="J30" i="7"/>
  <c r="I6" i="7" s="1"/>
  <c r="V41" i="4" s="1"/>
  <c r="AC40" i="14" s="1"/>
  <c r="AC29" i="14" s="1"/>
  <c r="AC34" i="14" s="1"/>
  <c r="G40" i="7"/>
  <c r="F14" i="7" s="1"/>
  <c r="K40" i="7"/>
  <c r="J14" i="7" s="1"/>
  <c r="H29" i="8"/>
  <c r="G6" i="8" s="1"/>
  <c r="L29" i="8"/>
  <c r="K6" i="8" s="1"/>
  <c r="H30" i="8"/>
  <c r="G7" i="8" s="1"/>
  <c r="T58" i="4" s="1"/>
  <c r="AA47" i="14" s="1"/>
  <c r="L30" i="8"/>
  <c r="K7" i="8" s="1"/>
  <c r="X58" i="4" s="1"/>
  <c r="AE47" i="14" s="1"/>
  <c r="H38" i="8"/>
  <c r="G13" i="8" s="1"/>
  <c r="T63" i="4" s="1"/>
  <c r="V202" i="15" s="1"/>
  <c r="L38" i="8"/>
  <c r="K13" i="8" s="1"/>
  <c r="X63" i="4" s="1"/>
  <c r="Z202" i="15" s="1"/>
  <c r="G30" i="10"/>
  <c r="T90" i="4" s="1"/>
  <c r="H82" i="10"/>
  <c r="H88" i="10"/>
  <c r="G12" i="10" s="1"/>
  <c r="T77" i="4" s="1"/>
  <c r="F94" i="10"/>
  <c r="E30" i="10" s="1"/>
  <c r="J94" i="10"/>
  <c r="I30" i="10" s="1"/>
  <c r="V90" i="4" s="1"/>
  <c r="H100" i="10"/>
  <c r="G36" i="10" s="1"/>
  <c r="V30" i="11"/>
  <c r="W46" i="11"/>
  <c r="Q130" i="11"/>
  <c r="E29" i="8"/>
  <c r="D6" i="8" s="1"/>
  <c r="I29" i="8"/>
  <c r="H6" i="8" s="1"/>
  <c r="E30" i="8"/>
  <c r="D7" i="8" s="1"/>
  <c r="Q58" i="4" s="1"/>
  <c r="I30" i="8"/>
  <c r="H7" i="8" s="1"/>
  <c r="U58" i="4" s="1"/>
  <c r="AB47" i="14" s="1"/>
  <c r="E38" i="8"/>
  <c r="D13" i="8" s="1"/>
  <c r="Q63" i="4" s="1"/>
  <c r="AA63" i="4" s="1"/>
  <c r="I38" i="8"/>
  <c r="H13" i="8" s="1"/>
  <c r="U63" i="4" s="1"/>
  <c r="W202" i="15" s="1"/>
  <c r="I20" i="12"/>
  <c r="D20" i="12" s="1"/>
  <c r="J20" i="12" s="1"/>
  <c r="F20" i="12" s="1"/>
  <c r="Z37" i="12"/>
  <c r="Y37" i="12"/>
  <c r="U37" i="12"/>
  <c r="X37" i="12"/>
  <c r="T37" i="12"/>
  <c r="Y43" i="12"/>
  <c r="U43" i="12"/>
  <c r="N245" i="12"/>
  <c r="N246" i="12" s="1"/>
  <c r="N247" i="12" s="1"/>
  <c r="N248" i="12" s="1"/>
  <c r="N249" i="12" s="1"/>
  <c r="N250" i="12" s="1"/>
  <c r="N251" i="12" s="1"/>
  <c r="N252" i="12" s="1"/>
  <c r="X144" i="12"/>
  <c r="X90" i="12" s="1"/>
  <c r="U143" i="12"/>
  <c r="U89" i="12" s="1"/>
  <c r="R142" i="12"/>
  <c r="R106" i="12" s="1"/>
  <c r="T140" i="12"/>
  <c r="T104" i="12" s="1"/>
  <c r="Q139" i="12"/>
  <c r="Q76" i="12" s="1"/>
  <c r="W137" i="12"/>
  <c r="W74" i="12" s="1"/>
  <c r="X143" i="12"/>
  <c r="X89" i="12" s="1"/>
  <c r="U142" i="12"/>
  <c r="U106" i="12" s="1"/>
  <c r="R141" i="12"/>
  <c r="R105" i="12" s="1"/>
  <c r="T139" i="12"/>
  <c r="T76" i="12" s="1"/>
  <c r="Q138" i="12"/>
  <c r="Q75" i="12" s="1"/>
  <c r="Z144" i="12"/>
  <c r="Z90" i="12" s="1"/>
  <c r="S143" i="12"/>
  <c r="S89" i="12" s="1"/>
  <c r="Y141" i="12"/>
  <c r="Y105" i="12" s="1"/>
  <c r="V140" i="12"/>
  <c r="V104" i="12" s="1"/>
  <c r="X138" i="12"/>
  <c r="X75" i="12" s="1"/>
  <c r="U137" i="12"/>
  <c r="U74" i="12" s="1"/>
  <c r="Q144" i="12"/>
  <c r="Q90" i="12" s="1"/>
  <c r="W142" i="12"/>
  <c r="W106" i="12" s="1"/>
  <c r="P141" i="12"/>
  <c r="P105" i="12" s="1"/>
  <c r="Z139" i="12"/>
  <c r="Z76" i="12" s="1"/>
  <c r="S138" i="12"/>
  <c r="S75" i="12" s="1"/>
  <c r="G21" i="12"/>
  <c r="V37" i="12"/>
  <c r="V43" i="12"/>
  <c r="W43" i="12"/>
  <c r="U21" i="12"/>
  <c r="Z40" i="12"/>
  <c r="V40" i="12"/>
  <c r="W40" i="12"/>
  <c r="T43" i="12"/>
  <c r="X43" i="12"/>
  <c r="V46" i="12"/>
  <c r="Z46" i="12"/>
  <c r="S100" i="12"/>
  <c r="W100" i="12"/>
  <c r="P100" i="12"/>
  <c r="T100" i="12"/>
  <c r="X100" i="12"/>
  <c r="Q100" i="12"/>
  <c r="U100" i="12"/>
  <c r="E16" i="13"/>
  <c r="W27" i="14"/>
  <c r="W32" i="14" s="1"/>
  <c r="W29" i="14"/>
  <c r="W34" i="14" s="1"/>
  <c r="W31" i="14"/>
  <c r="W36" i="14" s="1"/>
  <c r="H135" i="14"/>
  <c r="K124" i="14"/>
  <c r="AA28" i="14"/>
  <c r="AA33" i="14" s="1"/>
  <c r="W28" i="14"/>
  <c r="W33" i="14" s="1"/>
  <c r="W30" i="14"/>
  <c r="W35" i="14" s="1"/>
  <c r="S325" i="14"/>
  <c r="B414" i="14"/>
  <c r="H415" i="14"/>
  <c r="S333" i="14"/>
  <c r="B434" i="14"/>
  <c r="H435" i="14"/>
  <c r="I434" i="14"/>
  <c r="S342" i="14"/>
  <c r="S318" i="14"/>
  <c r="U319" i="14"/>
  <c r="G50" i="15"/>
  <c r="B50" i="15"/>
  <c r="F51" i="15"/>
  <c r="Y30" i="15"/>
  <c r="Y38" i="15" s="1"/>
  <c r="R93" i="15"/>
  <c r="H379" i="14"/>
  <c r="L423" i="14"/>
  <c r="R127" i="15"/>
  <c r="R128" i="15" s="1"/>
  <c r="S120" i="15"/>
  <c r="R137" i="15"/>
  <c r="C159" i="15"/>
  <c r="A12" i="16"/>
  <c r="E13" i="16"/>
  <c r="F12" i="16"/>
  <c r="R205" i="15"/>
  <c r="O55" i="16"/>
  <c r="O52" i="16"/>
  <c r="O49" i="16"/>
  <c r="O46" i="16"/>
  <c r="O43" i="16"/>
  <c r="S55" i="16"/>
  <c r="S52" i="16"/>
  <c r="S49" i="16"/>
  <c r="S46" i="16"/>
  <c r="S43" i="16"/>
  <c r="P57" i="16"/>
  <c r="P54" i="16"/>
  <c r="P51" i="16"/>
  <c r="P48" i="16"/>
  <c r="P45" i="16"/>
  <c r="M56" i="16"/>
  <c r="M53" i="16"/>
  <c r="M50" i="16"/>
  <c r="M47" i="16"/>
  <c r="M44" i="16"/>
  <c r="Q56" i="16"/>
  <c r="Q53" i="16"/>
  <c r="Q50" i="16"/>
  <c r="Q47" i="16"/>
  <c r="Q44" i="16"/>
  <c r="P63" i="16"/>
  <c r="L63" i="16"/>
  <c r="S63" i="16"/>
  <c r="O63" i="16"/>
  <c r="R63" i="16"/>
  <c r="N63" i="16"/>
  <c r="Q63" i="16"/>
  <c r="M63" i="16"/>
  <c r="Q67" i="16"/>
  <c r="M67" i="16"/>
  <c r="P67" i="16"/>
  <c r="L67" i="16"/>
  <c r="S67" i="16"/>
  <c r="O67" i="16"/>
  <c r="R67" i="16"/>
  <c r="N67" i="16"/>
  <c r="R73" i="16"/>
  <c r="N73" i="16"/>
  <c r="Q73" i="16"/>
  <c r="M73" i="16"/>
  <c r="P73" i="16"/>
  <c r="L73" i="16"/>
  <c r="S73" i="16"/>
  <c r="O73" i="16"/>
  <c r="R103" i="15"/>
  <c r="T154" i="15"/>
  <c r="S188" i="15"/>
  <c r="P55" i="16"/>
  <c r="P52" i="16"/>
  <c r="P49" i="16"/>
  <c r="P46" i="16"/>
  <c r="P43" i="16"/>
  <c r="M57" i="16"/>
  <c r="M54" i="16"/>
  <c r="M51" i="16"/>
  <c r="M48" i="16"/>
  <c r="M45" i="16"/>
  <c r="Q57" i="16"/>
  <c r="Q54" i="16"/>
  <c r="Q51" i="16"/>
  <c r="Q48" i="16"/>
  <c r="Q45" i="16"/>
  <c r="N56" i="16"/>
  <c r="N53" i="16"/>
  <c r="N50" i="16"/>
  <c r="N47" i="16"/>
  <c r="N44" i="16"/>
  <c r="R56" i="16"/>
  <c r="R53" i="16"/>
  <c r="R50" i="16"/>
  <c r="R47" i="16"/>
  <c r="R44" i="16"/>
  <c r="Q69" i="16"/>
  <c r="M69" i="16"/>
  <c r="P69" i="16"/>
  <c r="L69" i="16"/>
  <c r="S69" i="16"/>
  <c r="O69" i="16"/>
  <c r="R69" i="16"/>
  <c r="N69" i="16"/>
  <c r="R75" i="16"/>
  <c r="N75" i="16"/>
  <c r="Q75" i="16"/>
  <c r="M75" i="16"/>
  <c r="P75" i="16"/>
  <c r="L75" i="16"/>
  <c r="S75" i="16"/>
  <c r="O75" i="16"/>
  <c r="R161" i="15"/>
  <c r="R162" i="15" s="1"/>
  <c r="H1" i="16"/>
  <c r="M55" i="16"/>
  <c r="M52" i="16"/>
  <c r="M49" i="16"/>
  <c r="M46" i="16"/>
  <c r="M43" i="16"/>
  <c r="Q55" i="16"/>
  <c r="Q52" i="16"/>
  <c r="Q49" i="16"/>
  <c r="Q46" i="16"/>
  <c r="Q43" i="16"/>
  <c r="N57" i="16"/>
  <c r="N54" i="16"/>
  <c r="N51" i="16"/>
  <c r="N48" i="16"/>
  <c r="N45" i="16"/>
  <c r="R57" i="16"/>
  <c r="R54" i="16"/>
  <c r="R51" i="16"/>
  <c r="R48" i="16"/>
  <c r="R45" i="16"/>
  <c r="O56" i="16"/>
  <c r="O53" i="16"/>
  <c r="O50" i="16"/>
  <c r="O47" i="16"/>
  <c r="O44" i="16"/>
  <c r="S56" i="16"/>
  <c r="S53" i="16"/>
  <c r="S50" i="16"/>
  <c r="S47" i="16"/>
  <c r="S44" i="16"/>
  <c r="P64" i="16"/>
  <c r="L64" i="16"/>
  <c r="S64" i="16"/>
  <c r="O64" i="16"/>
  <c r="R64" i="16"/>
  <c r="N64" i="16"/>
  <c r="Q64" i="16"/>
  <c r="M64" i="16"/>
  <c r="Q68" i="16"/>
  <c r="M68" i="16"/>
  <c r="P68" i="16"/>
  <c r="L68" i="16"/>
  <c r="S68" i="16"/>
  <c r="O68" i="16"/>
  <c r="R68" i="16"/>
  <c r="N68" i="16"/>
  <c r="R74" i="16"/>
  <c r="N74" i="16"/>
  <c r="Q74" i="16"/>
  <c r="M74" i="16"/>
  <c r="P74" i="16"/>
  <c r="L74" i="16"/>
  <c r="S74" i="16"/>
  <c r="O74" i="16"/>
  <c r="N55" i="16"/>
  <c r="N52" i="16"/>
  <c r="N49" i="16"/>
  <c r="N46" i="16"/>
  <c r="N43" i="16"/>
  <c r="R55" i="16"/>
  <c r="R52" i="16"/>
  <c r="R49" i="16"/>
  <c r="R46" i="16"/>
  <c r="R43" i="16"/>
  <c r="O57" i="16"/>
  <c r="O54" i="16"/>
  <c r="O51" i="16"/>
  <c r="O48" i="16"/>
  <c r="O45" i="16"/>
  <c r="S57" i="16"/>
  <c r="S54" i="16"/>
  <c r="S51" i="16"/>
  <c r="S48" i="16"/>
  <c r="S45" i="16"/>
  <c r="P56" i="16"/>
  <c r="P53" i="16"/>
  <c r="P50" i="16"/>
  <c r="P47" i="16"/>
  <c r="P44" i="16"/>
  <c r="S60" i="16"/>
  <c r="O60" i="16"/>
  <c r="R60" i="16"/>
  <c r="N60" i="16"/>
  <c r="Q60" i="16"/>
  <c r="M60" i="16"/>
  <c r="P60" i="16"/>
  <c r="L60" i="16"/>
  <c r="P62" i="16"/>
  <c r="L62" i="16"/>
  <c r="S62" i="16"/>
  <c r="O62" i="16"/>
  <c r="R62" i="16"/>
  <c r="N62" i="16"/>
  <c r="Q62" i="16"/>
  <c r="M62" i="16"/>
  <c r="Q66" i="16"/>
  <c r="M66" i="16"/>
  <c r="P66" i="16"/>
  <c r="L66" i="16"/>
  <c r="S66" i="16"/>
  <c r="O66" i="16"/>
  <c r="R66" i="16"/>
  <c r="N66" i="16"/>
  <c r="Q70" i="16"/>
  <c r="M70" i="16"/>
  <c r="P70" i="16"/>
  <c r="L70" i="16"/>
  <c r="S70" i="16"/>
  <c r="O70" i="16"/>
  <c r="R70" i="16"/>
  <c r="N70" i="16"/>
  <c r="R72" i="16"/>
  <c r="N72" i="16"/>
  <c r="Q72" i="16"/>
  <c r="M72" i="16"/>
  <c r="P72" i="16"/>
  <c r="L72" i="16"/>
  <c r="S72" i="16"/>
  <c r="O72" i="16"/>
  <c r="R76" i="16"/>
  <c r="N76" i="16"/>
  <c r="Q76" i="16"/>
  <c r="M76" i="16"/>
  <c r="P76" i="16"/>
  <c r="L76" i="16"/>
  <c r="S76" i="16"/>
  <c r="O76" i="16"/>
  <c r="Q121" i="1" l="1"/>
  <c r="L54" i="3"/>
  <c r="T202" i="15"/>
  <c r="AC73" i="14"/>
  <c r="G69" i="1"/>
  <c r="M69" i="1"/>
  <c r="K69" i="1"/>
  <c r="N69" i="1"/>
  <c r="I69" i="1"/>
  <c r="L69" i="1"/>
  <c r="J69" i="1"/>
  <c r="H69" i="1"/>
  <c r="C175" i="1"/>
  <c r="B175" i="1" s="1"/>
  <c r="B174" i="1"/>
  <c r="C164" i="1"/>
  <c r="B164" i="1" s="1"/>
  <c r="B163" i="1"/>
  <c r="B114" i="14"/>
  <c r="H115" i="14"/>
  <c r="G111" i="14"/>
  <c r="D111" i="14"/>
  <c r="I113" i="14"/>
  <c r="I114" i="14" s="1"/>
  <c r="B113" i="14"/>
  <c r="J414" i="14"/>
  <c r="D414" i="14" s="1"/>
  <c r="C112" i="14"/>
  <c r="J112" i="14"/>
  <c r="C55" i="14"/>
  <c r="I56" i="14"/>
  <c r="J56" i="14" s="1"/>
  <c r="B56" i="14"/>
  <c r="H57" i="14"/>
  <c r="G55" i="14"/>
  <c r="D55" i="14"/>
  <c r="I19" i="14"/>
  <c r="B19" i="14"/>
  <c r="G17" i="14"/>
  <c r="D17" i="14"/>
  <c r="J18" i="14"/>
  <c r="C18" i="14"/>
  <c r="G147" i="12"/>
  <c r="B146" i="12"/>
  <c r="E19" i="12"/>
  <c r="X137" i="12"/>
  <c r="X74" i="12" s="1"/>
  <c r="V139" i="12"/>
  <c r="V76" i="12" s="1"/>
  <c r="Y140" i="12"/>
  <c r="Y104" i="12" s="1"/>
  <c r="S142" i="12"/>
  <c r="S106" i="12" s="1"/>
  <c r="Z143" i="12"/>
  <c r="Z89" i="12" s="1"/>
  <c r="Q137" i="12"/>
  <c r="Q74" i="12" s="1"/>
  <c r="T138" i="12"/>
  <c r="T75" i="12" s="1"/>
  <c r="R140" i="12"/>
  <c r="R104" i="12" s="1"/>
  <c r="U141" i="12"/>
  <c r="U105" i="12" s="1"/>
  <c r="X142" i="12"/>
  <c r="X106" i="12" s="1"/>
  <c r="V144" i="12"/>
  <c r="V90" i="12" s="1"/>
  <c r="Z137" i="12"/>
  <c r="Z74" i="12" s="1"/>
  <c r="W23" i="12" s="1"/>
  <c r="P139" i="12"/>
  <c r="P76" i="12" s="1"/>
  <c r="W140" i="12"/>
  <c r="W104" i="12" s="1"/>
  <c r="Q142" i="12"/>
  <c r="Q106" i="12" s="1"/>
  <c r="T143" i="12"/>
  <c r="T89" i="12" s="1"/>
  <c r="T38" i="12" s="1"/>
  <c r="S137" i="12"/>
  <c r="S74" i="12" s="1"/>
  <c r="Z138" i="12"/>
  <c r="Z75" i="12" s="1"/>
  <c r="P140" i="12"/>
  <c r="P104" i="12" s="1"/>
  <c r="W141" i="12"/>
  <c r="W105" i="12" s="1"/>
  <c r="Q143" i="12"/>
  <c r="Q89" i="12" s="1"/>
  <c r="T144" i="12"/>
  <c r="T90" i="12" s="1"/>
  <c r="P137" i="12"/>
  <c r="P74" i="12" s="1"/>
  <c r="W138" i="12"/>
  <c r="W75" i="12" s="1"/>
  <c r="W24" i="12" s="1"/>
  <c r="Q140" i="12"/>
  <c r="Q104" i="12" s="1"/>
  <c r="T141" i="12"/>
  <c r="T105" i="12" s="1"/>
  <c r="R143" i="12"/>
  <c r="R89" i="12" s="1"/>
  <c r="U144" i="12"/>
  <c r="U90" i="12" s="1"/>
  <c r="Y137" i="12"/>
  <c r="Y74" i="12" s="1"/>
  <c r="S139" i="12"/>
  <c r="S76" i="12" s="1"/>
  <c r="Z25" i="12" s="1"/>
  <c r="Z140" i="12"/>
  <c r="Z104" i="12" s="1"/>
  <c r="P142" i="12"/>
  <c r="P106" i="12" s="1"/>
  <c r="W143" i="12"/>
  <c r="W89" i="12" s="1"/>
  <c r="R137" i="12"/>
  <c r="R74" i="12" s="1"/>
  <c r="U138" i="12"/>
  <c r="U75" i="12" s="1"/>
  <c r="U24" i="12" s="1"/>
  <c r="X139" i="12"/>
  <c r="X76" i="12" s="1"/>
  <c r="V141" i="12"/>
  <c r="V105" i="12" s="1"/>
  <c r="Y142" i="12"/>
  <c r="Y106" i="12" s="1"/>
  <c r="S144" i="12"/>
  <c r="S90" i="12" s="1"/>
  <c r="Z39" i="12" s="1"/>
  <c r="R138" i="12"/>
  <c r="R75" i="12" s="1"/>
  <c r="U139" i="12"/>
  <c r="U76" i="12" s="1"/>
  <c r="X140" i="12"/>
  <c r="X104" i="12" s="1"/>
  <c r="V142" i="12"/>
  <c r="V106" i="12" s="1"/>
  <c r="Y143" i="12"/>
  <c r="Y89" i="12" s="1"/>
  <c r="Y38" i="12" s="1"/>
  <c r="T137" i="12"/>
  <c r="T74" i="12" s="1"/>
  <c r="R139" i="12"/>
  <c r="R76" i="12" s="1"/>
  <c r="U140" i="12"/>
  <c r="U104" i="12" s="1"/>
  <c r="X141" i="12"/>
  <c r="X105" i="12" s="1"/>
  <c r="V143" i="12"/>
  <c r="V89" i="12" s="1"/>
  <c r="V38" i="12" s="1"/>
  <c r="Y144" i="12"/>
  <c r="Y90" i="12" s="1"/>
  <c r="P138" i="12"/>
  <c r="P75" i="12" s="1"/>
  <c r="W139" i="12"/>
  <c r="W76" i="12" s="1"/>
  <c r="Q141" i="12"/>
  <c r="Q105" i="12" s="1"/>
  <c r="T142" i="12"/>
  <c r="T106" i="12" s="1"/>
  <c r="R144" i="12"/>
  <c r="R90" i="12" s="1"/>
  <c r="V137" i="12"/>
  <c r="V74" i="12" s="1"/>
  <c r="Y138" i="12"/>
  <c r="Y75" i="12" s="1"/>
  <c r="S140" i="12"/>
  <c r="S104" i="12" s="1"/>
  <c r="Z141" i="12"/>
  <c r="Z105" i="12" s="1"/>
  <c r="P143" i="12"/>
  <c r="P89" i="12" s="1"/>
  <c r="W144" i="12"/>
  <c r="W90" i="12" s="1"/>
  <c r="V138" i="12"/>
  <c r="V75" i="12" s="1"/>
  <c r="Y139" i="12"/>
  <c r="Y76" i="12" s="1"/>
  <c r="S141" i="12"/>
  <c r="S105" i="12" s="1"/>
  <c r="Y54" i="12" s="1"/>
  <c r="Z142" i="12"/>
  <c r="Z106" i="12" s="1"/>
  <c r="P144" i="12"/>
  <c r="P90" i="12" s="1"/>
  <c r="Y21" i="12"/>
  <c r="T21" i="12"/>
  <c r="V20" i="12"/>
  <c r="V22" i="12"/>
  <c r="Z51" i="12"/>
  <c r="U35" i="12"/>
  <c r="U51" i="12"/>
  <c r="V36" i="12"/>
  <c r="V51" i="12"/>
  <c r="W20" i="12"/>
  <c r="Y35" i="12"/>
  <c r="Y22" i="12"/>
  <c r="X51" i="12"/>
  <c r="W35" i="12"/>
  <c r="X20" i="12"/>
  <c r="T22" i="12"/>
  <c r="T35" i="12"/>
  <c r="V35" i="12"/>
  <c r="W21" i="12"/>
  <c r="W50" i="12"/>
  <c r="W36" i="12"/>
  <c r="T20" i="12"/>
  <c r="E20" i="12" s="1"/>
  <c r="T51" i="12"/>
  <c r="W22" i="12"/>
  <c r="Z36" i="12"/>
  <c r="T53" i="12"/>
  <c r="T50" i="12"/>
  <c r="T36" i="12"/>
  <c r="V50" i="12"/>
  <c r="U53" i="12"/>
  <c r="Y36" i="12"/>
  <c r="Y50" i="12"/>
  <c r="W51" i="12"/>
  <c r="U36" i="12"/>
  <c r="U50" i="12"/>
  <c r="F13" i="5"/>
  <c r="S99" i="15"/>
  <c r="F296" i="16"/>
  <c r="A296" i="16"/>
  <c r="E297" i="16"/>
  <c r="B295" i="16"/>
  <c r="G295" i="16"/>
  <c r="C295" i="16" s="1"/>
  <c r="D295" i="16" s="1"/>
  <c r="D294" i="16"/>
  <c r="M24" i="3"/>
  <c r="L12" i="3"/>
  <c r="R16" i="3"/>
  <c r="Q16" i="3"/>
  <c r="K12" i="3"/>
  <c r="O16" i="3"/>
  <c r="L11" i="3"/>
  <c r="L16" i="3"/>
  <c r="M54" i="3"/>
  <c r="M88" i="3"/>
  <c r="K88" i="3" s="1"/>
  <c r="G18" i="3"/>
  <c r="D18" i="3"/>
  <c r="F18" i="3"/>
  <c r="C18" i="3"/>
  <c r="J18" i="3"/>
  <c r="I18" i="3"/>
  <c r="E18" i="3"/>
  <c r="H18" i="3"/>
  <c r="U54" i="3"/>
  <c r="T53" i="3"/>
  <c r="U72" i="3"/>
  <c r="T71" i="3"/>
  <c r="N54" i="3"/>
  <c r="N17" i="3"/>
  <c r="M53" i="3"/>
  <c r="M25" i="3"/>
  <c r="R11" i="3"/>
  <c r="K17" i="3"/>
  <c r="R54" i="3"/>
  <c r="N12" i="3"/>
  <c r="N16" i="3"/>
  <c r="K54" i="3"/>
  <c r="K24" i="3"/>
  <c r="O12" i="3"/>
  <c r="Q12" i="3"/>
  <c r="R25" i="3"/>
  <c r="M11" i="3"/>
  <c r="Q17" i="3"/>
  <c r="O53" i="3"/>
  <c r="O25" i="3"/>
  <c r="P11" i="3"/>
  <c r="L17" i="3"/>
  <c r="L53" i="3"/>
  <c r="O11" i="3"/>
  <c r="P17" i="3"/>
  <c r="P53" i="3"/>
  <c r="AG53" i="3"/>
  <c r="AH54" i="3"/>
  <c r="AG54" i="3" s="1"/>
  <c r="R12" i="3"/>
  <c r="M16" i="3"/>
  <c r="Q54" i="3"/>
  <c r="K11" i="3"/>
  <c r="L25" i="3"/>
  <c r="R24" i="3"/>
  <c r="O54" i="3"/>
  <c r="N53" i="3"/>
  <c r="N25" i="3"/>
  <c r="Q11" i="3"/>
  <c r="M17" i="3"/>
  <c r="K53" i="3"/>
  <c r="K25" i="3"/>
  <c r="M12" i="3"/>
  <c r="Q24" i="3"/>
  <c r="O24" i="3"/>
  <c r="N24" i="3"/>
  <c r="K16" i="3"/>
  <c r="R17" i="3"/>
  <c r="Q53" i="3"/>
  <c r="Q25" i="3"/>
  <c r="N11" i="3"/>
  <c r="O17" i="3"/>
  <c r="R53" i="3"/>
  <c r="L24" i="3"/>
  <c r="P12" i="3"/>
  <c r="P16" i="3"/>
  <c r="P54" i="3"/>
  <c r="P24" i="3"/>
  <c r="AG45" i="3"/>
  <c r="N47" i="3" s="1"/>
  <c r="AH46" i="3"/>
  <c r="H14" i="4"/>
  <c r="I14" i="4" s="1"/>
  <c r="Z75" i="14"/>
  <c r="S131" i="15"/>
  <c r="S122" i="15" s="1"/>
  <c r="S167" i="15"/>
  <c r="S158" i="15" s="1"/>
  <c r="X73" i="14"/>
  <c r="V30" i="15"/>
  <c r="Z31" i="15"/>
  <c r="Z39" i="15" s="1"/>
  <c r="I78" i="10"/>
  <c r="H5" i="10" s="1"/>
  <c r="U73" i="4" s="1"/>
  <c r="AB38" i="14" s="1"/>
  <c r="AB27" i="14" s="1"/>
  <c r="X31" i="15"/>
  <c r="X39" i="15" s="1"/>
  <c r="U125" i="15"/>
  <c r="W125" i="15"/>
  <c r="V123" i="15"/>
  <c r="Z123" i="15"/>
  <c r="V124" i="15"/>
  <c r="S123" i="15"/>
  <c r="S125" i="15"/>
  <c r="X125" i="15"/>
  <c r="U124" i="15"/>
  <c r="W123" i="15"/>
  <c r="T123" i="15"/>
  <c r="Y124" i="15"/>
  <c r="W124" i="15"/>
  <c r="T124" i="15"/>
  <c r="Y123" i="15"/>
  <c r="W156" i="15"/>
  <c r="V160" i="15"/>
  <c r="W193" i="15"/>
  <c r="V193" i="15"/>
  <c r="U193" i="15"/>
  <c r="V192" i="15"/>
  <c r="S156" i="15"/>
  <c r="S160" i="15"/>
  <c r="T156" i="15"/>
  <c r="T160" i="15"/>
  <c r="T122" i="15"/>
  <c r="V156" i="15"/>
  <c r="W160" i="15"/>
  <c r="T192" i="15"/>
  <c r="U156" i="15"/>
  <c r="U160" i="15"/>
  <c r="V191" i="15"/>
  <c r="S91" i="15"/>
  <c r="S191" i="15"/>
  <c r="X191" i="15"/>
  <c r="U191" i="15"/>
  <c r="W191" i="15"/>
  <c r="Y191" i="15"/>
  <c r="Z191" i="15"/>
  <c r="S87" i="15"/>
  <c r="T191" i="15"/>
  <c r="G13" i="15"/>
  <c r="H13" i="15" s="1"/>
  <c r="D13" i="15" s="1"/>
  <c r="C12" i="15"/>
  <c r="F161" i="15"/>
  <c r="B161" i="15" s="1"/>
  <c r="T91" i="15"/>
  <c r="S192" i="15"/>
  <c r="X192" i="15"/>
  <c r="U192" i="15"/>
  <c r="F14" i="15"/>
  <c r="Z193" i="15"/>
  <c r="Y193" i="15"/>
  <c r="X193" i="15"/>
  <c r="Z192" i="15"/>
  <c r="S90" i="15"/>
  <c r="W192" i="15"/>
  <c r="T193" i="15"/>
  <c r="Y192" i="15"/>
  <c r="K79" i="10"/>
  <c r="J6" i="10" s="1"/>
  <c r="W74" i="4" s="1"/>
  <c r="AD43" i="14" s="1"/>
  <c r="K78" i="10"/>
  <c r="J5" i="10" s="1"/>
  <c r="W73" i="4" s="1"/>
  <c r="AD38" i="14" s="1"/>
  <c r="AD27" i="14" s="1"/>
  <c r="AD32" i="14" s="1"/>
  <c r="K80" i="10"/>
  <c r="J7" i="10" s="1"/>
  <c r="W75" i="4" s="1"/>
  <c r="R96" i="4"/>
  <c r="V32" i="15"/>
  <c r="W77" i="4"/>
  <c r="AA30" i="15"/>
  <c r="AA38" i="15" s="1"/>
  <c r="L61" i="6"/>
  <c r="K50" i="6"/>
  <c r="J18" i="6" s="1"/>
  <c r="W36" i="4" s="1"/>
  <c r="K49" i="6"/>
  <c r="J4" i="6" s="1"/>
  <c r="W24" i="4" s="1"/>
  <c r="AA91" i="14"/>
  <c r="V167" i="15"/>
  <c r="V158" i="15" s="1"/>
  <c r="S96" i="4"/>
  <c r="W32" i="15"/>
  <c r="W40" i="15" s="1"/>
  <c r="G160" i="15"/>
  <c r="H160" i="15" s="1"/>
  <c r="D160" i="15" s="1"/>
  <c r="Z38" i="12"/>
  <c r="W53" i="12"/>
  <c r="Z24" i="12"/>
  <c r="H49" i="6"/>
  <c r="G4" i="6" s="1"/>
  <c r="T24" i="4" s="1"/>
  <c r="U122" i="15"/>
  <c r="I49" i="6"/>
  <c r="H4" i="6" s="1"/>
  <c r="U24" i="4" s="1"/>
  <c r="G45" i="5"/>
  <c r="F16" i="5" s="1"/>
  <c r="S18" i="4" s="1"/>
  <c r="U96" i="15" s="1"/>
  <c r="U87" i="15" s="1"/>
  <c r="J16" i="5"/>
  <c r="W18" i="4" s="1"/>
  <c r="Y96" i="15" s="1"/>
  <c r="Y87" i="15" s="1"/>
  <c r="G16" i="9"/>
  <c r="G13" i="9"/>
  <c r="G11" i="9"/>
  <c r="Z73" i="14"/>
  <c r="S86" i="15"/>
  <c r="X133" i="15"/>
  <c r="X124" i="15" s="1"/>
  <c r="Y52" i="12"/>
  <c r="F19" i="9"/>
  <c r="F13" i="9"/>
  <c r="V21" i="12"/>
  <c r="V52" i="12"/>
  <c r="Z20" i="12"/>
  <c r="U20" i="12"/>
  <c r="W28" i="11"/>
  <c r="W29" i="11"/>
  <c r="AG27" i="11"/>
  <c r="W37" i="11"/>
  <c r="W32" i="11"/>
  <c r="K10" i="9"/>
  <c r="K20" i="9"/>
  <c r="AE73" i="14"/>
  <c r="X44" i="14"/>
  <c r="AA10" i="4"/>
  <c r="B15" i="11"/>
  <c r="H16" i="11"/>
  <c r="I15" i="11"/>
  <c r="Z32" i="15"/>
  <c r="Z40" i="15" s="1"/>
  <c r="W52" i="12"/>
  <c r="G20" i="9"/>
  <c r="G12" i="9"/>
  <c r="F44" i="6"/>
  <c r="E11" i="6" s="1"/>
  <c r="R29" i="4" s="1"/>
  <c r="T135" i="15" s="1"/>
  <c r="T126" i="15" s="1"/>
  <c r="J50" i="6"/>
  <c r="I18" i="6" s="1"/>
  <c r="V36" i="4" s="1"/>
  <c r="I34" i="5"/>
  <c r="H10" i="5" s="1"/>
  <c r="U12" i="4" s="1"/>
  <c r="W97" i="15" s="1"/>
  <c r="W88" i="15" s="1"/>
  <c r="J45" i="5"/>
  <c r="I16" i="5" s="1"/>
  <c r="V18" i="4" s="1"/>
  <c r="X96" i="15" s="1"/>
  <c r="X87" i="15" s="1"/>
  <c r="U22" i="12"/>
  <c r="W51" i="11"/>
  <c r="AG57" i="11"/>
  <c r="W53" i="11"/>
  <c r="W54" i="11"/>
  <c r="W48" i="11"/>
  <c r="W45" i="11"/>
  <c r="C14" i="11"/>
  <c r="K14" i="11" s="1"/>
  <c r="J14" i="11"/>
  <c r="D14" i="11" s="1"/>
  <c r="F14" i="11" s="1"/>
  <c r="AB31" i="15"/>
  <c r="AB39" i="15" s="1"/>
  <c r="Z30" i="15"/>
  <c r="Z38" i="15" s="1"/>
  <c r="T52" i="12"/>
  <c r="G79" i="10"/>
  <c r="F6" i="10" s="1"/>
  <c r="S74" i="4" s="1"/>
  <c r="Z43" i="14" s="1"/>
  <c r="G80" i="10"/>
  <c r="F7" i="10" s="1"/>
  <c r="S75" i="4" s="1"/>
  <c r="G9" i="9"/>
  <c r="Z134" i="15"/>
  <c r="Z125" i="15" s="1"/>
  <c r="S202" i="15"/>
  <c r="S193" i="15" s="1"/>
  <c r="I41" i="5"/>
  <c r="H18" i="5" s="1"/>
  <c r="U20" i="4" s="1"/>
  <c r="U52" i="12"/>
  <c r="I50" i="6"/>
  <c r="H18" i="6" s="1"/>
  <c r="U36" i="4" s="1"/>
  <c r="C12" i="4"/>
  <c r="J12" i="4"/>
  <c r="H11" i="9"/>
  <c r="H17" i="9"/>
  <c r="R90" i="4"/>
  <c r="V31" i="15"/>
  <c r="U31" i="15"/>
  <c r="Q90" i="4"/>
  <c r="AA90" i="4" s="1"/>
  <c r="X43" i="14"/>
  <c r="AA74" i="4"/>
  <c r="AE35" i="14"/>
  <c r="AF30" i="14" s="1"/>
  <c r="W96" i="4"/>
  <c r="AA32" i="15"/>
  <c r="AA40" i="15" s="1"/>
  <c r="X32" i="15"/>
  <c r="X40" i="15" s="1"/>
  <c r="T96" i="4"/>
  <c r="S77" i="4"/>
  <c r="W30" i="15"/>
  <c r="W38" i="15" s="1"/>
  <c r="X77" i="4"/>
  <c r="AB30" i="15"/>
  <c r="AB38" i="15" s="1"/>
  <c r="Q77" i="4"/>
  <c r="AA77" i="4" s="1"/>
  <c r="U30" i="15"/>
  <c r="Q96" i="4"/>
  <c r="AA96" i="4" s="1"/>
  <c r="U32" i="15"/>
  <c r="U90" i="4"/>
  <c r="Y31" i="15"/>
  <c r="Y39" i="15" s="1"/>
  <c r="AE32" i="14"/>
  <c r="AF27" i="14" s="1"/>
  <c r="U96" i="4"/>
  <c r="Y32" i="15"/>
  <c r="Y40" i="15" s="1"/>
  <c r="H436" i="14"/>
  <c r="I435" i="14"/>
  <c r="B435" i="14"/>
  <c r="B21" i="12"/>
  <c r="G22" i="12"/>
  <c r="H21" i="12"/>
  <c r="T57" i="4"/>
  <c r="AA42" i="14" s="1"/>
  <c r="AA31" i="14" s="1"/>
  <c r="AA36" i="14" s="1"/>
  <c r="G9" i="8"/>
  <c r="G12" i="16"/>
  <c r="C12" i="16" s="1"/>
  <c r="B12" i="16"/>
  <c r="D13" i="7"/>
  <c r="Q47" i="4" s="1"/>
  <c r="H13" i="7"/>
  <c r="U47" i="4" s="1"/>
  <c r="F44" i="5"/>
  <c r="F45" i="5" s="1"/>
  <c r="E16" i="5" s="1"/>
  <c r="R18" i="4" s="1"/>
  <c r="T96" i="15" s="1"/>
  <c r="T87" i="15" s="1"/>
  <c r="F42" i="5"/>
  <c r="F43" i="5" s="1"/>
  <c r="E15" i="5" s="1"/>
  <c r="R17" i="4" s="1"/>
  <c r="T95" i="15" s="1"/>
  <c r="T86" i="15" s="1"/>
  <c r="Z66" i="11"/>
  <c r="Z67" i="11"/>
  <c r="AK33" i="11"/>
  <c r="AJ84" i="11"/>
  <c r="AA83" i="11"/>
  <c r="AA67" i="11"/>
  <c r="AJ68" i="11"/>
  <c r="AJ51" i="11"/>
  <c r="E80" i="10"/>
  <c r="D7" i="10" s="1"/>
  <c r="Q75" i="4" s="1"/>
  <c r="AA75" i="4" s="1"/>
  <c r="K16" i="5"/>
  <c r="X18" i="4" s="1"/>
  <c r="Z96" i="15" s="1"/>
  <c r="Z87" i="15" s="1"/>
  <c r="AK101" i="11"/>
  <c r="AB100" i="11"/>
  <c r="AB66" i="11"/>
  <c r="AK67" i="11"/>
  <c r="J68" i="10"/>
  <c r="I11" i="10" s="1"/>
  <c r="J69" i="10"/>
  <c r="I13" i="10" s="1"/>
  <c r="V134" i="15"/>
  <c r="V125" i="15" s="1"/>
  <c r="AB75" i="14"/>
  <c r="U154" i="15"/>
  <c r="B14" i="15"/>
  <c r="H50" i="15"/>
  <c r="D50" i="15" s="1"/>
  <c r="C50" i="15"/>
  <c r="W174" i="12"/>
  <c r="W99" i="12" s="1"/>
  <c r="S174" i="12"/>
  <c r="S99" i="12" s="1"/>
  <c r="X173" i="12"/>
  <c r="X98" i="12" s="1"/>
  <c r="T173" i="12"/>
  <c r="T98" i="12" s="1"/>
  <c r="P173" i="12"/>
  <c r="P98" i="12" s="1"/>
  <c r="Y172" i="12"/>
  <c r="Y115" i="12" s="1"/>
  <c r="U172" i="12"/>
  <c r="U115" i="12" s="1"/>
  <c r="Q172" i="12"/>
  <c r="Q115" i="12" s="1"/>
  <c r="Z171" i="12"/>
  <c r="Z114" i="12" s="1"/>
  <c r="V171" i="12"/>
  <c r="V114" i="12" s="1"/>
  <c r="R171" i="12"/>
  <c r="R114" i="12" s="1"/>
  <c r="W170" i="12"/>
  <c r="W113" i="12" s="1"/>
  <c r="S170" i="12"/>
  <c r="S113" i="12" s="1"/>
  <c r="Z174" i="12"/>
  <c r="Z99" i="12" s="1"/>
  <c r="Z48" i="12" s="1"/>
  <c r="V174" i="12"/>
  <c r="V99" i="12" s="1"/>
  <c r="R174" i="12"/>
  <c r="R99" i="12" s="1"/>
  <c r="W173" i="12"/>
  <c r="W98" i="12" s="1"/>
  <c r="S173" i="12"/>
  <c r="S98" i="12" s="1"/>
  <c r="X172" i="12"/>
  <c r="X115" i="12" s="1"/>
  <c r="T172" i="12"/>
  <c r="T115" i="12" s="1"/>
  <c r="P172" i="12"/>
  <c r="P115" i="12" s="1"/>
  <c r="Y171" i="12"/>
  <c r="Y114" i="12" s="1"/>
  <c r="U171" i="12"/>
  <c r="U114" i="12" s="1"/>
  <c r="Q171" i="12"/>
  <c r="Q114" i="12" s="1"/>
  <c r="Z170" i="12"/>
  <c r="Z113" i="12" s="1"/>
  <c r="Z62" i="12" s="1"/>
  <c r="V170" i="12"/>
  <c r="V113" i="12" s="1"/>
  <c r="R170" i="12"/>
  <c r="R113" i="12" s="1"/>
  <c r="W169" i="12"/>
  <c r="W85" i="12" s="1"/>
  <c r="S169" i="12"/>
  <c r="S85" i="12" s="1"/>
  <c r="X168" i="12"/>
  <c r="X84" i="12" s="1"/>
  <c r="T168" i="12"/>
  <c r="T84" i="12" s="1"/>
  <c r="P168" i="12"/>
  <c r="P84" i="12" s="1"/>
  <c r="Y167" i="12"/>
  <c r="Y83" i="12" s="1"/>
  <c r="U167" i="12"/>
  <c r="U83" i="12" s="1"/>
  <c r="Q167" i="12"/>
  <c r="Q83" i="12" s="1"/>
  <c r="Y174" i="12"/>
  <c r="Y99" i="12" s="1"/>
  <c r="U174" i="12"/>
  <c r="U99" i="12" s="1"/>
  <c r="Q174" i="12"/>
  <c r="Q99" i="12" s="1"/>
  <c r="Z173" i="12"/>
  <c r="Z98" i="12" s="1"/>
  <c r="V173" i="12"/>
  <c r="V98" i="12" s="1"/>
  <c r="R173" i="12"/>
  <c r="R98" i="12" s="1"/>
  <c r="W172" i="12"/>
  <c r="W115" i="12" s="1"/>
  <c r="S172" i="12"/>
  <c r="S115" i="12" s="1"/>
  <c r="X171" i="12"/>
  <c r="X114" i="12" s="1"/>
  <c r="T171" i="12"/>
  <c r="T114" i="12" s="1"/>
  <c r="P171" i="12"/>
  <c r="P114" i="12" s="1"/>
  <c r="Y170" i="12"/>
  <c r="Y113" i="12" s="1"/>
  <c r="U170" i="12"/>
  <c r="U113" i="12" s="1"/>
  <c r="Q170" i="12"/>
  <c r="Q113" i="12" s="1"/>
  <c r="Z169" i="12"/>
  <c r="Z85" i="12" s="1"/>
  <c r="V169" i="12"/>
  <c r="V85" i="12" s="1"/>
  <c r="R169" i="12"/>
  <c r="R85" i="12" s="1"/>
  <c r="W168" i="12"/>
  <c r="W84" i="12" s="1"/>
  <c r="S168" i="12"/>
  <c r="S84" i="12" s="1"/>
  <c r="X167" i="12"/>
  <c r="X83" i="12" s="1"/>
  <c r="T167" i="12"/>
  <c r="T83" i="12" s="1"/>
  <c r="P167" i="12"/>
  <c r="P83" i="12" s="1"/>
  <c r="U173" i="12"/>
  <c r="U98" i="12" s="1"/>
  <c r="S171" i="12"/>
  <c r="S114" i="12" s="1"/>
  <c r="U169" i="12"/>
  <c r="U85" i="12" s="1"/>
  <c r="U168" i="12"/>
  <c r="U84" i="12" s="1"/>
  <c r="Z167" i="12"/>
  <c r="Z83" i="12" s="1"/>
  <c r="R167" i="12"/>
  <c r="R83" i="12" s="1"/>
  <c r="X174" i="12"/>
  <c r="X99" i="12" s="1"/>
  <c r="Q173" i="12"/>
  <c r="Q98" i="12" s="1"/>
  <c r="Z172" i="12"/>
  <c r="Z115" i="12" s="1"/>
  <c r="X170" i="12"/>
  <c r="X113" i="12" s="1"/>
  <c r="T169" i="12"/>
  <c r="T85" i="12" s="1"/>
  <c r="Z168" i="12"/>
  <c r="Z84" i="12" s="1"/>
  <c r="R168" i="12"/>
  <c r="R84" i="12" s="1"/>
  <c r="W167" i="12"/>
  <c r="W83" i="12" s="1"/>
  <c r="N217" i="12"/>
  <c r="N218" i="12" s="1"/>
  <c r="T174" i="12"/>
  <c r="T99" i="12" s="1"/>
  <c r="V172" i="12"/>
  <c r="V115" i="12" s="1"/>
  <c r="T170" i="12"/>
  <c r="T113" i="12" s="1"/>
  <c r="Y169" i="12"/>
  <c r="Y85" i="12" s="1"/>
  <c r="Q169" i="12"/>
  <c r="Q85" i="12" s="1"/>
  <c r="Y168" i="12"/>
  <c r="Y84" i="12" s="1"/>
  <c r="Q168" i="12"/>
  <c r="Q84" i="12" s="1"/>
  <c r="V167" i="12"/>
  <c r="V83" i="12" s="1"/>
  <c r="P174" i="12"/>
  <c r="P99" i="12" s="1"/>
  <c r="Y173" i="12"/>
  <c r="Y98" i="12" s="1"/>
  <c r="R172" i="12"/>
  <c r="R115" i="12" s="1"/>
  <c r="W171" i="12"/>
  <c r="W114" i="12" s="1"/>
  <c r="P170" i="12"/>
  <c r="P113" i="12" s="1"/>
  <c r="X169" i="12"/>
  <c r="X85" i="12" s="1"/>
  <c r="P169" i="12"/>
  <c r="P85" i="12" s="1"/>
  <c r="V168" i="12"/>
  <c r="V84" i="12" s="1"/>
  <c r="S167" i="12"/>
  <c r="S83" i="12" s="1"/>
  <c r="X24" i="12"/>
  <c r="T25" i="12"/>
  <c r="X38" i="12"/>
  <c r="U38" i="12"/>
  <c r="X47" i="14"/>
  <c r="AA58" i="4"/>
  <c r="H80" i="10"/>
  <c r="G7" i="10" s="1"/>
  <c r="T75" i="4" s="1"/>
  <c r="H78" i="10"/>
  <c r="G5" i="10" s="1"/>
  <c r="T73" i="4" s="1"/>
  <c r="AA38" i="14" s="1"/>
  <c r="AA27" i="14" s="1"/>
  <c r="AA32" i="14" s="1"/>
  <c r="J13" i="7"/>
  <c r="W47" i="4" s="1"/>
  <c r="I43" i="6"/>
  <c r="G10" i="6"/>
  <c r="T28" i="4" s="1"/>
  <c r="V131" i="15" s="1"/>
  <c r="V122" i="15" s="1"/>
  <c r="W57" i="4"/>
  <c r="AD42" i="14" s="1"/>
  <c r="AD31" i="14" s="1"/>
  <c r="AD36" i="14" s="1"/>
  <c r="J9" i="8"/>
  <c r="L43" i="5"/>
  <c r="J15" i="5"/>
  <c r="L35" i="5"/>
  <c r="J11" i="5"/>
  <c r="W13" i="4" s="1"/>
  <c r="Y101" i="15" s="1"/>
  <c r="Y92" i="15" s="1"/>
  <c r="AK152" i="11"/>
  <c r="AB151" i="11"/>
  <c r="AJ118" i="11"/>
  <c r="AA117" i="11"/>
  <c r="R83" i="11"/>
  <c r="Q82" i="11"/>
  <c r="A215" i="10"/>
  <c r="K214" i="10"/>
  <c r="H43" i="5"/>
  <c r="G15" i="5" s="1"/>
  <c r="T17" i="4" s="1"/>
  <c r="V95" i="15" s="1"/>
  <c r="V86" i="15" s="1"/>
  <c r="R150" i="11"/>
  <c r="Q149" i="11"/>
  <c r="AA101" i="11"/>
  <c r="AJ102" i="11"/>
  <c r="A204" i="10"/>
  <c r="K203" i="10"/>
  <c r="K34" i="5"/>
  <c r="J10" i="5" s="1"/>
  <c r="W12" i="4" s="1"/>
  <c r="Y97" i="15" s="1"/>
  <c r="Y88" i="15" s="1"/>
  <c r="Q132" i="11"/>
  <c r="R133" i="11"/>
  <c r="R47" i="11"/>
  <c r="Q46" i="11"/>
  <c r="A237" i="10"/>
  <c r="K236" i="10"/>
  <c r="I80" i="10"/>
  <c r="H7" i="10" s="1"/>
  <c r="U75" i="4" s="1"/>
  <c r="G69" i="10"/>
  <c r="F13" i="10" s="1"/>
  <c r="G68" i="10"/>
  <c r="F11" i="10" s="1"/>
  <c r="H69" i="10"/>
  <c r="G13" i="10" s="1"/>
  <c r="H68" i="10"/>
  <c r="G11" i="10" s="1"/>
  <c r="F41" i="5"/>
  <c r="E18" i="5" s="1"/>
  <c r="R20" i="4" s="1"/>
  <c r="F40" i="5"/>
  <c r="E4" i="5" s="1"/>
  <c r="R8" i="4" s="1"/>
  <c r="Y69" i="14"/>
  <c r="AD73" i="14"/>
  <c r="T134" i="15"/>
  <c r="T125" i="15" s="1"/>
  <c r="Q31" i="11"/>
  <c r="R32" i="11"/>
  <c r="C13" i="15"/>
  <c r="W31" i="15"/>
  <c r="W39" i="15" s="1"/>
  <c r="I379" i="14"/>
  <c r="H380" i="14"/>
  <c r="B379" i="14"/>
  <c r="X30" i="15"/>
  <c r="X38" i="15" s="1"/>
  <c r="S334" i="14"/>
  <c r="AF28" i="14"/>
  <c r="Z53" i="12"/>
  <c r="W38" i="12"/>
  <c r="U25" i="12"/>
  <c r="U57" i="4"/>
  <c r="AB42" i="14" s="1"/>
  <c r="AB31" i="14" s="1"/>
  <c r="AB36" i="14" s="1"/>
  <c r="H9" i="8"/>
  <c r="H79" i="10"/>
  <c r="G6" i="10" s="1"/>
  <c r="T74" i="4" s="1"/>
  <c r="AA43" i="14" s="1"/>
  <c r="F13" i="7"/>
  <c r="S47" i="4" s="1"/>
  <c r="S57" i="4"/>
  <c r="Z42" i="14" s="1"/>
  <c r="Z31" i="14" s="1"/>
  <c r="Z36" i="14" s="1"/>
  <c r="F9" i="8"/>
  <c r="X40" i="14"/>
  <c r="X29" i="14" s="1"/>
  <c r="X34" i="14" s="1"/>
  <c r="AA41" i="4"/>
  <c r="G42" i="5"/>
  <c r="G43" i="5" s="1"/>
  <c r="F15" i="5" s="1"/>
  <c r="S17" i="4" s="1"/>
  <c r="U95" i="15" s="1"/>
  <c r="U86" i="15" s="1"/>
  <c r="AK84" i="11"/>
  <c r="AB83" i="11"/>
  <c r="L80" i="10"/>
  <c r="K7" i="10" s="1"/>
  <c r="X75" i="4" s="1"/>
  <c r="I68" i="10"/>
  <c r="H11" i="10" s="1"/>
  <c r="I69" i="10"/>
  <c r="H13" i="10" s="1"/>
  <c r="G44" i="6"/>
  <c r="F11" i="6" s="1"/>
  <c r="S29" i="4" s="1"/>
  <c r="U135" i="15" s="1"/>
  <c r="U126" i="15" s="1"/>
  <c r="H34" i="5"/>
  <c r="G10" i="5" s="1"/>
  <c r="T12" i="4" s="1"/>
  <c r="V97" i="15" s="1"/>
  <c r="V88" i="15" s="1"/>
  <c r="G11" i="5"/>
  <c r="T13" i="4" s="1"/>
  <c r="V101" i="15" s="1"/>
  <c r="V92" i="15" s="1"/>
  <c r="H45" i="5"/>
  <c r="G16" i="5" s="1"/>
  <c r="T18" i="4" s="1"/>
  <c r="V96" i="15" s="1"/>
  <c r="V87" i="15" s="1"/>
  <c r="AJ135" i="11"/>
  <c r="AA134" i="11"/>
  <c r="K13" i="7"/>
  <c r="X47" i="4" s="1"/>
  <c r="R43" i="4"/>
  <c r="F8" i="7"/>
  <c r="G34" i="5"/>
  <c r="F10" i="5" s="1"/>
  <c r="S12" i="4" s="1"/>
  <c r="U97" i="15" s="1"/>
  <c r="U88" i="15" s="1"/>
  <c r="AK118" i="11"/>
  <c r="AB117" i="11"/>
  <c r="Z84" i="11"/>
  <c r="Z83" i="11"/>
  <c r="AK50" i="11"/>
  <c r="AJ33" i="11"/>
  <c r="L79" i="10"/>
  <c r="K6" i="10" s="1"/>
  <c r="X74" i="4" s="1"/>
  <c r="AE43" i="14" s="1"/>
  <c r="K65" i="5"/>
  <c r="J41" i="5"/>
  <c r="I18" i="5" s="1"/>
  <c r="V20" i="4" s="1"/>
  <c r="J40" i="5"/>
  <c r="I4" i="5" s="1"/>
  <c r="V8" i="4" s="1"/>
  <c r="R99" i="11"/>
  <c r="Q98" i="11"/>
  <c r="K69" i="10"/>
  <c r="J13" i="10" s="1"/>
  <c r="K68" i="10"/>
  <c r="J11" i="10" s="1"/>
  <c r="L69" i="10"/>
  <c r="K13" i="10" s="1"/>
  <c r="L68" i="10"/>
  <c r="K11" i="10" s="1"/>
  <c r="AB73" i="14"/>
  <c r="AB91" i="14"/>
  <c r="AC91" i="14"/>
  <c r="AD91" i="14"/>
  <c r="Y134" i="15"/>
  <c r="Y125" i="15" s="1"/>
  <c r="R117" i="11"/>
  <c r="Q116" i="11"/>
  <c r="H118" i="4"/>
  <c r="I117" i="4"/>
  <c r="B117" i="4"/>
  <c r="I43" i="5"/>
  <c r="H15" i="5" s="1"/>
  <c r="U17" i="4" s="1"/>
  <c r="W95" i="15" s="1"/>
  <c r="W86" i="15" s="1"/>
  <c r="I40" i="5"/>
  <c r="H4" i="5" s="1"/>
  <c r="U8" i="4" s="1"/>
  <c r="R11" i="4"/>
  <c r="F8" i="5"/>
  <c r="J43" i="5"/>
  <c r="I15" i="5" s="1"/>
  <c r="V17" i="4" s="1"/>
  <c r="X95" i="15" s="1"/>
  <c r="X86" i="15" s="1"/>
  <c r="H15" i="4"/>
  <c r="T188" i="15"/>
  <c r="T120" i="15"/>
  <c r="S319" i="14"/>
  <c r="I10" i="7"/>
  <c r="V44" i="4" s="1"/>
  <c r="X165" i="15" s="1"/>
  <c r="X156" i="15" s="1"/>
  <c r="K36" i="7"/>
  <c r="X41" i="14"/>
  <c r="X30" i="14" s="1"/>
  <c r="X35" i="14" s="1"/>
  <c r="AA25" i="4"/>
  <c r="A226" i="10"/>
  <c r="K225" i="10"/>
  <c r="AA73" i="14"/>
  <c r="F13" i="16"/>
  <c r="A13" i="16"/>
  <c r="E14" i="16"/>
  <c r="F162" i="15"/>
  <c r="S326" i="14"/>
  <c r="H136" i="14"/>
  <c r="B135" i="14"/>
  <c r="I135" i="14"/>
  <c r="E17" i="13"/>
  <c r="F16" i="13"/>
  <c r="C16" i="13" s="1"/>
  <c r="B16" i="13"/>
  <c r="AB32" i="15"/>
  <c r="AB40" i="15" s="1"/>
  <c r="AA31" i="15"/>
  <c r="AA39" i="15" s="1"/>
  <c r="F52" i="15"/>
  <c r="G51" i="15"/>
  <c r="B51" i="15"/>
  <c r="S343" i="14"/>
  <c r="J434" i="14"/>
  <c r="C434" i="14"/>
  <c r="H416" i="14"/>
  <c r="B415" i="14"/>
  <c r="I415" i="14"/>
  <c r="AF29" i="14"/>
  <c r="Y39" i="12"/>
  <c r="V23" i="12"/>
  <c r="Y24" i="12"/>
  <c r="V24" i="12"/>
  <c r="Q57" i="4"/>
  <c r="D9" i="8"/>
  <c r="X57" i="4"/>
  <c r="AE42" i="14" s="1"/>
  <c r="AE31" i="14" s="1"/>
  <c r="K9" i="8"/>
  <c r="A180" i="10"/>
  <c r="N107" i="10"/>
  <c r="K179" i="10"/>
  <c r="I13" i="7"/>
  <c r="V47" i="4" s="1"/>
  <c r="AJ152" i="11"/>
  <c r="AA151" i="11"/>
  <c r="Z118" i="11"/>
  <c r="Z117" i="11"/>
  <c r="R64" i="11"/>
  <c r="Q63" i="11"/>
  <c r="V57" i="4"/>
  <c r="AC42" i="14" s="1"/>
  <c r="AC31" i="14" s="1"/>
  <c r="AC36" i="14" s="1"/>
  <c r="I9" i="8"/>
  <c r="Z101" i="11"/>
  <c r="Z100" i="11"/>
  <c r="E68" i="10"/>
  <c r="D11" i="10" s="1"/>
  <c r="E69" i="10"/>
  <c r="D13" i="10" s="1"/>
  <c r="Z135" i="11"/>
  <c r="Z134" i="11"/>
  <c r="X35" i="11"/>
  <c r="X33" i="11"/>
  <c r="X31" i="11"/>
  <c r="X36" i="11"/>
  <c r="X37" i="11"/>
  <c r="X29" i="11"/>
  <c r="AH40" i="11"/>
  <c r="X30" i="11"/>
  <c r="X34" i="11"/>
  <c r="X28" i="11"/>
  <c r="A193" i="10"/>
  <c r="K192" i="10"/>
  <c r="E78" i="10"/>
  <c r="D5" i="10" s="1"/>
  <c r="Q73" i="4" s="1"/>
  <c r="X46" i="14"/>
  <c r="AA26" i="4"/>
  <c r="AB135" i="11"/>
  <c r="AK136" i="11"/>
  <c r="Q70" i="4"/>
  <c r="AA70" i="4" s="1"/>
  <c r="F68" i="10"/>
  <c r="E11" i="10" s="1"/>
  <c r="F69" i="10"/>
  <c r="E13" i="10" s="1"/>
  <c r="S15" i="4"/>
  <c r="G13" i="5"/>
  <c r="Y71" i="14"/>
  <c r="X93" i="14"/>
  <c r="I45" i="5"/>
  <c r="H16" i="5" s="1"/>
  <c r="U18" i="4" s="1"/>
  <c r="W96" i="15" s="1"/>
  <c r="W87" i="15" s="1"/>
  <c r="C13" i="4"/>
  <c r="J13" i="4"/>
  <c r="E44" i="6"/>
  <c r="D11" i="6" s="1"/>
  <c r="Q29" i="4" s="1"/>
  <c r="G13" i="7"/>
  <c r="T47" i="4" s="1"/>
  <c r="R16" i="4"/>
  <c r="F14" i="5"/>
  <c r="P63" i="1" l="1"/>
  <c r="V48" i="1"/>
  <c r="V76" i="1"/>
  <c r="Q122" i="1"/>
  <c r="T39" i="1" s="1"/>
  <c r="S15" i="1"/>
  <c r="S28" i="1"/>
  <c r="P12" i="1"/>
  <c r="R52" i="1"/>
  <c r="U19" i="1"/>
  <c r="R62" i="1"/>
  <c r="O52" i="1"/>
  <c r="O22" i="1"/>
  <c r="Q8" i="1"/>
  <c r="O19" i="1"/>
  <c r="V28" i="1"/>
  <c r="V16" i="1"/>
  <c r="V23" i="1"/>
  <c r="J17" i="1"/>
  <c r="N414" i="14"/>
  <c r="E414" i="14" s="1"/>
  <c r="N20" i="1"/>
  <c r="N50" i="1"/>
  <c r="M20" i="1"/>
  <c r="H20" i="1"/>
  <c r="J20" i="1"/>
  <c r="K20" i="1"/>
  <c r="N46" i="1"/>
  <c r="I76" i="1"/>
  <c r="I12" i="1"/>
  <c r="I52" i="1"/>
  <c r="J25" i="1"/>
  <c r="H46" i="1"/>
  <c r="H70" i="1"/>
  <c r="I70" i="1"/>
  <c r="G46" i="1"/>
  <c r="J39" i="1"/>
  <c r="J52" i="1"/>
  <c r="H39" i="1"/>
  <c r="M12" i="1"/>
  <c r="N75" i="1"/>
  <c r="G12" i="1"/>
  <c r="H33" i="1"/>
  <c r="G75" i="1"/>
  <c r="M58" i="1"/>
  <c r="L46" i="1"/>
  <c r="L39" i="1"/>
  <c r="G39" i="1"/>
  <c r="H25" i="1"/>
  <c r="M26" i="1"/>
  <c r="J26" i="1"/>
  <c r="N70" i="1"/>
  <c r="H75" i="1"/>
  <c r="I75" i="1"/>
  <c r="L17" i="1"/>
  <c r="M25" i="1"/>
  <c r="I46" i="1"/>
  <c r="J76" i="1"/>
  <c r="I33" i="1"/>
  <c r="M33" i="1"/>
  <c r="M70" i="1"/>
  <c r="M52" i="1"/>
  <c r="I25" i="1"/>
  <c r="H17" i="1"/>
  <c r="G17" i="1"/>
  <c r="K26" i="1"/>
  <c r="L25" i="1"/>
  <c r="I26" i="1"/>
  <c r="L33" i="1"/>
  <c r="I39" i="1"/>
  <c r="M76" i="1"/>
  <c r="M75" i="1"/>
  <c r="K33" i="1"/>
  <c r="N76" i="1"/>
  <c r="M46" i="1"/>
  <c r="H58" i="1"/>
  <c r="N25" i="1"/>
  <c r="G25" i="1"/>
  <c r="L26" i="1"/>
  <c r="G33" i="1"/>
  <c r="K39" i="1"/>
  <c r="H76" i="1"/>
  <c r="G58" i="1"/>
  <c r="L58" i="1"/>
  <c r="G70" i="1"/>
  <c r="L12" i="1"/>
  <c r="H12" i="1"/>
  <c r="I17" i="1"/>
  <c r="N39" i="1"/>
  <c r="K76" i="1"/>
  <c r="K75" i="1"/>
  <c r="K17" i="1"/>
  <c r="H26" i="1"/>
  <c r="N52" i="1"/>
  <c r="L76" i="1"/>
  <c r="G26" i="1"/>
  <c r="N26" i="1"/>
  <c r="M17" i="1"/>
  <c r="K52" i="1"/>
  <c r="L75" i="1"/>
  <c r="I58" i="1"/>
  <c r="N33" i="1"/>
  <c r="J70" i="1"/>
  <c r="K25" i="1"/>
  <c r="N12" i="1"/>
  <c r="M39" i="1"/>
  <c r="N17" i="1"/>
  <c r="L52" i="1"/>
  <c r="J75" i="1"/>
  <c r="J58" i="1"/>
  <c r="J33" i="1"/>
  <c r="G76" i="1"/>
  <c r="L70" i="1"/>
  <c r="K70" i="1"/>
  <c r="K46" i="1"/>
  <c r="H52" i="1"/>
  <c r="N58" i="1"/>
  <c r="K58" i="1"/>
  <c r="K12" i="1"/>
  <c r="G52" i="1"/>
  <c r="J46" i="1"/>
  <c r="J12" i="1"/>
  <c r="K414" i="14"/>
  <c r="G414" i="14" s="1"/>
  <c r="C114" i="14"/>
  <c r="B115" i="14"/>
  <c r="I115" i="14"/>
  <c r="H116" i="14"/>
  <c r="I57" i="14"/>
  <c r="C57" i="14" s="1"/>
  <c r="C56" i="14"/>
  <c r="G112" i="14"/>
  <c r="D112" i="14"/>
  <c r="C113" i="14"/>
  <c r="J113" i="14"/>
  <c r="J114" i="14" s="1"/>
  <c r="B57" i="14"/>
  <c r="H58" i="14"/>
  <c r="G56" i="14"/>
  <c r="D56" i="14"/>
  <c r="G18" i="14"/>
  <c r="D18" i="14"/>
  <c r="J19" i="14"/>
  <c r="C19" i="14"/>
  <c r="I20" i="14"/>
  <c r="B20" i="14"/>
  <c r="AB32" i="14"/>
  <c r="W90" i="14"/>
  <c r="U91" i="14" s="1"/>
  <c r="AC90" i="14" s="1"/>
  <c r="W94" i="14"/>
  <c r="U95" i="14" s="1"/>
  <c r="W177" i="14"/>
  <c r="W176" i="14"/>
  <c r="W180" i="14"/>
  <c r="W155" i="14"/>
  <c r="W159" i="14" s="1"/>
  <c r="W112" i="14"/>
  <c r="W114" i="14" s="1"/>
  <c r="W72" i="14"/>
  <c r="U73" i="14" s="1"/>
  <c r="AE72" i="14" s="1"/>
  <c r="W96" i="14"/>
  <c r="U97" i="14" s="1"/>
  <c r="W51" i="14"/>
  <c r="W139" i="14"/>
  <c r="W141" i="14" s="1"/>
  <c r="W135" i="14"/>
  <c r="W137" i="14" s="1"/>
  <c r="W92" i="14"/>
  <c r="U93" i="14" s="1"/>
  <c r="X92" i="14" s="1"/>
  <c r="W100" i="14"/>
  <c r="U101" i="14" s="1"/>
  <c r="W161" i="14"/>
  <c r="W165" i="14" s="1"/>
  <c r="W174" i="14"/>
  <c r="W131" i="14"/>
  <c r="W179" i="14"/>
  <c r="W109" i="14"/>
  <c r="W111" i="14" s="1"/>
  <c r="W78" i="14"/>
  <c r="U79" i="14" s="1"/>
  <c r="W149" i="14"/>
  <c r="W153" i="14" s="1"/>
  <c r="W115" i="14"/>
  <c r="W117" i="14" s="1"/>
  <c r="W70" i="14"/>
  <c r="U71" i="14" s="1"/>
  <c r="X70" i="14" s="1"/>
  <c r="W68" i="14"/>
  <c r="U69" i="14" s="1"/>
  <c r="Y68" i="14" s="1"/>
  <c r="W143" i="14"/>
  <c r="W145" i="14" s="1"/>
  <c r="W167" i="14"/>
  <c r="W171" i="14" s="1"/>
  <c r="W118" i="14"/>
  <c r="W120" i="14" s="1"/>
  <c r="W106" i="14"/>
  <c r="W108" i="14" s="1"/>
  <c r="W84" i="14"/>
  <c r="U85" i="14" s="1"/>
  <c r="W74" i="14"/>
  <c r="U75" i="14" s="1"/>
  <c r="Z74" i="14" s="1"/>
  <c r="W173" i="14"/>
  <c r="W81" i="14"/>
  <c r="U82" i="14" s="1"/>
  <c r="G148" i="12"/>
  <c r="B147" i="12"/>
  <c r="U39" i="12"/>
  <c r="W54" i="12"/>
  <c r="X55" i="12"/>
  <c r="Z55" i="12"/>
  <c r="U23" i="12"/>
  <c r="V54" i="12"/>
  <c r="Y23" i="12"/>
  <c r="V53" i="12"/>
  <c r="X39" i="12"/>
  <c r="U55" i="12"/>
  <c r="T39" i="12"/>
  <c r="V39" i="12"/>
  <c r="W39" i="12"/>
  <c r="T23" i="12"/>
  <c r="X53" i="12"/>
  <c r="Y55" i="12"/>
  <c r="T54" i="12"/>
  <c r="T24" i="12"/>
  <c r="Y53" i="12"/>
  <c r="Y25" i="12"/>
  <c r="T55" i="12"/>
  <c r="V55" i="12"/>
  <c r="W25" i="12"/>
  <c r="W55" i="12"/>
  <c r="X25" i="12"/>
  <c r="V25" i="12"/>
  <c r="Z23" i="12"/>
  <c r="X54" i="12"/>
  <c r="Z54" i="12"/>
  <c r="U54" i="12"/>
  <c r="X23" i="12"/>
  <c r="Y47" i="12"/>
  <c r="V64" i="12"/>
  <c r="Z64" i="12"/>
  <c r="U47" i="12"/>
  <c r="E298" i="16"/>
  <c r="F297" i="16"/>
  <c r="A297" i="16"/>
  <c r="B296" i="16"/>
  <c r="G296" i="16"/>
  <c r="C296" i="16" s="1"/>
  <c r="D296" i="16" s="1"/>
  <c r="D12" i="16"/>
  <c r="O47" i="3"/>
  <c r="Q47" i="3"/>
  <c r="U73" i="3"/>
  <c r="T72" i="3"/>
  <c r="U55" i="3"/>
  <c r="T54" i="3"/>
  <c r="H26" i="3"/>
  <c r="D26" i="3"/>
  <c r="G26" i="3"/>
  <c r="M47" i="3"/>
  <c r="R47" i="3"/>
  <c r="L47" i="3"/>
  <c r="K47" i="3"/>
  <c r="P47" i="3"/>
  <c r="AG46" i="3"/>
  <c r="B14" i="4"/>
  <c r="T161" i="15"/>
  <c r="T162" i="15" s="1"/>
  <c r="G14" i="15"/>
  <c r="C14" i="15" s="1"/>
  <c r="S195" i="15"/>
  <c r="S196" i="15" s="1"/>
  <c r="S93" i="15"/>
  <c r="F15" i="15"/>
  <c r="B15" i="15" s="1"/>
  <c r="X34" i="12"/>
  <c r="Y33" i="12"/>
  <c r="Z32" i="12"/>
  <c r="Z34" i="12"/>
  <c r="V62" i="12"/>
  <c r="Y63" i="12"/>
  <c r="V63" i="12"/>
  <c r="C15" i="11"/>
  <c r="K15" i="11" s="1"/>
  <c r="E15" i="11" s="1"/>
  <c r="J15" i="11"/>
  <c r="D15" i="11" s="1"/>
  <c r="F15" i="11" s="1"/>
  <c r="L50" i="6"/>
  <c r="K18" i="6" s="1"/>
  <c r="X36" i="4" s="1"/>
  <c r="L49" i="6"/>
  <c r="K4" i="6" s="1"/>
  <c r="X24" i="4" s="1"/>
  <c r="B16" i="11"/>
  <c r="H17" i="11"/>
  <c r="I16" i="11"/>
  <c r="G161" i="15"/>
  <c r="H161" i="15" s="1"/>
  <c r="D161" i="15" s="1"/>
  <c r="C160" i="15"/>
  <c r="U62" i="12"/>
  <c r="D12" i="4"/>
  <c r="K12" i="4"/>
  <c r="E12" i="4" s="1"/>
  <c r="E14" i="11"/>
  <c r="AH27" i="11"/>
  <c r="AI27" i="11" s="1"/>
  <c r="AJ27" i="11" s="1"/>
  <c r="X32" i="11"/>
  <c r="T62" i="12"/>
  <c r="X62" i="12"/>
  <c r="Y62" i="12"/>
  <c r="X54" i="11"/>
  <c r="X45" i="11"/>
  <c r="X49" i="11"/>
  <c r="X46" i="11"/>
  <c r="AH57" i="11"/>
  <c r="X52" i="11"/>
  <c r="X53" i="11"/>
  <c r="X48" i="11"/>
  <c r="X50" i="11"/>
  <c r="X51" i="11"/>
  <c r="X47" i="11"/>
  <c r="V168" i="15"/>
  <c r="V159" i="15" s="1"/>
  <c r="AA69" i="14"/>
  <c r="T15" i="4"/>
  <c r="H13" i="5"/>
  <c r="A194" i="10"/>
  <c r="K193" i="10"/>
  <c r="Y36" i="11"/>
  <c r="Y37" i="11"/>
  <c r="Y29" i="11"/>
  <c r="AI40" i="11"/>
  <c r="Y34" i="11"/>
  <c r="Y30" i="11"/>
  <c r="Y33" i="11"/>
  <c r="Y31" i="11"/>
  <c r="Y35" i="11"/>
  <c r="Y28" i="11"/>
  <c r="Y32" i="11"/>
  <c r="AK27" i="11"/>
  <c r="X168" i="15"/>
  <c r="X159" i="15" s="1"/>
  <c r="AC69" i="14"/>
  <c r="J415" i="14"/>
  <c r="C415" i="14"/>
  <c r="D434" i="14"/>
  <c r="K434" i="14"/>
  <c r="G434" i="14"/>
  <c r="D16" i="13"/>
  <c r="A227" i="10"/>
  <c r="K226" i="10"/>
  <c r="B118" i="4"/>
  <c r="H119" i="4"/>
  <c r="I118" i="4"/>
  <c r="X76" i="4"/>
  <c r="AB44" i="15"/>
  <c r="AB47" i="15" s="1"/>
  <c r="AJ34" i="11"/>
  <c r="S43" i="4"/>
  <c r="G8" i="7"/>
  <c r="AJ136" i="11"/>
  <c r="AA135" i="11"/>
  <c r="I380" i="14"/>
  <c r="H381" i="14"/>
  <c r="B380" i="14"/>
  <c r="T78" i="4"/>
  <c r="X43" i="15"/>
  <c r="X46" i="15" s="1"/>
  <c r="R134" i="11"/>
  <c r="Q133" i="11"/>
  <c r="A205" i="10"/>
  <c r="K204" i="10"/>
  <c r="Y168" i="15"/>
  <c r="Y159" i="15" s="1"/>
  <c r="AD69" i="14"/>
  <c r="W32" i="12"/>
  <c r="X32" i="12"/>
  <c r="V34" i="12"/>
  <c r="Z47" i="12"/>
  <c r="T33" i="12"/>
  <c r="U63" i="12"/>
  <c r="X64" i="12"/>
  <c r="V48" i="12"/>
  <c r="U64" i="12"/>
  <c r="X47" i="12"/>
  <c r="V154" i="15"/>
  <c r="V78" i="4"/>
  <c r="Z43" i="15"/>
  <c r="Z46" i="15" s="1"/>
  <c r="AK34" i="11"/>
  <c r="H22" i="12"/>
  <c r="G23" i="12"/>
  <c r="B22" i="12"/>
  <c r="B436" i="14"/>
  <c r="H437" i="14"/>
  <c r="I436" i="14"/>
  <c r="U100" i="15"/>
  <c r="U91" i="15" s="1"/>
  <c r="Z71" i="14"/>
  <c r="Q78" i="4"/>
  <c r="AA78" i="4" s="1"/>
  <c r="U43" i="15"/>
  <c r="U46" i="15" s="1"/>
  <c r="AE36" i="14"/>
  <c r="AF31" i="14" s="1"/>
  <c r="F163" i="15"/>
  <c r="B162" i="15"/>
  <c r="AK51" i="11"/>
  <c r="A238" i="10"/>
  <c r="K237" i="10"/>
  <c r="A216" i="10"/>
  <c r="K215" i="10"/>
  <c r="AA118" i="11"/>
  <c r="AJ119" i="11"/>
  <c r="K11" i="5"/>
  <c r="X13" i="4" s="1"/>
  <c r="Z101" i="15" s="1"/>
  <c r="Z92" i="15" s="1"/>
  <c r="L34" i="5"/>
  <c r="K10" i="5" s="1"/>
  <c r="X12" i="4" s="1"/>
  <c r="Z97" i="15" s="1"/>
  <c r="Z88" i="15" s="1"/>
  <c r="X33" i="12"/>
  <c r="Y64" i="12"/>
  <c r="AK102" i="11"/>
  <c r="AB101" i="11"/>
  <c r="W168" i="15"/>
  <c r="W159" i="15" s="1"/>
  <c r="AB69" i="14"/>
  <c r="S16" i="4"/>
  <c r="G14" i="5"/>
  <c r="D13" i="4"/>
  <c r="K13" i="4"/>
  <c r="E13" i="4" s="1"/>
  <c r="R78" i="4"/>
  <c r="V43" i="15"/>
  <c r="V46" i="15" s="1"/>
  <c r="AB137" i="11"/>
  <c r="AB136" i="11"/>
  <c r="X38" i="14"/>
  <c r="X27" i="14" s="1"/>
  <c r="X32" i="14" s="1"/>
  <c r="AA73" i="4"/>
  <c r="Q76" i="4"/>
  <c r="AA76" i="4" s="1"/>
  <c r="U44" i="15"/>
  <c r="U47" i="15" s="1"/>
  <c r="H417" i="14"/>
  <c r="B416" i="14"/>
  <c r="I416" i="14"/>
  <c r="S344" i="14"/>
  <c r="C51" i="15"/>
  <c r="H51" i="15"/>
  <c r="D51" i="15" s="1"/>
  <c r="E18" i="13"/>
  <c r="F17" i="13"/>
  <c r="C17" i="13" s="1"/>
  <c r="B17" i="13"/>
  <c r="D17" i="13" s="1"/>
  <c r="S327" i="14"/>
  <c r="T127" i="15"/>
  <c r="T128" i="15" s="1"/>
  <c r="U120" i="15"/>
  <c r="I15" i="4"/>
  <c r="H16" i="4"/>
  <c r="B15" i="4"/>
  <c r="S11" i="4"/>
  <c r="G8" i="5"/>
  <c r="Q117" i="11"/>
  <c r="R118" i="11"/>
  <c r="W76" i="4"/>
  <c r="AA44" i="15"/>
  <c r="AA47" i="15" s="1"/>
  <c r="R100" i="11"/>
  <c r="Q99" i="11"/>
  <c r="AK119" i="11"/>
  <c r="AB118" i="11"/>
  <c r="Z168" i="15"/>
  <c r="Z159" i="15" s="1"/>
  <c r="AE69" i="14"/>
  <c r="U76" i="4"/>
  <c r="Y44" i="15"/>
  <c r="Y47" i="15" s="1"/>
  <c r="R33" i="11"/>
  <c r="Q32" i="11"/>
  <c r="S78" i="4"/>
  <c r="W43" i="15"/>
  <c r="W46" i="15" s="1"/>
  <c r="R151" i="11"/>
  <c r="Q150" i="11"/>
  <c r="W17" i="4"/>
  <c r="Y95" i="15" s="1"/>
  <c r="Y86" i="15" s="1"/>
  <c r="K15" i="5"/>
  <c r="X17" i="4" s="1"/>
  <c r="Z95" i="15" s="1"/>
  <c r="Z86" i="15" s="1"/>
  <c r="T48" i="12"/>
  <c r="Z33" i="12"/>
  <c r="U33" i="12"/>
  <c r="W33" i="12"/>
  <c r="T63" i="12"/>
  <c r="U48" i="12"/>
  <c r="Y32" i="12"/>
  <c r="W47" i="12"/>
  <c r="Z63" i="12"/>
  <c r="W48" i="12"/>
  <c r="H14" i="15"/>
  <c r="D14" i="15" s="1"/>
  <c r="AB67" i="11"/>
  <c r="AK68" i="11"/>
  <c r="AA84" i="11"/>
  <c r="AJ85" i="11"/>
  <c r="AA47" i="4"/>
  <c r="S168" i="15"/>
  <c r="S159" i="15" s="1"/>
  <c r="S161" i="15" s="1"/>
  <c r="S162" i="15" s="1"/>
  <c r="X69" i="14"/>
  <c r="AA29" i="4"/>
  <c r="S135" i="15"/>
  <c r="S126" i="15" s="1"/>
  <c r="S127" i="15" s="1"/>
  <c r="S128" i="15" s="1"/>
  <c r="H137" i="14"/>
  <c r="B136" i="14"/>
  <c r="I136" i="14"/>
  <c r="B13" i="16"/>
  <c r="G13" i="16"/>
  <c r="C13" i="16" s="1"/>
  <c r="D13" i="16" s="1"/>
  <c r="S320" i="14"/>
  <c r="X78" i="4"/>
  <c r="AB43" i="15"/>
  <c r="AB46" i="15" s="1"/>
  <c r="L65" i="5"/>
  <c r="K40" i="5"/>
  <c r="J4" i="5" s="1"/>
  <c r="W8" i="4" s="1"/>
  <c r="K41" i="5"/>
  <c r="J18" i="5" s="1"/>
  <c r="W20" i="4" s="1"/>
  <c r="U78" i="4"/>
  <c r="Y43" i="15"/>
  <c r="Y46" i="15" s="1"/>
  <c r="AK85" i="11"/>
  <c r="AB84" i="11"/>
  <c r="J379" i="14"/>
  <c r="C379" i="14"/>
  <c r="S76" i="4"/>
  <c r="W44" i="15"/>
  <c r="W47" i="15" s="1"/>
  <c r="W64" i="12"/>
  <c r="U32" i="12"/>
  <c r="G15" i="15"/>
  <c r="V76" i="4"/>
  <c r="Z44" i="15"/>
  <c r="Z47" i="15" s="1"/>
  <c r="Y93" i="14"/>
  <c r="T99" i="15"/>
  <c r="T90" i="15" s="1"/>
  <c r="T93" i="15" s="1"/>
  <c r="R76" i="4"/>
  <c r="V44" i="15"/>
  <c r="V47" i="15" s="1"/>
  <c r="R65" i="11"/>
  <c r="Q64" i="11"/>
  <c r="AA152" i="11"/>
  <c r="AJ153" i="11"/>
  <c r="A181" i="10"/>
  <c r="K180" i="10"/>
  <c r="O107" i="10"/>
  <c r="O108" i="10"/>
  <c r="X42" i="14"/>
  <c r="X31" i="14" s="1"/>
  <c r="X36" i="14" s="1"/>
  <c r="AA57" i="4"/>
  <c r="B52" i="15"/>
  <c r="F53" i="15"/>
  <c r="G52" i="15"/>
  <c r="C135" i="14"/>
  <c r="J135" i="14"/>
  <c r="F14" i="16"/>
  <c r="A14" i="16"/>
  <c r="E15" i="16"/>
  <c r="J10" i="7"/>
  <c r="W44" i="4" s="1"/>
  <c r="Y165" i="15" s="1"/>
  <c r="Y156" i="15" s="1"/>
  <c r="L36" i="7"/>
  <c r="K37" i="7"/>
  <c r="J11" i="7" s="1"/>
  <c r="W45" i="4" s="1"/>
  <c r="Y169" i="15" s="1"/>
  <c r="Y160" i="15" s="1"/>
  <c r="U188" i="15"/>
  <c r="T195" i="15"/>
  <c r="T196" i="15" s="1"/>
  <c r="C14" i="4"/>
  <c r="J14" i="4"/>
  <c r="C117" i="4"/>
  <c r="J117" i="4"/>
  <c r="W78" i="4"/>
  <c r="AA43" i="15"/>
  <c r="AA46" i="15" s="1"/>
  <c r="U168" i="15"/>
  <c r="U159" i="15" s="1"/>
  <c r="U161" i="15" s="1"/>
  <c r="U162" i="15" s="1"/>
  <c r="Z69" i="14"/>
  <c r="S335" i="14"/>
  <c r="T76" i="4"/>
  <c r="X44" i="15"/>
  <c r="X47" i="15" s="1"/>
  <c r="R48" i="11"/>
  <c r="Q47" i="11"/>
  <c r="AA103" i="11"/>
  <c r="AA102" i="11"/>
  <c r="Q83" i="11"/>
  <c r="R84" i="11"/>
  <c r="AB152" i="11"/>
  <c r="AK153" i="11"/>
  <c r="H10" i="6"/>
  <c r="U28" i="4" s="1"/>
  <c r="W131" i="15" s="1"/>
  <c r="W122" i="15" s="1"/>
  <c r="J43" i="6"/>
  <c r="I44" i="6"/>
  <c r="H11" i="6" s="1"/>
  <c r="U29" i="4" s="1"/>
  <c r="W135" i="15" s="1"/>
  <c r="W126" i="15" s="1"/>
  <c r="V33" i="12"/>
  <c r="W63" i="12"/>
  <c r="V32" i="12"/>
  <c r="Y34" i="12"/>
  <c r="N219" i="12"/>
  <c r="N220" i="12" s="1"/>
  <c r="N221" i="12" s="1"/>
  <c r="T34" i="12"/>
  <c r="X48" i="12"/>
  <c r="U34" i="12"/>
  <c r="T32" i="12"/>
  <c r="X63" i="12"/>
  <c r="V47" i="12"/>
  <c r="Y48" i="12"/>
  <c r="W34" i="12"/>
  <c r="T64" i="12"/>
  <c r="W62" i="12"/>
  <c r="T47" i="12"/>
  <c r="AA69" i="11"/>
  <c r="AA68" i="11"/>
  <c r="I21" i="12"/>
  <c r="D21" i="12" s="1"/>
  <c r="C21" i="12"/>
  <c r="C435" i="14"/>
  <c r="J435" i="14"/>
  <c r="P10" i="1" l="1"/>
  <c r="V74" i="1"/>
  <c r="U42" i="1"/>
  <c r="U45" i="1"/>
  <c r="Q19" i="1"/>
  <c r="T24" i="1"/>
  <c r="V56" i="1"/>
  <c r="Q76" i="1"/>
  <c r="R37" i="1"/>
  <c r="V10" i="1"/>
  <c r="Q15" i="1"/>
  <c r="P57" i="1"/>
  <c r="T19" i="1"/>
  <c r="S30" i="1"/>
  <c r="S46" i="1"/>
  <c r="R8" i="1"/>
  <c r="U26" i="1"/>
  <c r="S57" i="1"/>
  <c r="O8" i="1"/>
  <c r="Q12" i="1"/>
  <c r="T25" i="1"/>
  <c r="P43" i="1"/>
  <c r="S68" i="1"/>
  <c r="V58" i="1"/>
  <c r="U24" i="1"/>
  <c r="T54" i="1"/>
  <c r="O66" i="1"/>
  <c r="O56" i="1"/>
  <c r="U61" i="1"/>
  <c r="R15" i="1"/>
  <c r="Q46" i="1"/>
  <c r="T50" i="1"/>
  <c r="R9" i="1"/>
  <c r="T67" i="1"/>
  <c r="R22" i="1"/>
  <c r="Q51" i="1"/>
  <c r="T55" i="1"/>
  <c r="U54" i="1"/>
  <c r="P11" i="1"/>
  <c r="S75" i="1"/>
  <c r="V43" i="1"/>
  <c r="S19" i="1"/>
  <c r="U22" i="1"/>
  <c r="T51" i="1"/>
  <c r="U74" i="1"/>
  <c r="O25" i="1"/>
  <c r="R11" i="1"/>
  <c r="T14" i="1"/>
  <c r="P52" i="1"/>
  <c r="O61" i="1"/>
  <c r="V19" i="1"/>
  <c r="V40" i="1"/>
  <c r="O15" i="1"/>
  <c r="P14" i="1"/>
  <c r="R42" i="1"/>
  <c r="Q26" i="1"/>
  <c r="P75" i="1"/>
  <c r="V51" i="1"/>
  <c r="R39" i="1"/>
  <c r="O17" i="1"/>
  <c r="R76" i="1"/>
  <c r="S11" i="1"/>
  <c r="O16" i="1"/>
  <c r="T37" i="1"/>
  <c r="R57" i="1"/>
  <c r="S16" i="1"/>
  <c r="P56" i="1"/>
  <c r="O33" i="1"/>
  <c r="R73" i="1"/>
  <c r="O24" i="1"/>
  <c r="P66" i="1"/>
  <c r="O68" i="1"/>
  <c r="S67" i="1"/>
  <c r="V39" i="1"/>
  <c r="Q22" i="1"/>
  <c r="O30" i="1"/>
  <c r="R17" i="1"/>
  <c r="Q49" i="1"/>
  <c r="T52" i="1"/>
  <c r="U58" i="1"/>
  <c r="S42" i="1"/>
  <c r="Q68" i="1"/>
  <c r="S48" i="1"/>
  <c r="T70" i="1"/>
  <c r="V69" i="1"/>
  <c r="O64" i="1"/>
  <c r="Q60" i="1"/>
  <c r="S58" i="1"/>
  <c r="V72" i="1"/>
  <c r="S29" i="1"/>
  <c r="V26" i="1"/>
  <c r="Q32" i="1"/>
  <c r="O75" i="1"/>
  <c r="P44" i="1"/>
  <c r="T16" i="1"/>
  <c r="S40" i="1"/>
  <c r="S36" i="1"/>
  <c r="U52" i="1"/>
  <c r="P49" i="1"/>
  <c r="T23" i="1"/>
  <c r="T29" i="1"/>
  <c r="S56" i="1"/>
  <c r="V61" i="1"/>
  <c r="U40" i="1"/>
  <c r="Q14" i="1"/>
  <c r="T17" i="1"/>
  <c r="R63" i="1"/>
  <c r="U29" i="1"/>
  <c r="V24" i="1"/>
  <c r="Q30" i="1"/>
  <c r="Q75" i="1"/>
  <c r="S10" i="1"/>
  <c r="S25" i="1"/>
  <c r="V9" i="1"/>
  <c r="P61" i="1"/>
  <c r="O9" i="1"/>
  <c r="O58" i="1"/>
  <c r="O39" i="1"/>
  <c r="Q31" i="1"/>
  <c r="R48" i="1"/>
  <c r="T31" i="1"/>
  <c r="O44" i="1"/>
  <c r="R12" i="1"/>
  <c r="U69" i="1"/>
  <c r="Q11" i="1"/>
  <c r="V67" i="1"/>
  <c r="O29" i="1"/>
  <c r="U57" i="1"/>
  <c r="R44" i="1"/>
  <c r="U67" i="1"/>
  <c r="S43" i="1"/>
  <c r="O62" i="1"/>
  <c r="T8" i="1"/>
  <c r="V45" i="1"/>
  <c r="Q44" i="1"/>
  <c r="T15" i="1"/>
  <c r="O37" i="1"/>
  <c r="U16" i="1"/>
  <c r="R43" i="1"/>
  <c r="P33" i="1"/>
  <c r="U43" i="1"/>
  <c r="Q17" i="1"/>
  <c r="O57" i="1"/>
  <c r="V31" i="1"/>
  <c r="V29" i="1"/>
  <c r="P50" i="1"/>
  <c r="R16" i="1"/>
  <c r="O74" i="1"/>
  <c r="P26" i="1"/>
  <c r="P30" i="1"/>
  <c r="P55" i="1"/>
  <c r="O51" i="1"/>
  <c r="P58" i="1"/>
  <c r="T33" i="1"/>
  <c r="U76" i="1"/>
  <c r="S8" i="1"/>
  <c r="R49" i="1"/>
  <c r="U50" i="1"/>
  <c r="Q25" i="1"/>
  <c r="T30" i="1"/>
  <c r="R50" i="1"/>
  <c r="P73" i="1"/>
  <c r="V35" i="1"/>
  <c r="Q40" i="1"/>
  <c r="S31" i="1"/>
  <c r="S62" i="1"/>
  <c r="S12" i="1"/>
  <c r="Q45" i="1"/>
  <c r="R35" i="1"/>
  <c r="P51" i="1"/>
  <c r="O42" i="1"/>
  <c r="Q29" i="1"/>
  <c r="Q48" i="1"/>
  <c r="P39" i="1"/>
  <c r="T11" i="1"/>
  <c r="S60" i="1"/>
  <c r="S14" i="1"/>
  <c r="S32" i="1"/>
  <c r="U30" i="1"/>
  <c r="T58" i="1"/>
  <c r="O23" i="1"/>
  <c r="S24" i="1"/>
  <c r="R40" i="1"/>
  <c r="U35" i="1"/>
  <c r="Q9" i="1"/>
  <c r="T12" i="1"/>
  <c r="S52" i="1"/>
  <c r="P29" i="1"/>
  <c r="R26" i="1"/>
  <c r="Q56" i="1"/>
  <c r="T60" i="1"/>
  <c r="U44" i="1"/>
  <c r="P9" i="1"/>
  <c r="U64" i="1"/>
  <c r="O48" i="1"/>
  <c r="S17" i="1"/>
  <c r="P42" i="1"/>
  <c r="O55" i="1"/>
  <c r="P72" i="1"/>
  <c r="T75" i="1"/>
  <c r="T73" i="1"/>
  <c r="U39" i="1"/>
  <c r="P67" i="1"/>
  <c r="Q61" i="1"/>
  <c r="R72" i="1"/>
  <c r="T61" i="1"/>
  <c r="T56" i="1"/>
  <c r="R29" i="1"/>
  <c r="R10" i="1"/>
  <c r="R69" i="1"/>
  <c r="Q74" i="1"/>
  <c r="Q43" i="1"/>
  <c r="U73" i="1"/>
  <c r="T43" i="1"/>
  <c r="O14" i="1"/>
  <c r="V25" i="1"/>
  <c r="V22" i="1"/>
  <c r="U33" i="1"/>
  <c r="Q69" i="1"/>
  <c r="R74" i="1"/>
  <c r="Q33" i="1"/>
  <c r="O67" i="1"/>
  <c r="P45" i="1"/>
  <c r="S51" i="1"/>
  <c r="V8" i="1"/>
  <c r="P36" i="1"/>
  <c r="O54" i="1"/>
  <c r="V12" i="1"/>
  <c r="R33" i="1"/>
  <c r="O69" i="1"/>
  <c r="U49" i="1"/>
  <c r="R54" i="1"/>
  <c r="R45" i="1"/>
  <c r="S44" i="1"/>
  <c r="O10" i="1"/>
  <c r="Q57" i="1"/>
  <c r="V57" i="1"/>
  <c r="Q16" i="1"/>
  <c r="R14" i="1"/>
  <c r="R58" i="1"/>
  <c r="Q55" i="1"/>
  <c r="P64" i="1"/>
  <c r="R68" i="1"/>
  <c r="U10" i="1"/>
  <c r="P24" i="1"/>
  <c r="O50" i="1"/>
  <c r="T40" i="1"/>
  <c r="V55" i="1"/>
  <c r="T63" i="1"/>
  <c r="P76" i="1"/>
  <c r="Q63" i="1"/>
  <c r="R23" i="1"/>
  <c r="T26" i="1"/>
  <c r="P40" i="1"/>
  <c r="V75" i="1"/>
  <c r="S35" i="1"/>
  <c r="T68" i="1"/>
  <c r="U31" i="1"/>
  <c r="Q73" i="1"/>
  <c r="S37" i="1"/>
  <c r="P19" i="1"/>
  <c r="V32" i="1"/>
  <c r="P54" i="1"/>
  <c r="P69" i="1"/>
  <c r="T48" i="1"/>
  <c r="T74" i="1"/>
  <c r="O26" i="1"/>
  <c r="U11" i="1"/>
  <c r="Q24" i="1"/>
  <c r="R75" i="1"/>
  <c r="V50" i="1"/>
  <c r="S49" i="1"/>
  <c r="U60" i="1"/>
  <c r="T69" i="1"/>
  <c r="V66" i="1"/>
  <c r="O46" i="1"/>
  <c r="P46" i="1"/>
  <c r="Q10" i="1"/>
  <c r="V52" i="1"/>
  <c r="T10" i="1"/>
  <c r="Q70" i="1"/>
  <c r="O49" i="1"/>
  <c r="Q42" i="1"/>
  <c r="Q72" i="1"/>
  <c r="R64" i="1"/>
  <c r="S61" i="1"/>
  <c r="O11" i="1"/>
  <c r="R25" i="1"/>
  <c r="R70" i="1"/>
  <c r="U55" i="1"/>
  <c r="P15" i="1"/>
  <c r="S63" i="1"/>
  <c r="R66" i="1"/>
  <c r="R55" i="1"/>
  <c r="R36" i="1"/>
  <c r="V11" i="1"/>
  <c r="R67" i="1"/>
  <c r="P62" i="1"/>
  <c r="O12" i="1"/>
  <c r="O76" i="1"/>
  <c r="V62" i="1"/>
  <c r="S74" i="1"/>
  <c r="U75" i="1"/>
  <c r="P74" i="1"/>
  <c r="P8" i="1"/>
  <c r="S23" i="1"/>
  <c r="V17" i="1"/>
  <c r="V36" i="1"/>
  <c r="V44" i="1"/>
  <c r="Q64" i="1"/>
  <c r="U8" i="1"/>
  <c r="T22" i="1"/>
  <c r="P60" i="1"/>
  <c r="S66" i="1"/>
  <c r="P31" i="1"/>
  <c r="V14" i="1"/>
  <c r="O63" i="1"/>
  <c r="O32" i="1"/>
  <c r="U12" i="1"/>
  <c r="R28" i="1"/>
  <c r="R31" i="1"/>
  <c r="T32" i="1"/>
  <c r="P22" i="1"/>
  <c r="O36" i="1"/>
  <c r="S70" i="1"/>
  <c r="V46" i="1"/>
  <c r="V64" i="1"/>
  <c r="P70" i="1"/>
  <c r="O60" i="1"/>
  <c r="Q50" i="1"/>
  <c r="R56" i="1"/>
  <c r="S26" i="1"/>
  <c r="S33" i="1"/>
  <c r="U70" i="1"/>
  <c r="T45" i="1"/>
  <c r="U72" i="1"/>
  <c r="T76" i="1"/>
  <c r="Q58" i="1"/>
  <c r="R61" i="1"/>
  <c r="U17" i="1"/>
  <c r="U66" i="1"/>
  <c r="O40" i="1"/>
  <c r="P68" i="1"/>
  <c r="V70" i="1"/>
  <c r="T49" i="1"/>
  <c r="T36" i="1"/>
  <c r="O73" i="1"/>
  <c r="P35" i="1"/>
  <c r="S73" i="1"/>
  <c r="P17" i="1"/>
  <c r="P32" i="1"/>
  <c r="S45" i="1"/>
  <c r="S64" i="1"/>
  <c r="R32" i="1"/>
  <c r="P23" i="1"/>
  <c r="U32" i="1"/>
  <c r="U46" i="1"/>
  <c r="U25" i="1"/>
  <c r="Q66" i="1"/>
  <c r="R19" i="1"/>
  <c r="Q37" i="1"/>
  <c r="V37" i="1"/>
  <c r="T28" i="1"/>
  <c r="Q39" i="1"/>
  <c r="S50" i="1"/>
  <c r="T72" i="1"/>
  <c r="O72" i="1"/>
  <c r="T62" i="1"/>
  <c r="R51" i="1"/>
  <c r="U36" i="1"/>
  <c r="T66" i="1"/>
  <c r="U14" i="1"/>
  <c r="V49" i="1"/>
  <c r="R30" i="1"/>
  <c r="O70" i="1"/>
  <c r="V63" i="1"/>
  <c r="P37" i="1"/>
  <c r="T42" i="1"/>
  <c r="P48" i="1"/>
  <c r="U51" i="1"/>
  <c r="Q54" i="1"/>
  <c r="Q23" i="1"/>
  <c r="V68" i="1"/>
  <c r="U56" i="1"/>
  <c r="S69" i="1"/>
  <c r="S39" i="1"/>
  <c r="P28" i="1"/>
  <c r="T64" i="1"/>
  <c r="V54" i="1"/>
  <c r="U37" i="1"/>
  <c r="U28" i="1"/>
  <c r="O45" i="1"/>
  <c r="O31" i="1"/>
  <c r="Q62" i="1"/>
  <c r="V33" i="1"/>
  <c r="S72" i="1"/>
  <c r="Q36" i="1"/>
  <c r="Q28" i="1"/>
  <c r="R46" i="1"/>
  <c r="V30" i="1"/>
  <c r="Q67" i="1"/>
  <c r="T57" i="1"/>
  <c r="U48" i="1"/>
  <c r="S22" i="1"/>
  <c r="T46" i="1"/>
  <c r="T9" i="1"/>
  <c r="U68" i="1"/>
  <c r="U9" i="1"/>
  <c r="Q52" i="1"/>
  <c r="U23" i="1"/>
  <c r="U62" i="1"/>
  <c r="T35" i="1"/>
  <c r="U63" i="1"/>
  <c r="V73" i="1"/>
  <c r="S9" i="1"/>
  <c r="V15" i="1"/>
  <c r="Q35" i="1"/>
  <c r="V42" i="1"/>
  <c r="P25" i="1"/>
  <c r="R60" i="1"/>
  <c r="V60" i="1"/>
  <c r="T44" i="1"/>
  <c r="S54" i="1"/>
  <c r="R24" i="1"/>
  <c r="U15" i="1"/>
  <c r="O43" i="1"/>
  <c r="O28" i="1"/>
  <c r="S76" i="1"/>
  <c r="P16" i="1"/>
  <c r="O35" i="1"/>
  <c r="S55" i="1"/>
  <c r="G114" i="14"/>
  <c r="D114" i="14"/>
  <c r="J115" i="14"/>
  <c r="C115" i="14"/>
  <c r="H117" i="14"/>
  <c r="B116" i="14"/>
  <c r="I116" i="14"/>
  <c r="W175" i="14"/>
  <c r="W178" i="14"/>
  <c r="Z70" i="14"/>
  <c r="J57" i="14"/>
  <c r="G57" i="14" s="1"/>
  <c r="AA174" i="14"/>
  <c r="Y92" i="14"/>
  <c r="AB74" i="14"/>
  <c r="G113" i="14"/>
  <c r="D113" i="14"/>
  <c r="B58" i="14"/>
  <c r="H59" i="14"/>
  <c r="I58" i="14"/>
  <c r="C58" i="14" s="1"/>
  <c r="AD68" i="14"/>
  <c r="AA68" i="14"/>
  <c r="Z72" i="14"/>
  <c r="AE68" i="14"/>
  <c r="X72" i="14"/>
  <c r="Y70" i="14"/>
  <c r="Z68" i="14"/>
  <c r="X68" i="14"/>
  <c r="AB68" i="14"/>
  <c r="AC68" i="14"/>
  <c r="AB72" i="14"/>
  <c r="AA72" i="14"/>
  <c r="I21" i="14"/>
  <c r="B21" i="14"/>
  <c r="G19" i="14"/>
  <c r="D19" i="14"/>
  <c r="J20" i="14"/>
  <c r="C20" i="14"/>
  <c r="AB90" i="14"/>
  <c r="W181" i="14"/>
  <c r="AA90" i="14"/>
  <c r="AE174" i="14"/>
  <c r="Z174" i="14"/>
  <c r="AD72" i="14"/>
  <c r="AB174" i="14"/>
  <c r="X174" i="14"/>
  <c r="AD74" i="14"/>
  <c r="AC74" i="14"/>
  <c r="AE74" i="14"/>
  <c r="Y74" i="14"/>
  <c r="X74" i="14"/>
  <c r="AA74" i="14"/>
  <c r="AD174" i="14"/>
  <c r="Y174" i="14"/>
  <c r="W133" i="14"/>
  <c r="AB96" i="14"/>
  <c r="AC96" i="14"/>
  <c r="AA96" i="14"/>
  <c r="X96" i="14"/>
  <c r="Z96" i="14"/>
  <c r="AD96" i="14"/>
  <c r="Y96" i="14"/>
  <c r="AE96" i="14"/>
  <c r="AE90" i="14"/>
  <c r="X90" i="14"/>
  <c r="Z90" i="14"/>
  <c r="Y90" i="14"/>
  <c r="AD90" i="14"/>
  <c r="AC94" i="14"/>
  <c r="Z94" i="14"/>
  <c r="AE94" i="14"/>
  <c r="X94" i="14"/>
  <c r="AA94" i="14"/>
  <c r="AD94" i="14"/>
  <c r="AB94" i="14"/>
  <c r="Y94" i="14"/>
  <c r="AC174" i="14"/>
  <c r="Y72" i="14"/>
  <c r="AC72" i="14"/>
  <c r="B148" i="12"/>
  <c r="G149" i="12"/>
  <c r="G297" i="16"/>
  <c r="C297" i="16" s="1"/>
  <c r="D297" i="16" s="1"/>
  <c r="B297" i="16"/>
  <c r="E299" i="16"/>
  <c r="A298" i="16"/>
  <c r="F298" i="16"/>
  <c r="U56" i="3"/>
  <c r="T55" i="3"/>
  <c r="H32" i="3"/>
  <c r="J32" i="3"/>
  <c r="J26" i="3"/>
  <c r="E32" i="3"/>
  <c r="C32" i="3"/>
  <c r="D32" i="3"/>
  <c r="I32" i="3"/>
  <c r="E26" i="3"/>
  <c r="I26" i="3"/>
  <c r="F32" i="3"/>
  <c r="F26" i="3"/>
  <c r="U74" i="3"/>
  <c r="T73" i="3"/>
  <c r="G32" i="3"/>
  <c r="C26" i="3"/>
  <c r="R55" i="3"/>
  <c r="P55" i="3"/>
  <c r="O55" i="3"/>
  <c r="N55" i="3"/>
  <c r="M55" i="3"/>
  <c r="L55" i="3"/>
  <c r="Q55" i="3"/>
  <c r="K55" i="3"/>
  <c r="AG47" i="3"/>
  <c r="F16" i="15"/>
  <c r="Y52" i="11"/>
  <c r="Y53" i="11"/>
  <c r="Y51" i="11"/>
  <c r="Y47" i="11"/>
  <c r="Y48" i="11"/>
  <c r="Y50" i="11"/>
  <c r="Y54" i="11"/>
  <c r="Y49" i="11"/>
  <c r="Y45" i="11"/>
  <c r="AI57" i="11"/>
  <c r="Y46" i="11"/>
  <c r="C161" i="15"/>
  <c r="G162" i="15"/>
  <c r="H162" i="15" s="1"/>
  <c r="D162" i="15" s="1"/>
  <c r="C16" i="11"/>
  <c r="K16" i="11" s="1"/>
  <c r="E16" i="11" s="1"/>
  <c r="J16" i="11"/>
  <c r="D16" i="11" s="1"/>
  <c r="F16" i="11" s="1"/>
  <c r="B17" i="11"/>
  <c r="H18" i="11"/>
  <c r="I17" i="11"/>
  <c r="AA153" i="11"/>
  <c r="AA154" i="11"/>
  <c r="Q100" i="11"/>
  <c r="R101" i="11"/>
  <c r="A239" i="10"/>
  <c r="K238" i="10"/>
  <c r="I381" i="14"/>
  <c r="H382" i="14"/>
  <c r="B381" i="14"/>
  <c r="T43" i="4"/>
  <c r="H8" i="7"/>
  <c r="J21" i="12"/>
  <c r="F21" i="12" s="1"/>
  <c r="N222" i="12"/>
  <c r="X154" i="12"/>
  <c r="X93" i="12" s="1"/>
  <c r="T154" i="12"/>
  <c r="T93" i="12" s="1"/>
  <c r="P154" i="12"/>
  <c r="P93" i="12" s="1"/>
  <c r="Y153" i="12"/>
  <c r="Y92" i="12" s="1"/>
  <c r="U153" i="12"/>
  <c r="U92" i="12" s="1"/>
  <c r="Q153" i="12"/>
  <c r="Q92" i="12" s="1"/>
  <c r="Z152" i="12"/>
  <c r="Z109" i="12" s="1"/>
  <c r="V152" i="12"/>
  <c r="V109" i="12" s="1"/>
  <c r="R152" i="12"/>
  <c r="R109" i="12" s="1"/>
  <c r="W151" i="12"/>
  <c r="W108" i="12" s="1"/>
  <c r="S151" i="12"/>
  <c r="S108" i="12" s="1"/>
  <c r="X150" i="12"/>
  <c r="X107" i="12" s="1"/>
  <c r="T150" i="12"/>
  <c r="T107" i="12" s="1"/>
  <c r="P150" i="12"/>
  <c r="P107" i="12" s="1"/>
  <c r="Y149" i="12"/>
  <c r="Y79" i="12" s="1"/>
  <c r="U149" i="12"/>
  <c r="U79" i="12" s="1"/>
  <c r="Q149" i="12"/>
  <c r="Q79" i="12" s="1"/>
  <c r="Z148" i="12"/>
  <c r="Z78" i="12" s="1"/>
  <c r="V148" i="12"/>
  <c r="V78" i="12" s="1"/>
  <c r="R148" i="12"/>
  <c r="R78" i="12" s="1"/>
  <c r="W147" i="12"/>
  <c r="W77" i="12" s="1"/>
  <c r="S147" i="12"/>
  <c r="S77" i="12" s="1"/>
  <c r="W154" i="12"/>
  <c r="W93" i="12" s="1"/>
  <c r="S154" i="12"/>
  <c r="S93" i="12" s="1"/>
  <c r="X153" i="12"/>
  <c r="X92" i="12" s="1"/>
  <c r="T153" i="12"/>
  <c r="T92" i="12" s="1"/>
  <c r="P153" i="12"/>
  <c r="P92" i="12" s="1"/>
  <c r="Y152" i="12"/>
  <c r="Y109" i="12" s="1"/>
  <c r="U152" i="12"/>
  <c r="U109" i="12" s="1"/>
  <c r="Q152" i="12"/>
  <c r="Q109" i="12" s="1"/>
  <c r="Z151" i="12"/>
  <c r="Z108" i="12" s="1"/>
  <c r="Z57" i="12" s="1"/>
  <c r="V151" i="12"/>
  <c r="V108" i="12" s="1"/>
  <c r="R151" i="12"/>
  <c r="R108" i="12" s="1"/>
  <c r="W150" i="12"/>
  <c r="W107" i="12" s="1"/>
  <c r="S150" i="12"/>
  <c r="S107" i="12" s="1"/>
  <c r="X149" i="12"/>
  <c r="X79" i="12" s="1"/>
  <c r="T149" i="12"/>
  <c r="T79" i="12" s="1"/>
  <c r="P149" i="12"/>
  <c r="P79" i="12" s="1"/>
  <c r="Y148" i="12"/>
  <c r="Y78" i="12" s="1"/>
  <c r="U148" i="12"/>
  <c r="U78" i="12" s="1"/>
  <c r="Q148" i="12"/>
  <c r="Q78" i="12" s="1"/>
  <c r="Z147" i="12"/>
  <c r="Z77" i="12" s="1"/>
  <c r="Z26" i="12" s="1"/>
  <c r="V147" i="12"/>
  <c r="V77" i="12" s="1"/>
  <c r="R147" i="12"/>
  <c r="R77" i="12" s="1"/>
  <c r="Z154" i="12"/>
  <c r="Z93" i="12" s="1"/>
  <c r="V154" i="12"/>
  <c r="V93" i="12" s="1"/>
  <c r="R154" i="12"/>
  <c r="R93" i="12" s="1"/>
  <c r="W153" i="12"/>
  <c r="W92" i="12" s="1"/>
  <c r="S153" i="12"/>
  <c r="S92" i="12" s="1"/>
  <c r="X152" i="12"/>
  <c r="X109" i="12" s="1"/>
  <c r="T152" i="12"/>
  <c r="T109" i="12" s="1"/>
  <c r="P152" i="12"/>
  <c r="P109" i="12" s="1"/>
  <c r="Y151" i="12"/>
  <c r="Y108" i="12" s="1"/>
  <c r="U151" i="12"/>
  <c r="U108" i="12" s="1"/>
  <c r="Q151" i="12"/>
  <c r="Q108" i="12" s="1"/>
  <c r="Z150" i="12"/>
  <c r="Z107" i="12" s="1"/>
  <c r="V150" i="12"/>
  <c r="V107" i="12" s="1"/>
  <c r="R150" i="12"/>
  <c r="R107" i="12" s="1"/>
  <c r="W149" i="12"/>
  <c r="W79" i="12" s="1"/>
  <c r="S149" i="12"/>
  <c r="S79" i="12" s="1"/>
  <c r="X148" i="12"/>
  <c r="X78" i="12" s="1"/>
  <c r="T148" i="12"/>
  <c r="T78" i="12" s="1"/>
  <c r="P148" i="12"/>
  <c r="P78" i="12" s="1"/>
  <c r="Y147" i="12"/>
  <c r="Y77" i="12" s="1"/>
  <c r="U147" i="12"/>
  <c r="U77" i="12" s="1"/>
  <c r="Q147" i="12"/>
  <c r="Q77" i="12" s="1"/>
  <c r="Y154" i="12"/>
  <c r="Y93" i="12" s="1"/>
  <c r="U154" i="12"/>
  <c r="U93" i="12" s="1"/>
  <c r="Q154" i="12"/>
  <c r="Q93" i="12" s="1"/>
  <c r="Z153" i="12"/>
  <c r="Z92" i="12" s="1"/>
  <c r="V153" i="12"/>
  <c r="V92" i="12" s="1"/>
  <c r="R153" i="12"/>
  <c r="R92" i="12" s="1"/>
  <c r="W152" i="12"/>
  <c r="W109" i="12" s="1"/>
  <c r="S152" i="12"/>
  <c r="S109" i="12" s="1"/>
  <c r="X151" i="12"/>
  <c r="X108" i="12" s="1"/>
  <c r="X57" i="12" s="1"/>
  <c r="T151" i="12"/>
  <c r="T108" i="12" s="1"/>
  <c r="P151" i="12"/>
  <c r="P108" i="12" s="1"/>
  <c r="Y150" i="12"/>
  <c r="Y107" i="12" s="1"/>
  <c r="U150" i="12"/>
  <c r="U107" i="12" s="1"/>
  <c r="Q150" i="12"/>
  <c r="Q107" i="12" s="1"/>
  <c r="Z149" i="12"/>
  <c r="Z79" i="12" s="1"/>
  <c r="V149" i="12"/>
  <c r="V79" i="12" s="1"/>
  <c r="R149" i="12"/>
  <c r="R79" i="12" s="1"/>
  <c r="W148" i="12"/>
  <c r="W78" i="12" s="1"/>
  <c r="S148" i="12"/>
  <c r="S78" i="12" s="1"/>
  <c r="X147" i="12"/>
  <c r="X77" i="12" s="1"/>
  <c r="X26" i="12" s="1"/>
  <c r="T147" i="12"/>
  <c r="T77" i="12" s="1"/>
  <c r="T26" i="12" s="1"/>
  <c r="P147" i="12"/>
  <c r="P77" i="12" s="1"/>
  <c r="AB154" i="11"/>
  <c r="AB153" i="11"/>
  <c r="R49" i="11"/>
  <c r="Q48" i="11"/>
  <c r="H52" i="15"/>
  <c r="D52" i="15" s="1"/>
  <c r="C52" i="15"/>
  <c r="A182" i="10"/>
  <c r="K181" i="10"/>
  <c r="P107" i="10"/>
  <c r="Q65" i="11"/>
  <c r="R66" i="11"/>
  <c r="F17" i="15"/>
  <c r="G16" i="15"/>
  <c r="B16" i="15"/>
  <c r="Q118" i="11"/>
  <c r="R119" i="11"/>
  <c r="C416" i="14"/>
  <c r="J416" i="14"/>
  <c r="U99" i="15"/>
  <c r="U90" i="15" s="1"/>
  <c r="U93" i="15" s="1"/>
  <c r="Z93" i="14"/>
  <c r="Z92" i="14" s="1"/>
  <c r="AA120" i="11"/>
  <c r="AA119" i="11"/>
  <c r="B119" i="4"/>
  <c r="H120" i="4"/>
  <c r="I119" i="4"/>
  <c r="A228" i="10"/>
  <c r="K227" i="10"/>
  <c r="F434" i="14"/>
  <c r="L434" i="14"/>
  <c r="A195" i="10"/>
  <c r="K194" i="10"/>
  <c r="K10" i="7"/>
  <c r="X44" i="4" s="1"/>
  <c r="Z165" i="15" s="1"/>
  <c r="Z156" i="15" s="1"/>
  <c r="L37" i="7"/>
  <c r="K11" i="7" s="1"/>
  <c r="X45" i="4" s="1"/>
  <c r="Z169" i="15" s="1"/>
  <c r="Z160" i="15" s="1"/>
  <c r="G53" i="15"/>
  <c r="F54" i="15"/>
  <c r="B53" i="15"/>
  <c r="AB86" i="11"/>
  <c r="AB85" i="11"/>
  <c r="S321" i="14"/>
  <c r="C136" i="14"/>
  <c r="J136" i="14"/>
  <c r="I16" i="4"/>
  <c r="H17" i="4"/>
  <c r="B16" i="4"/>
  <c r="A206" i="10"/>
  <c r="K205" i="10"/>
  <c r="U15" i="4"/>
  <c r="I13" i="5"/>
  <c r="D435" i="14"/>
  <c r="K435" i="14"/>
  <c r="G435" i="14"/>
  <c r="W164" i="12"/>
  <c r="W96" i="12" s="1"/>
  <c r="R163" i="12"/>
  <c r="R95" i="12" s="1"/>
  <c r="X157" i="12"/>
  <c r="X80" i="12" s="1"/>
  <c r="Z163" i="12"/>
  <c r="Z95" i="12" s="1"/>
  <c r="P162" i="12"/>
  <c r="P112" i="12" s="1"/>
  <c r="S160" i="12"/>
  <c r="S110" i="12" s="1"/>
  <c r="Z158" i="12"/>
  <c r="Z81" i="12" s="1"/>
  <c r="Q164" i="12"/>
  <c r="Q96" i="12" s="1"/>
  <c r="I10" i="6"/>
  <c r="V28" i="4" s="1"/>
  <c r="X131" i="15" s="1"/>
  <c r="X122" i="15" s="1"/>
  <c r="K43" i="6"/>
  <c r="J44" i="6"/>
  <c r="I11" i="6" s="1"/>
  <c r="V29" i="4" s="1"/>
  <c r="X135" i="15" s="1"/>
  <c r="X126" i="15" s="1"/>
  <c r="Q84" i="11"/>
  <c r="R85" i="11"/>
  <c r="S336" i="14"/>
  <c r="D14" i="4"/>
  <c r="F14" i="4" s="1"/>
  <c r="K14" i="4"/>
  <c r="E14" i="4" s="1"/>
  <c r="G135" i="14"/>
  <c r="D135" i="14"/>
  <c r="R152" i="11"/>
  <c r="Q151" i="11"/>
  <c r="Q33" i="11"/>
  <c r="R34" i="11"/>
  <c r="T11" i="4"/>
  <c r="H8" i="5"/>
  <c r="C15" i="4"/>
  <c r="J15" i="4"/>
  <c r="S345" i="14"/>
  <c r="I417" i="14"/>
  <c r="H418" i="14"/>
  <c r="B417" i="14"/>
  <c r="AB103" i="11"/>
  <c r="AB102" i="11"/>
  <c r="F164" i="15"/>
  <c r="G163" i="15"/>
  <c r="B163" i="15"/>
  <c r="C436" i="14"/>
  <c r="J436" i="14"/>
  <c r="B23" i="12"/>
  <c r="G24" i="12"/>
  <c r="H23" i="12"/>
  <c r="J380" i="14"/>
  <c r="C380" i="14"/>
  <c r="AA137" i="11"/>
  <c r="AA136" i="11"/>
  <c r="V100" i="15"/>
  <c r="V91" i="15" s="1"/>
  <c r="AA71" i="14"/>
  <c r="AA70" i="14" s="1"/>
  <c r="G14" i="16"/>
  <c r="C14" i="16" s="1"/>
  <c r="D14" i="16" s="1"/>
  <c r="B14" i="16"/>
  <c r="L41" i="5"/>
  <c r="K18" i="5" s="1"/>
  <c r="X20" i="4" s="1"/>
  <c r="L40" i="5"/>
  <c r="K4" i="5" s="1"/>
  <c r="X8" i="4" s="1"/>
  <c r="V161" i="15"/>
  <c r="V162" i="15" s="1"/>
  <c r="W154" i="15"/>
  <c r="T158" i="12"/>
  <c r="T81" i="12" s="1"/>
  <c r="V159" i="12"/>
  <c r="V82" i="12" s="1"/>
  <c r="Y157" i="12"/>
  <c r="Y80" i="12" s="1"/>
  <c r="W163" i="12"/>
  <c r="W95" i="12" s="1"/>
  <c r="Z161" i="12"/>
  <c r="Z111" i="12" s="1"/>
  <c r="P160" i="12"/>
  <c r="P110" i="12" s="1"/>
  <c r="V164" i="12"/>
  <c r="V96" i="12" s="1"/>
  <c r="K117" i="4"/>
  <c r="D117" i="4" s="1"/>
  <c r="E117" i="4"/>
  <c r="F117" i="4" s="1"/>
  <c r="U195" i="15"/>
  <c r="U196" i="15" s="1"/>
  <c r="V188" i="15"/>
  <c r="E16" i="16"/>
  <c r="F15" i="16"/>
  <c r="A15" i="16"/>
  <c r="H15" i="15"/>
  <c r="D15" i="15" s="1"/>
  <c r="C15" i="15"/>
  <c r="D379" i="14"/>
  <c r="G379" i="14"/>
  <c r="H138" i="14"/>
  <c r="B137" i="14"/>
  <c r="I137" i="14"/>
  <c r="AA86" i="11"/>
  <c r="AA85" i="11"/>
  <c r="AB68" i="11"/>
  <c r="AB69" i="11"/>
  <c r="AB120" i="11"/>
  <c r="AB119" i="11"/>
  <c r="U127" i="15"/>
  <c r="U128" i="15" s="1"/>
  <c r="V120" i="15"/>
  <c r="S328" i="14"/>
  <c r="E19" i="13"/>
  <c r="F18" i="13"/>
  <c r="C18" i="13" s="1"/>
  <c r="B18" i="13"/>
  <c r="T16" i="4"/>
  <c r="H14" i="5"/>
  <c r="A217" i="10"/>
  <c r="K216" i="10"/>
  <c r="C162" i="15"/>
  <c r="B437" i="14"/>
  <c r="H438" i="14"/>
  <c r="I437" i="14"/>
  <c r="C22" i="12"/>
  <c r="I22" i="12"/>
  <c r="D22" i="12" s="1"/>
  <c r="Q134" i="11"/>
  <c r="R135" i="11"/>
  <c r="C118" i="4"/>
  <c r="J118" i="4"/>
  <c r="K415" i="14"/>
  <c r="G415" i="14" s="1"/>
  <c r="D415" i="14"/>
  <c r="Z37" i="11"/>
  <c r="Z29" i="11"/>
  <c r="AJ40" i="11"/>
  <c r="Z34" i="11"/>
  <c r="Z30" i="11"/>
  <c r="Z36" i="11"/>
  <c r="Z35" i="11"/>
  <c r="Z31" i="11"/>
  <c r="Z32" i="11"/>
  <c r="Z28" i="11"/>
  <c r="Z33" i="11"/>
  <c r="N415" i="14" l="1"/>
  <c r="E415" i="14" s="1"/>
  <c r="D57" i="14"/>
  <c r="G115" i="14"/>
  <c r="D115" i="14"/>
  <c r="C116" i="14"/>
  <c r="J116" i="14"/>
  <c r="B117" i="14"/>
  <c r="I117" i="14"/>
  <c r="H118" i="14"/>
  <c r="J58" i="14"/>
  <c r="D58" i="14" s="1"/>
  <c r="I59" i="14"/>
  <c r="C59" i="14" s="1"/>
  <c r="B59" i="14"/>
  <c r="H60" i="14"/>
  <c r="G20" i="14"/>
  <c r="D20" i="14"/>
  <c r="I22" i="14"/>
  <c r="B22" i="14"/>
  <c r="J21" i="14"/>
  <c r="C21" i="14"/>
  <c r="Z180" i="14"/>
  <c r="AE180" i="14"/>
  <c r="AA180" i="14"/>
  <c r="X180" i="14"/>
  <c r="AB180" i="14"/>
  <c r="AD180" i="14"/>
  <c r="AC180" i="14"/>
  <c r="Y180" i="14"/>
  <c r="B149" i="12"/>
  <c r="G150" i="12"/>
  <c r="U56" i="12"/>
  <c r="Z28" i="12"/>
  <c r="Z42" i="12"/>
  <c r="V26" i="12"/>
  <c r="U26" i="12"/>
  <c r="Y26" i="12"/>
  <c r="A299" i="16"/>
  <c r="F299" i="16"/>
  <c r="E300" i="16"/>
  <c r="G298" i="16"/>
  <c r="C298" i="16" s="1"/>
  <c r="B298" i="16"/>
  <c r="U75" i="3"/>
  <c r="T74" i="3"/>
  <c r="U57" i="3"/>
  <c r="T56" i="3"/>
  <c r="M13" i="3"/>
  <c r="Q13" i="3"/>
  <c r="L13" i="3"/>
  <c r="P13" i="3"/>
  <c r="AG48" i="3"/>
  <c r="P18" i="3" s="1"/>
  <c r="AH49" i="3"/>
  <c r="J17" i="11"/>
  <c r="D17" i="11" s="1"/>
  <c r="F17" i="11" s="1"/>
  <c r="C17" i="11"/>
  <c r="K17" i="11" s="1"/>
  <c r="E17" i="11" s="1"/>
  <c r="V28" i="12"/>
  <c r="Z41" i="12"/>
  <c r="V42" i="12"/>
  <c r="U42" i="12"/>
  <c r="B18" i="11"/>
  <c r="I18" i="11"/>
  <c r="H19" i="11"/>
  <c r="Z50" i="11"/>
  <c r="Z53" i="11"/>
  <c r="Z46" i="11"/>
  <c r="Z49" i="11"/>
  <c r="Z54" i="11"/>
  <c r="Z52" i="11"/>
  <c r="Z45" i="11"/>
  <c r="Z47" i="11"/>
  <c r="AJ57" i="11"/>
  <c r="Z51" i="11"/>
  <c r="Z48" i="11"/>
  <c r="V41" i="12"/>
  <c r="Y42" i="12"/>
  <c r="W28" i="12"/>
  <c r="T58" i="12"/>
  <c r="Y27" i="12"/>
  <c r="W42" i="12"/>
  <c r="V27" i="12"/>
  <c r="Y28" i="12"/>
  <c r="Z58" i="12"/>
  <c r="R120" i="11"/>
  <c r="Q119" i="11"/>
  <c r="Q66" i="11"/>
  <c r="R67" i="11"/>
  <c r="Q107" i="10"/>
  <c r="A183" i="10"/>
  <c r="K182" i="10"/>
  <c r="J76" i="10" s="1"/>
  <c r="I2" i="10" s="1"/>
  <c r="Q49" i="11"/>
  <c r="R50" i="11"/>
  <c r="AK40" i="11"/>
  <c r="AA30" i="11"/>
  <c r="AA36" i="11"/>
  <c r="AA37" i="11"/>
  <c r="AA29" i="11"/>
  <c r="AA31" i="11"/>
  <c r="AA32" i="11"/>
  <c r="AA33" i="11"/>
  <c r="AA28" i="11"/>
  <c r="R136" i="11"/>
  <c r="Q135" i="11"/>
  <c r="J22" i="12"/>
  <c r="F22" i="12" s="1"/>
  <c r="AA93" i="14"/>
  <c r="AA92" i="14" s="1"/>
  <c r="V99" i="15"/>
  <c r="V90" i="15" s="1"/>
  <c r="V93" i="15" s="1"/>
  <c r="E20" i="13"/>
  <c r="F19" i="13"/>
  <c r="C19" i="13" s="1"/>
  <c r="B19" i="13"/>
  <c r="G15" i="16"/>
  <c r="C15" i="16" s="1"/>
  <c r="B15" i="16"/>
  <c r="H24" i="12"/>
  <c r="G25" i="12"/>
  <c r="B24" i="12"/>
  <c r="U11" i="4"/>
  <c r="I8" i="5"/>
  <c r="L435" i="14"/>
  <c r="F435" i="14"/>
  <c r="C53" i="15"/>
  <c r="H53" i="15"/>
  <c r="D53" i="15" s="1"/>
  <c r="A196" i="10"/>
  <c r="K195" i="10"/>
  <c r="A229" i="10"/>
  <c r="K228" i="10"/>
  <c r="AA35" i="11"/>
  <c r="K416" i="14"/>
  <c r="G416" i="14" s="1"/>
  <c r="D416" i="14"/>
  <c r="Y56" i="12"/>
  <c r="T27" i="12"/>
  <c r="U57" i="12"/>
  <c r="X58" i="12"/>
  <c r="W56" i="12"/>
  <c r="T41" i="12"/>
  <c r="Z27" i="12"/>
  <c r="W57" i="12"/>
  <c r="T42" i="12"/>
  <c r="I382" i="14"/>
  <c r="H383" i="14"/>
  <c r="B382" i="14"/>
  <c r="W161" i="15"/>
  <c r="W162" i="15" s="1"/>
  <c r="X154" i="15"/>
  <c r="W100" i="15"/>
  <c r="W91" i="15" s="1"/>
  <c r="AB71" i="14"/>
  <c r="AB70" i="14" s="1"/>
  <c r="F55" i="15"/>
  <c r="G54" i="15"/>
  <c r="B54" i="15"/>
  <c r="C437" i="14"/>
  <c r="J437" i="14"/>
  <c r="A218" i="10"/>
  <c r="K217" i="10"/>
  <c r="S329" i="14"/>
  <c r="H139" i="14"/>
  <c r="B138" i="14"/>
  <c r="I138" i="14"/>
  <c r="A16" i="16"/>
  <c r="E17" i="16"/>
  <c r="F16" i="16"/>
  <c r="D380" i="14"/>
  <c r="G380" i="14"/>
  <c r="H163" i="15"/>
  <c r="D163" i="15" s="1"/>
  <c r="C163" i="15"/>
  <c r="S346" i="14"/>
  <c r="Q152" i="11"/>
  <c r="R153" i="11"/>
  <c r="S337" i="14"/>
  <c r="L43" i="6"/>
  <c r="J10" i="6"/>
  <c r="W28" i="4" s="1"/>
  <c r="Y131" i="15" s="1"/>
  <c r="Y122" i="15" s="1"/>
  <c r="K44" i="6"/>
  <c r="J11" i="6" s="1"/>
  <c r="W29" i="4" s="1"/>
  <c r="Y135" i="15" s="1"/>
  <c r="Y126" i="15" s="1"/>
  <c r="I17" i="4"/>
  <c r="H18" i="4"/>
  <c r="B17" i="4"/>
  <c r="S322" i="14"/>
  <c r="J119" i="4"/>
  <c r="C119" i="4"/>
  <c r="AA34" i="11"/>
  <c r="H16" i="15"/>
  <c r="D16" i="15" s="1"/>
  <c r="C16" i="15"/>
  <c r="W58" i="12"/>
  <c r="X27" i="12"/>
  <c r="V56" i="12"/>
  <c r="Y57" i="12"/>
  <c r="T28" i="12"/>
  <c r="U58" i="12"/>
  <c r="X41" i="12"/>
  <c r="W26" i="12"/>
  <c r="T56" i="12"/>
  <c r="U41" i="12"/>
  <c r="X42" i="12"/>
  <c r="U43" i="4"/>
  <c r="I8" i="7"/>
  <c r="J381" i="14"/>
  <c r="C381" i="14"/>
  <c r="A240" i="10"/>
  <c r="K239" i="10"/>
  <c r="U16" i="4"/>
  <c r="I14" i="5"/>
  <c r="V127" i="15"/>
  <c r="V128" i="15" s="1"/>
  <c r="W120" i="15"/>
  <c r="C137" i="14"/>
  <c r="J137" i="14"/>
  <c r="I23" i="12"/>
  <c r="D23" i="12" s="1"/>
  <c r="C23" i="12"/>
  <c r="C417" i="14"/>
  <c r="J417" i="14"/>
  <c r="G136" i="14"/>
  <c r="D136" i="14"/>
  <c r="E21" i="12"/>
  <c r="K118" i="4"/>
  <c r="D118" i="4" s="1"/>
  <c r="E118" i="4"/>
  <c r="F118" i="4" s="1"/>
  <c r="B438" i="14"/>
  <c r="H439" i="14"/>
  <c r="I438" i="14"/>
  <c r="D18" i="13"/>
  <c r="V195" i="15"/>
  <c r="V196" i="15" s="1"/>
  <c r="W188" i="15"/>
  <c r="D436" i="14"/>
  <c r="K436" i="14"/>
  <c r="G436" i="14"/>
  <c r="G164" i="15"/>
  <c r="F165" i="15"/>
  <c r="B164" i="15"/>
  <c r="I418" i="14"/>
  <c r="H419" i="14"/>
  <c r="B418" i="14"/>
  <c r="D15" i="4"/>
  <c r="K15" i="4"/>
  <c r="E15" i="4" s="1"/>
  <c r="R35" i="11"/>
  <c r="Q34" i="11"/>
  <c r="R86" i="11"/>
  <c r="Q85" i="11"/>
  <c r="V15" i="4"/>
  <c r="J13" i="5"/>
  <c r="A207" i="10"/>
  <c r="K206" i="10"/>
  <c r="C16" i="4"/>
  <c r="J16" i="4"/>
  <c r="H121" i="4"/>
  <c r="I120" i="4"/>
  <c r="B120" i="4"/>
  <c r="B17" i="15"/>
  <c r="F18" i="15"/>
  <c r="G17" i="15"/>
  <c r="L76" i="10"/>
  <c r="K2" i="10" s="1"/>
  <c r="W27" i="12"/>
  <c r="T57" i="12"/>
  <c r="Z56" i="12"/>
  <c r="W41" i="12"/>
  <c r="U27" i="12"/>
  <c r="X28" i="12"/>
  <c r="V57" i="12"/>
  <c r="Y58" i="12"/>
  <c r="U28" i="12"/>
  <c r="X56" i="12"/>
  <c r="V58" i="12"/>
  <c r="Y41" i="12"/>
  <c r="Q161" i="12"/>
  <c r="Q111" i="12" s="1"/>
  <c r="T164" i="12"/>
  <c r="T96" i="12" s="1"/>
  <c r="V158" i="12"/>
  <c r="V81" i="12" s="1"/>
  <c r="X159" i="12"/>
  <c r="X82" i="12" s="1"/>
  <c r="Y161" i="12"/>
  <c r="Y111" i="12" s="1"/>
  <c r="V163" i="12"/>
  <c r="V95" i="12" s="1"/>
  <c r="T157" i="12"/>
  <c r="T80" i="12" s="1"/>
  <c r="X160" i="12"/>
  <c r="X110" i="12" s="1"/>
  <c r="U162" i="12"/>
  <c r="U112" i="12" s="1"/>
  <c r="X162" i="12"/>
  <c r="X112" i="12" s="1"/>
  <c r="Q160" i="12"/>
  <c r="Q110" i="12" s="1"/>
  <c r="T160" i="12"/>
  <c r="T110" i="12" s="1"/>
  <c r="W159" i="12"/>
  <c r="W82" i="12" s="1"/>
  <c r="U164" i="12"/>
  <c r="U96" i="12" s="1"/>
  <c r="P159" i="12"/>
  <c r="P82" i="12" s="1"/>
  <c r="S162" i="12"/>
  <c r="S112" i="12" s="1"/>
  <c r="Z159" i="12"/>
  <c r="Z82" i="12" s="1"/>
  <c r="R157" i="12"/>
  <c r="R80" i="12" s="1"/>
  <c r="Y163" i="12"/>
  <c r="Y95" i="12" s="1"/>
  <c r="Q157" i="12"/>
  <c r="Q80" i="12" s="1"/>
  <c r="S158" i="12"/>
  <c r="S81" i="12" s="1"/>
  <c r="T30" i="12" s="1"/>
  <c r="Z162" i="12"/>
  <c r="Z112" i="12" s="1"/>
  <c r="S164" i="12"/>
  <c r="S96" i="12" s="1"/>
  <c r="U158" i="12"/>
  <c r="U81" i="12" s="1"/>
  <c r="V160" i="12"/>
  <c r="V110" i="12" s="1"/>
  <c r="X161" i="12"/>
  <c r="X111" i="12" s="1"/>
  <c r="Y164" i="12"/>
  <c r="Y96" i="12" s="1"/>
  <c r="U159" i="12"/>
  <c r="U82" i="12" s="1"/>
  <c r="R161" i="12"/>
  <c r="R111" i="12" s="1"/>
  <c r="R160" i="12"/>
  <c r="R110" i="12" s="1"/>
  <c r="W158" i="12"/>
  <c r="W81" i="12" s="1"/>
  <c r="W157" i="12"/>
  <c r="W80" i="12" s="1"/>
  <c r="W162" i="12"/>
  <c r="W112" i="12" s="1"/>
  <c r="R162" i="12"/>
  <c r="R112" i="12" s="1"/>
  <c r="T162" i="12"/>
  <c r="T112" i="12" s="1"/>
  <c r="S157" i="12"/>
  <c r="S80" i="12" s="1"/>
  <c r="Z160" i="12"/>
  <c r="Z110" i="12" s="1"/>
  <c r="Z59" i="12" s="1"/>
  <c r="T163" i="12"/>
  <c r="T95" i="12" s="1"/>
  <c r="Y162" i="12"/>
  <c r="Y112" i="12" s="1"/>
  <c r="U160" i="12"/>
  <c r="U110" i="12" s="1"/>
  <c r="T159" i="12"/>
  <c r="T82" i="12" s="1"/>
  <c r="W160" i="12"/>
  <c r="W110" i="12" s="1"/>
  <c r="P158" i="12"/>
  <c r="P81" i="12" s="1"/>
  <c r="W161" i="12"/>
  <c r="W111" i="12" s="1"/>
  <c r="P163" i="12"/>
  <c r="P95" i="12" s="1"/>
  <c r="V157" i="12"/>
  <c r="V80" i="12" s="1"/>
  <c r="S159" i="12"/>
  <c r="S82" i="12" s="1"/>
  <c r="Y160" i="12"/>
  <c r="Y110" i="12" s="1"/>
  <c r="U161" i="12"/>
  <c r="U111" i="12" s="1"/>
  <c r="Z157" i="12"/>
  <c r="Z80" i="12" s="1"/>
  <c r="R164" i="12"/>
  <c r="R96" i="12" s="1"/>
  <c r="Y159" i="12"/>
  <c r="Y82" i="12" s="1"/>
  <c r="V161" i="12"/>
  <c r="V111" i="12" s="1"/>
  <c r="S163" i="12"/>
  <c r="S95" i="12" s="1"/>
  <c r="W44" i="12" s="1"/>
  <c r="U157" i="12"/>
  <c r="U80" i="12" s="1"/>
  <c r="R159" i="12"/>
  <c r="R82" i="12" s="1"/>
  <c r="V162" i="12"/>
  <c r="V112" i="12" s="1"/>
  <c r="X163" i="12"/>
  <c r="X95" i="12" s="1"/>
  <c r="X164" i="12"/>
  <c r="X96" i="12" s="1"/>
  <c r="T161" i="12"/>
  <c r="T111" i="12" s="1"/>
  <c r="U163" i="12"/>
  <c r="U95" i="12" s="1"/>
  <c r="P164" i="12"/>
  <c r="P96" i="12" s="1"/>
  <c r="Z164" i="12"/>
  <c r="Z96" i="12" s="1"/>
  <c r="Z45" i="12" s="1"/>
  <c r="Q162" i="12"/>
  <c r="Q112" i="12" s="1"/>
  <c r="P161" i="12"/>
  <c r="P111" i="12" s="1"/>
  <c r="Q163" i="12"/>
  <c r="Q95" i="12" s="1"/>
  <c r="Y158" i="12"/>
  <c r="Y81" i="12" s="1"/>
  <c r="Q158" i="12"/>
  <c r="Q81" i="12" s="1"/>
  <c r="S161" i="12"/>
  <c r="S111" i="12" s="1"/>
  <c r="Z60" i="12" s="1"/>
  <c r="X158" i="12"/>
  <c r="X81" i="12" s="1"/>
  <c r="R158" i="12"/>
  <c r="R81" i="12" s="1"/>
  <c r="P157" i="12"/>
  <c r="P80" i="12" s="1"/>
  <c r="Q159" i="12"/>
  <c r="Q82" i="12" s="1"/>
  <c r="Q101" i="11"/>
  <c r="R102" i="11"/>
  <c r="N416" i="14" l="1"/>
  <c r="E416" i="14" s="1"/>
  <c r="G116" i="14"/>
  <c r="D116" i="14"/>
  <c r="B118" i="14"/>
  <c r="I118" i="14"/>
  <c r="H119" i="14"/>
  <c r="C117" i="14"/>
  <c r="J117" i="14"/>
  <c r="AB177" i="14"/>
  <c r="G58" i="14"/>
  <c r="I60" i="14"/>
  <c r="C60" i="14" s="1"/>
  <c r="J59" i="14"/>
  <c r="B60" i="14"/>
  <c r="H61" i="14"/>
  <c r="G21" i="14"/>
  <c r="D21" i="14"/>
  <c r="I23" i="14"/>
  <c r="B23" i="14"/>
  <c r="C22" i="14"/>
  <c r="J22" i="14"/>
  <c r="Z177" i="14"/>
  <c r="AD177" i="14"/>
  <c r="Y177" i="14"/>
  <c r="AE177" i="14"/>
  <c r="AC177" i="14"/>
  <c r="AA177" i="14"/>
  <c r="X177" i="14"/>
  <c r="G151" i="12"/>
  <c r="B150" i="12"/>
  <c r="X44" i="12"/>
  <c r="Y30" i="12"/>
  <c r="V31" i="12"/>
  <c r="X30" i="12"/>
  <c r="Z29" i="12"/>
  <c r="Z61" i="12"/>
  <c r="U29" i="12"/>
  <c r="Y61" i="12"/>
  <c r="T61" i="12"/>
  <c r="U44" i="12"/>
  <c r="V61" i="12"/>
  <c r="W61" i="12"/>
  <c r="D298" i="16"/>
  <c r="F300" i="16"/>
  <c r="A300" i="16"/>
  <c r="E301" i="16"/>
  <c r="B299" i="16"/>
  <c r="G299" i="16"/>
  <c r="C299" i="16" s="1"/>
  <c r="D15" i="16"/>
  <c r="C38" i="3"/>
  <c r="G38" i="3"/>
  <c r="E38" i="3"/>
  <c r="J38" i="3"/>
  <c r="I38" i="3"/>
  <c r="D38" i="3"/>
  <c r="F38" i="3"/>
  <c r="H38" i="3"/>
  <c r="U58" i="3"/>
  <c r="T57" i="3"/>
  <c r="E44" i="3" s="1"/>
  <c r="U76" i="3"/>
  <c r="T75" i="3"/>
  <c r="L18" i="3"/>
  <c r="AG49" i="3"/>
  <c r="L26" i="3" s="1"/>
  <c r="AH50" i="3"/>
  <c r="AG50" i="3" s="1"/>
  <c r="P26" i="3"/>
  <c r="W45" i="12"/>
  <c r="Y29" i="12"/>
  <c r="H20" i="11"/>
  <c r="B19" i="11"/>
  <c r="I19" i="11"/>
  <c r="J23" i="12"/>
  <c r="J18" i="11"/>
  <c r="D18" i="11" s="1"/>
  <c r="F18" i="11" s="1"/>
  <c r="C18" i="11"/>
  <c r="K18" i="11" s="1"/>
  <c r="T31" i="12"/>
  <c r="Z31" i="12"/>
  <c r="U61" i="12"/>
  <c r="AA45" i="11"/>
  <c r="AA53" i="11"/>
  <c r="AA51" i="11"/>
  <c r="AA46" i="11"/>
  <c r="AA48" i="11"/>
  <c r="AA52" i="11"/>
  <c r="AA49" i="11"/>
  <c r="AA54" i="11"/>
  <c r="AK57" i="11"/>
  <c r="AA50" i="11"/>
  <c r="AA47" i="11"/>
  <c r="U60" i="12"/>
  <c r="V29" i="12"/>
  <c r="W59" i="12"/>
  <c r="T44" i="12"/>
  <c r="X60" i="12"/>
  <c r="U45" i="12"/>
  <c r="X61" i="12"/>
  <c r="V44" i="12"/>
  <c r="T45" i="12"/>
  <c r="J120" i="4"/>
  <c r="C120" i="4"/>
  <c r="J418" i="14"/>
  <c r="C418" i="14"/>
  <c r="C164" i="15"/>
  <c r="H164" i="15"/>
  <c r="D164" i="15" s="1"/>
  <c r="S323" i="14"/>
  <c r="S324" i="14"/>
  <c r="C17" i="4"/>
  <c r="J17" i="4"/>
  <c r="Q153" i="11"/>
  <c r="R154" i="11"/>
  <c r="F17" i="16"/>
  <c r="A17" i="16"/>
  <c r="E18" i="16"/>
  <c r="H140" i="14"/>
  <c r="B139" i="14"/>
  <c r="I139" i="14"/>
  <c r="A219" i="10"/>
  <c r="K219" i="10" s="1"/>
  <c r="K218" i="10"/>
  <c r="I383" i="14"/>
  <c r="H384" i="14"/>
  <c r="B383" i="14"/>
  <c r="X29" i="12"/>
  <c r="V11" i="4"/>
  <c r="J8" i="5"/>
  <c r="E21" i="13"/>
  <c r="F20" i="13"/>
  <c r="C20" i="13" s="1"/>
  <c r="B20" i="13"/>
  <c r="R68" i="11"/>
  <c r="Q67" i="11"/>
  <c r="Z44" i="12"/>
  <c r="R103" i="11"/>
  <c r="Q102" i="11"/>
  <c r="V59" i="12"/>
  <c r="W31" i="12"/>
  <c r="Y60" i="12"/>
  <c r="X70" i="4"/>
  <c r="H122" i="4"/>
  <c r="I121" i="4"/>
  <c r="B121" i="4"/>
  <c r="W15" i="4"/>
  <c r="K13" i="5"/>
  <c r="X15" i="4" s="1"/>
  <c r="R87" i="11"/>
  <c r="Q86" i="11"/>
  <c r="D417" i="14"/>
  <c r="K417" i="14"/>
  <c r="G417" i="14" s="1"/>
  <c r="G137" i="14"/>
  <c r="D137" i="14"/>
  <c r="V16" i="4"/>
  <c r="J14" i="5"/>
  <c r="K437" i="14"/>
  <c r="G437" i="14"/>
  <c r="D437" i="14"/>
  <c r="J382" i="14"/>
  <c r="C382" i="14"/>
  <c r="A230" i="10"/>
  <c r="K230" i="10" s="1"/>
  <c r="K229" i="10"/>
  <c r="Z30" i="12"/>
  <c r="B25" i="12"/>
  <c r="G26" i="12"/>
  <c r="H25" i="12"/>
  <c r="R137" i="11"/>
  <c r="Q136" i="11"/>
  <c r="AB36" i="11"/>
  <c r="AB37" i="11"/>
  <c r="AB29" i="11"/>
  <c r="AB30" i="11"/>
  <c r="AB31" i="11"/>
  <c r="AB32" i="11"/>
  <c r="AB33" i="11"/>
  <c r="AB28" i="11"/>
  <c r="AB35" i="11"/>
  <c r="AB34" i="11"/>
  <c r="F76" i="10"/>
  <c r="E2" i="10" s="1"/>
  <c r="I76" i="10"/>
  <c r="H2" i="10" s="1"/>
  <c r="H76" i="10"/>
  <c r="G2" i="10" s="1"/>
  <c r="K76" i="10"/>
  <c r="J2" i="10" s="1"/>
  <c r="G76" i="10"/>
  <c r="F2" i="10" s="1"/>
  <c r="T60" i="12"/>
  <c r="Y31" i="12"/>
  <c r="Y59" i="12"/>
  <c r="W60" i="12"/>
  <c r="U59" i="12"/>
  <c r="W29" i="12"/>
  <c r="U31" i="12"/>
  <c r="U30" i="12"/>
  <c r="T59" i="12"/>
  <c r="X59" i="12"/>
  <c r="X31" i="12"/>
  <c r="H17" i="15"/>
  <c r="D17" i="15" s="1"/>
  <c r="C17" i="15"/>
  <c r="A208" i="10"/>
  <c r="K208" i="10" s="1"/>
  <c r="K207" i="10"/>
  <c r="X100" i="15"/>
  <c r="X91" i="15" s="1"/>
  <c r="AC71" i="14"/>
  <c r="AC70" i="14" s="1"/>
  <c r="L436" i="14"/>
  <c r="F436" i="14"/>
  <c r="V45" i="12"/>
  <c r="J438" i="14"/>
  <c r="C438" i="14"/>
  <c r="AB93" i="14"/>
  <c r="AB92" i="14" s="1"/>
  <c r="W99" i="15"/>
  <c r="W90" i="15" s="1"/>
  <c r="W93" i="15" s="1"/>
  <c r="A241" i="10"/>
  <c r="K241" i="10" s="1"/>
  <c r="K240" i="10"/>
  <c r="D381" i="14"/>
  <c r="G381" i="14"/>
  <c r="K10" i="6"/>
  <c r="X28" i="4" s="1"/>
  <c r="Z131" i="15" s="1"/>
  <c r="Z122" i="15" s="1"/>
  <c r="L44" i="6"/>
  <c r="K11" i="6" s="1"/>
  <c r="X29" i="4" s="1"/>
  <c r="Z135" i="15" s="1"/>
  <c r="Z126" i="15" s="1"/>
  <c r="C138" i="14"/>
  <c r="J138" i="14"/>
  <c r="S330" i="14"/>
  <c r="H54" i="15"/>
  <c r="D54" i="15" s="1"/>
  <c r="C54" i="15"/>
  <c r="Y154" i="15"/>
  <c r="X161" i="15"/>
  <c r="X162" i="15" s="1"/>
  <c r="C24" i="12"/>
  <c r="I24" i="12"/>
  <c r="D24" i="12" s="1"/>
  <c r="D19" i="13"/>
  <c r="A184" i="10"/>
  <c r="R108" i="10"/>
  <c r="R107" i="10"/>
  <c r="K183" i="10"/>
  <c r="V60" i="12"/>
  <c r="X45" i="12"/>
  <c r="W30" i="12"/>
  <c r="Y45" i="12"/>
  <c r="Y44" i="12"/>
  <c r="T29" i="12"/>
  <c r="V30" i="12"/>
  <c r="V70" i="4"/>
  <c r="G18" i="15"/>
  <c r="F19" i="15"/>
  <c r="B18" i="15"/>
  <c r="D16" i="4"/>
  <c r="K16" i="4"/>
  <c r="E16" i="4" s="1"/>
  <c r="R36" i="11"/>
  <c r="Q35" i="11"/>
  <c r="H420" i="14"/>
  <c r="B419" i="14"/>
  <c r="I419" i="14"/>
  <c r="G165" i="15"/>
  <c r="F166" i="15"/>
  <c r="B165" i="15"/>
  <c r="X188" i="15"/>
  <c r="W195" i="15"/>
  <c r="W196" i="15" s="1"/>
  <c r="H440" i="14"/>
  <c r="I439" i="14"/>
  <c r="B439" i="14"/>
  <c r="W127" i="15"/>
  <c r="W128" i="15" s="1"/>
  <c r="X120" i="15"/>
  <c r="V43" i="4"/>
  <c r="J8" i="7"/>
  <c r="K119" i="4"/>
  <c r="D119" i="4" s="1"/>
  <c r="E119" i="4"/>
  <c r="F119" i="4" s="1"/>
  <c r="I18" i="4"/>
  <c r="H19" i="4"/>
  <c r="B18" i="4"/>
  <c r="S338" i="14"/>
  <c r="G16" i="16"/>
  <c r="C16" i="16" s="1"/>
  <c r="D16" i="16" s="1"/>
  <c r="B16" i="16"/>
  <c r="F56" i="15"/>
  <c r="G55" i="15"/>
  <c r="B55" i="15"/>
  <c r="A197" i="10"/>
  <c r="K197" i="10" s="1"/>
  <c r="K196" i="10"/>
  <c r="E22" i="12"/>
  <c r="R51" i="11"/>
  <c r="Q50" i="11"/>
  <c r="R121" i="11"/>
  <c r="Q120" i="11"/>
  <c r="M27" i="3" l="1"/>
  <c r="O75" i="3"/>
  <c r="M29" i="3"/>
  <c r="Q39" i="3"/>
  <c r="M60" i="3"/>
  <c r="Q76" i="3"/>
  <c r="Q5" i="3"/>
  <c r="R35" i="3"/>
  <c r="N49" i="3"/>
  <c r="R66" i="3"/>
  <c r="N75" i="3"/>
  <c r="O30" i="3"/>
  <c r="K42" i="3"/>
  <c r="O61" i="3"/>
  <c r="K78" i="3"/>
  <c r="L21" i="3"/>
  <c r="P37" i="3"/>
  <c r="L51" i="3"/>
  <c r="P68" i="3"/>
  <c r="M8" i="3"/>
  <c r="Q32" i="3"/>
  <c r="M44" i="3"/>
  <c r="Q63" i="3"/>
  <c r="M72" i="3"/>
  <c r="R22" i="3"/>
  <c r="N39" i="3"/>
  <c r="R59" i="3"/>
  <c r="N76" i="3"/>
  <c r="Q6" i="3"/>
  <c r="K35" i="3"/>
  <c r="O45" i="3"/>
  <c r="K66" i="3"/>
  <c r="O74" i="3"/>
  <c r="P30" i="3"/>
  <c r="L42" i="3"/>
  <c r="P61" i="3"/>
  <c r="L78" i="3"/>
  <c r="M4" i="3"/>
  <c r="M37" i="3"/>
  <c r="Q50" i="3"/>
  <c r="M68" i="3"/>
  <c r="P8" i="3"/>
  <c r="N32" i="3"/>
  <c r="R43" i="3"/>
  <c r="N63" i="3"/>
  <c r="R71" i="3"/>
  <c r="K22" i="3"/>
  <c r="O38" i="3"/>
  <c r="K59" i="3"/>
  <c r="O69" i="3"/>
  <c r="P6" i="3"/>
  <c r="L35" i="3"/>
  <c r="P45" i="3"/>
  <c r="L66" i="3"/>
  <c r="P74" i="3"/>
  <c r="M30" i="3"/>
  <c r="Q41" i="3"/>
  <c r="M61" i="3"/>
  <c r="Q77" i="3"/>
  <c r="P4" i="3"/>
  <c r="R36" i="3"/>
  <c r="N50" i="3"/>
  <c r="R67" i="3"/>
  <c r="K4" i="3"/>
  <c r="O31" i="3"/>
  <c r="K43" i="3"/>
  <c r="O62" i="3"/>
  <c r="K71" i="3"/>
  <c r="L22" i="3"/>
  <c r="P38" i="3"/>
  <c r="L59" i="3"/>
  <c r="P69" i="3"/>
  <c r="L7" i="3"/>
  <c r="Q33" i="3"/>
  <c r="M45" i="3"/>
  <c r="Q65" i="3"/>
  <c r="M74" i="3"/>
  <c r="R29" i="3"/>
  <c r="N41" i="3"/>
  <c r="R60" i="3"/>
  <c r="N77" i="3"/>
  <c r="P5" i="3"/>
  <c r="K36" i="3"/>
  <c r="O49" i="3"/>
  <c r="K67" i="3"/>
  <c r="K8" i="3"/>
  <c r="P31" i="3"/>
  <c r="L43" i="3"/>
  <c r="P62" i="3"/>
  <c r="L71" i="3"/>
  <c r="Q21" i="3"/>
  <c r="M38" i="3"/>
  <c r="Q51" i="3"/>
  <c r="M69" i="3"/>
  <c r="O7" i="3"/>
  <c r="N33" i="3"/>
  <c r="R44" i="3"/>
  <c r="N65" i="3"/>
  <c r="R72" i="3"/>
  <c r="K29" i="3"/>
  <c r="O39" i="3"/>
  <c r="K60" i="3"/>
  <c r="O76" i="3"/>
  <c r="O5" i="3"/>
  <c r="L36" i="3"/>
  <c r="P49" i="3"/>
  <c r="L67" i="3"/>
  <c r="P75" i="3"/>
  <c r="M31" i="3"/>
  <c r="Q42" i="3"/>
  <c r="M62" i="3"/>
  <c r="Q78" i="3"/>
  <c r="N21" i="3"/>
  <c r="R37" i="3"/>
  <c r="N51" i="3"/>
  <c r="R68" i="3"/>
  <c r="O8" i="3"/>
  <c r="O32" i="3"/>
  <c r="K44" i="3"/>
  <c r="O63" i="3"/>
  <c r="K72" i="3"/>
  <c r="L29" i="3"/>
  <c r="P39" i="3"/>
  <c r="L60" i="3"/>
  <c r="P76" i="3"/>
  <c r="R5" i="3"/>
  <c r="Q35" i="3"/>
  <c r="M49" i="3"/>
  <c r="Q66" i="3"/>
  <c r="M75" i="3"/>
  <c r="R30" i="3"/>
  <c r="N42" i="3"/>
  <c r="R61" i="3"/>
  <c r="N78" i="3"/>
  <c r="O4" i="3"/>
  <c r="K37" i="3"/>
  <c r="O50" i="3"/>
  <c r="K68" i="3"/>
  <c r="N8" i="3"/>
  <c r="P32" i="3"/>
  <c r="L44" i="3"/>
  <c r="P63" i="3"/>
  <c r="L72" i="3"/>
  <c r="Q22" i="3"/>
  <c r="M39" i="3"/>
  <c r="Q59" i="3"/>
  <c r="M76" i="3"/>
  <c r="N6" i="3"/>
  <c r="N35" i="3"/>
  <c r="R45" i="3"/>
  <c r="N66" i="3"/>
  <c r="R74" i="3"/>
  <c r="K30" i="3"/>
  <c r="O41" i="3"/>
  <c r="K61" i="3"/>
  <c r="O77" i="3"/>
  <c r="N4" i="3"/>
  <c r="L37" i="3"/>
  <c r="P50" i="3"/>
  <c r="L68" i="3"/>
  <c r="Q8" i="3"/>
  <c r="M32" i="3"/>
  <c r="Q43" i="3"/>
  <c r="M63" i="3"/>
  <c r="Q71" i="3"/>
  <c r="N22" i="3"/>
  <c r="R38" i="3"/>
  <c r="N59" i="3"/>
  <c r="R69" i="3"/>
  <c r="N7" i="3"/>
  <c r="O33" i="3"/>
  <c r="K45" i="3"/>
  <c r="O65" i="3"/>
  <c r="K74" i="3"/>
  <c r="L30" i="3"/>
  <c r="P41" i="3"/>
  <c r="L61" i="3"/>
  <c r="P77" i="3"/>
  <c r="Q4" i="3"/>
  <c r="Q36" i="3"/>
  <c r="M50" i="3"/>
  <c r="Q67" i="3"/>
  <c r="K6" i="3"/>
  <c r="R31" i="3"/>
  <c r="N43" i="3"/>
  <c r="R62" i="3"/>
  <c r="N71" i="3"/>
  <c r="O21" i="3"/>
  <c r="K38" i="3"/>
  <c r="O51" i="3"/>
  <c r="K69" i="3"/>
  <c r="M7" i="3"/>
  <c r="P33" i="3"/>
  <c r="L45" i="3"/>
  <c r="P65" i="3"/>
  <c r="L74" i="3"/>
  <c r="Q29" i="3"/>
  <c r="M41" i="3"/>
  <c r="Q60" i="3"/>
  <c r="M77" i="3"/>
  <c r="M5" i="3"/>
  <c r="N36" i="3"/>
  <c r="R49" i="3"/>
  <c r="N67" i="3"/>
  <c r="R75" i="3"/>
  <c r="K31" i="3"/>
  <c r="O42" i="3"/>
  <c r="K62" i="3"/>
  <c r="O78" i="3"/>
  <c r="P21" i="3"/>
  <c r="L38" i="3"/>
  <c r="P51" i="3"/>
  <c r="L69" i="3"/>
  <c r="P7" i="3"/>
  <c r="M33" i="3"/>
  <c r="Q44" i="3"/>
  <c r="M65" i="3"/>
  <c r="Q72" i="3"/>
  <c r="N29" i="3"/>
  <c r="R39" i="3"/>
  <c r="N60" i="3"/>
  <c r="R76" i="3"/>
  <c r="M6" i="3"/>
  <c r="O35" i="3"/>
  <c r="K49" i="3"/>
  <c r="O66" i="3"/>
  <c r="K75" i="3"/>
  <c r="L31" i="3"/>
  <c r="P42" i="3"/>
  <c r="L62" i="3"/>
  <c r="P78" i="3"/>
  <c r="M21" i="3"/>
  <c r="Q37" i="3"/>
  <c r="M51" i="3"/>
  <c r="Q68" i="3"/>
  <c r="L8" i="3"/>
  <c r="R32" i="3"/>
  <c r="N44" i="3"/>
  <c r="R63" i="3"/>
  <c r="N72" i="3"/>
  <c r="O22" i="3"/>
  <c r="K39" i="3"/>
  <c r="O59" i="3"/>
  <c r="K76" i="3"/>
  <c r="L6" i="3"/>
  <c r="P35" i="3"/>
  <c r="L49" i="3"/>
  <c r="P66" i="3"/>
  <c r="L75" i="3"/>
  <c r="Q30" i="3"/>
  <c r="M42" i="3"/>
  <c r="Q61" i="3"/>
  <c r="M78" i="3"/>
  <c r="L4" i="3"/>
  <c r="N37" i="3"/>
  <c r="R50" i="3"/>
  <c r="N68" i="3"/>
  <c r="K5" i="3"/>
  <c r="K32" i="3"/>
  <c r="O43" i="3"/>
  <c r="K63" i="3"/>
  <c r="O71" i="3"/>
  <c r="P22" i="3"/>
  <c r="L39" i="3"/>
  <c r="P59" i="3"/>
  <c r="L76" i="3"/>
  <c r="O6" i="3"/>
  <c r="M35" i="3"/>
  <c r="Q45" i="3"/>
  <c r="M66" i="3"/>
  <c r="Q74" i="3"/>
  <c r="N30" i="3"/>
  <c r="R41" i="3"/>
  <c r="N61" i="3"/>
  <c r="R77" i="3"/>
  <c r="L5" i="3"/>
  <c r="O36" i="3"/>
  <c r="K50" i="3"/>
  <c r="O67" i="3"/>
  <c r="R8" i="3"/>
  <c r="L32" i="3"/>
  <c r="P43" i="3"/>
  <c r="L63" i="3"/>
  <c r="P71" i="3"/>
  <c r="M22" i="3"/>
  <c r="Q38" i="3"/>
  <c r="M59" i="3"/>
  <c r="Q69" i="3"/>
  <c r="R6" i="3"/>
  <c r="R33" i="3"/>
  <c r="N45" i="3"/>
  <c r="R65" i="3"/>
  <c r="N74" i="3"/>
  <c r="O29" i="3"/>
  <c r="K41" i="3"/>
  <c r="O60" i="3"/>
  <c r="K77" i="3"/>
  <c r="R4" i="3"/>
  <c r="P36" i="3"/>
  <c r="L50" i="3"/>
  <c r="P67" i="3"/>
  <c r="K7" i="3"/>
  <c r="Q31" i="3"/>
  <c r="M43" i="3"/>
  <c r="Q62" i="3"/>
  <c r="M71" i="3"/>
  <c r="R21" i="3"/>
  <c r="N38" i="3"/>
  <c r="R51" i="3"/>
  <c r="N69" i="3"/>
  <c r="R7" i="3"/>
  <c r="K33" i="3"/>
  <c r="O44" i="3"/>
  <c r="K65" i="3"/>
  <c r="O72" i="3"/>
  <c r="P29" i="3"/>
  <c r="L41" i="3"/>
  <c r="P60" i="3"/>
  <c r="L77" i="3"/>
  <c r="N5" i="3"/>
  <c r="M36" i="3"/>
  <c r="Q49" i="3"/>
  <c r="M67" i="3"/>
  <c r="Q75" i="3"/>
  <c r="N31" i="3"/>
  <c r="R42" i="3"/>
  <c r="N62" i="3"/>
  <c r="R78" i="3"/>
  <c r="K21" i="3"/>
  <c r="O37" i="3"/>
  <c r="K51" i="3"/>
  <c r="O68" i="3"/>
  <c r="Q7" i="3"/>
  <c r="L33" i="3"/>
  <c r="P44" i="3"/>
  <c r="L65" i="3"/>
  <c r="P72" i="3"/>
  <c r="N417" i="14"/>
  <c r="E417" i="14" s="1"/>
  <c r="C118" i="14"/>
  <c r="J118" i="14"/>
  <c r="G117" i="14"/>
  <c r="D117" i="14"/>
  <c r="B119" i="14"/>
  <c r="I119" i="14"/>
  <c r="H120" i="14"/>
  <c r="J60" i="14"/>
  <c r="D60" i="14" s="1"/>
  <c r="AC173" i="14"/>
  <c r="AC175" i="14" s="1"/>
  <c r="Y173" i="14"/>
  <c r="Y175" i="14" s="1"/>
  <c r="I61" i="14"/>
  <c r="G59" i="14"/>
  <c r="D59" i="14"/>
  <c r="B61" i="14"/>
  <c r="H62" i="14"/>
  <c r="G60" i="14"/>
  <c r="G22" i="14"/>
  <c r="D22" i="14"/>
  <c r="J23" i="14"/>
  <c r="C23" i="14"/>
  <c r="I24" i="14"/>
  <c r="B24" i="14"/>
  <c r="AE176" i="14"/>
  <c r="AE178" i="14" s="1"/>
  <c r="AE179" i="14"/>
  <c r="AE181" i="14" s="1"/>
  <c r="AE173" i="14"/>
  <c r="AE175" i="14" s="1"/>
  <c r="Y176" i="14"/>
  <c r="Y178" i="14" s="1"/>
  <c r="AA173" i="14"/>
  <c r="AA175" i="14" s="1"/>
  <c r="AA179" i="14"/>
  <c r="AA181" i="14" s="1"/>
  <c r="AC176" i="14"/>
  <c r="AC178" i="14" s="1"/>
  <c r="X179" i="14"/>
  <c r="X181" i="14" s="1"/>
  <c r="Z173" i="14"/>
  <c r="Z175" i="14" s="1"/>
  <c r="AB179" i="14"/>
  <c r="AB181" i="14" s="1"/>
  <c r="AA176" i="14"/>
  <c r="AA178" i="14" s="1"/>
  <c r="Z176" i="14"/>
  <c r="Z178" i="14" s="1"/>
  <c r="Z179" i="14"/>
  <c r="Z181" i="14" s="1"/>
  <c r="AB176" i="14"/>
  <c r="AB178" i="14" s="1"/>
  <c r="AD179" i="14"/>
  <c r="AD181" i="14" s="1"/>
  <c r="X176" i="14"/>
  <c r="X178" i="14" s="1"/>
  <c r="AB173" i="14"/>
  <c r="AB175" i="14" s="1"/>
  <c r="AD176" i="14"/>
  <c r="AD178" i="14" s="1"/>
  <c r="G152" i="12"/>
  <c r="B151" i="12"/>
  <c r="E23" i="12"/>
  <c r="F23" i="12"/>
  <c r="E302" i="16"/>
  <c r="F301" i="16"/>
  <c r="A301" i="16"/>
  <c r="D299" i="16"/>
  <c r="B300" i="16"/>
  <c r="G300" i="16"/>
  <c r="C300" i="16" s="1"/>
  <c r="D300" i="16" s="1"/>
  <c r="C44" i="3"/>
  <c r="H44" i="3"/>
  <c r="D44" i="3"/>
  <c r="J44" i="3"/>
  <c r="U59" i="3"/>
  <c r="T58" i="3"/>
  <c r="I44" i="3"/>
  <c r="U77" i="3"/>
  <c r="T76" i="3"/>
  <c r="Q26" i="3"/>
  <c r="M57" i="3"/>
  <c r="K13" i="3"/>
  <c r="N13" i="3"/>
  <c r="P56" i="3"/>
  <c r="R56" i="3"/>
  <c r="K56" i="3"/>
  <c r="R26" i="3"/>
  <c r="O13" i="3"/>
  <c r="N56" i="3"/>
  <c r="M56" i="3"/>
  <c r="K27" i="3"/>
  <c r="Q56" i="3"/>
  <c r="N26" i="3"/>
  <c r="P14" i="3"/>
  <c r="N57" i="3"/>
  <c r="M26" i="3"/>
  <c r="N27" i="3"/>
  <c r="M19" i="3"/>
  <c r="O19" i="3"/>
  <c r="R57" i="3"/>
  <c r="R19" i="3"/>
  <c r="R13" i="3"/>
  <c r="O57" i="3"/>
  <c r="K18" i="3"/>
  <c r="R18" i="3"/>
  <c r="R14" i="3"/>
  <c r="L56" i="3"/>
  <c r="M18" i="3"/>
  <c r="K19" i="3"/>
  <c r="Q57" i="3"/>
  <c r="Q19" i="3"/>
  <c r="P27" i="3"/>
  <c r="P57" i="3"/>
  <c r="N18" i="3"/>
  <c r="O27" i="3"/>
  <c r="L14" i="3"/>
  <c r="O18" i="3"/>
  <c r="N19" i="3"/>
  <c r="O26" i="3"/>
  <c r="Q18" i="3"/>
  <c r="O56" i="3"/>
  <c r="L27" i="3"/>
  <c r="K26" i="3"/>
  <c r="Q14" i="3"/>
  <c r="O14" i="3"/>
  <c r="Q27" i="3"/>
  <c r="L57" i="3"/>
  <c r="K14" i="3"/>
  <c r="P19" i="3"/>
  <c r="K57" i="3"/>
  <c r="R27" i="3"/>
  <c r="M14" i="3"/>
  <c r="N14" i="3"/>
  <c r="L19" i="3"/>
  <c r="E18" i="11"/>
  <c r="B20" i="11"/>
  <c r="I20" i="11"/>
  <c r="H21" i="11"/>
  <c r="AB52" i="11"/>
  <c r="AB51" i="11"/>
  <c r="AB46" i="11"/>
  <c r="AB54" i="11"/>
  <c r="AB47" i="11"/>
  <c r="AB48" i="11"/>
  <c r="AB53" i="11"/>
  <c r="AB49" i="11"/>
  <c r="AB45" i="11"/>
  <c r="AB50" i="11"/>
  <c r="J19" i="11"/>
  <c r="D19" i="11" s="1"/>
  <c r="F19" i="11" s="1"/>
  <c r="C19" i="11"/>
  <c r="K19" i="11" s="1"/>
  <c r="E19" i="11" s="1"/>
  <c r="R52" i="11"/>
  <c r="Q51" i="11"/>
  <c r="B56" i="15"/>
  <c r="F57" i="15"/>
  <c r="G56" i="15"/>
  <c r="S340" i="14"/>
  <c r="S339" i="14"/>
  <c r="C18" i="4"/>
  <c r="J18" i="4"/>
  <c r="G166" i="15"/>
  <c r="F167" i="15"/>
  <c r="B166" i="15"/>
  <c r="B420" i="14"/>
  <c r="I420" i="14"/>
  <c r="A185" i="10"/>
  <c r="S107" i="10"/>
  <c r="K184" i="10"/>
  <c r="Z154" i="15"/>
  <c r="Z161" i="15" s="1"/>
  <c r="Z162" i="15" s="1"/>
  <c r="Y161" i="15"/>
  <c r="Y162" i="15" s="1"/>
  <c r="S332" i="14"/>
  <c r="AE61" i="14" s="1"/>
  <c r="S331" i="14"/>
  <c r="H26" i="12"/>
  <c r="G27" i="12"/>
  <c r="B26" i="12"/>
  <c r="AC93" i="14"/>
  <c r="AC92" i="14" s="1"/>
  <c r="X99" i="15"/>
  <c r="X90" i="15" s="1"/>
  <c r="X93" i="15" s="1"/>
  <c r="R88" i="11"/>
  <c r="Q88" i="11" s="1"/>
  <c r="Q87" i="11"/>
  <c r="C121" i="4"/>
  <c r="J121" i="4"/>
  <c r="R104" i="11"/>
  <c r="Q103" i="11"/>
  <c r="D20" i="13"/>
  <c r="J383" i="14"/>
  <c r="C383" i="14"/>
  <c r="B17" i="16"/>
  <c r="G17" i="16"/>
  <c r="C17" i="16" s="1"/>
  <c r="D17" i="16" s="1"/>
  <c r="D17" i="4"/>
  <c r="K17" i="4"/>
  <c r="E17" i="4" s="1"/>
  <c r="D418" i="14"/>
  <c r="K418" i="14"/>
  <c r="G418" i="14" s="1"/>
  <c r="X127" i="15"/>
  <c r="X128" i="15" s="1"/>
  <c r="Y120" i="15"/>
  <c r="Y188" i="15"/>
  <c r="X195" i="15"/>
  <c r="X196" i="15" s="1"/>
  <c r="C165" i="15"/>
  <c r="H165" i="15"/>
  <c r="D165" i="15" s="1"/>
  <c r="G138" i="14"/>
  <c r="D138" i="14"/>
  <c r="F437" i="14"/>
  <c r="L437" i="14"/>
  <c r="AE71" i="14"/>
  <c r="AE70" i="14" s="1"/>
  <c r="Z100" i="15"/>
  <c r="Z91" i="15" s="1"/>
  <c r="B122" i="4"/>
  <c r="H123" i="4"/>
  <c r="I122" i="4"/>
  <c r="H141" i="14"/>
  <c r="B140" i="14"/>
  <c r="I140" i="14"/>
  <c r="C439" i="14"/>
  <c r="J439" i="14"/>
  <c r="J419" i="14"/>
  <c r="C419" i="14"/>
  <c r="R37" i="11"/>
  <c r="Q37" i="11" s="1"/>
  <c r="Q36" i="11"/>
  <c r="F20" i="15"/>
  <c r="G19" i="15"/>
  <c r="B19" i="15"/>
  <c r="D438" i="14"/>
  <c r="K438" i="14"/>
  <c r="G438" i="14"/>
  <c r="S70" i="4"/>
  <c r="R138" i="11"/>
  <c r="Q137" i="11"/>
  <c r="D382" i="14"/>
  <c r="G382" i="14"/>
  <c r="Y100" i="15"/>
  <c r="Y91" i="15" s="1"/>
  <c r="AD71" i="14"/>
  <c r="AD70" i="14" s="1"/>
  <c r="E22" i="13"/>
  <c r="F21" i="13"/>
  <c r="C21" i="13" s="1"/>
  <c r="B21" i="13"/>
  <c r="D21" i="13" s="1"/>
  <c r="F18" i="16"/>
  <c r="A18" i="16"/>
  <c r="E19" i="16"/>
  <c r="R155" i="11"/>
  <c r="Q154" i="11"/>
  <c r="E120" i="4"/>
  <c r="F120" i="4" s="1"/>
  <c r="K120" i="4"/>
  <c r="D120" i="4" s="1"/>
  <c r="Q121" i="11"/>
  <c r="R122" i="11"/>
  <c r="Q122" i="11" s="1"/>
  <c r="C55" i="15"/>
  <c r="H55" i="15"/>
  <c r="D55" i="15" s="1"/>
  <c r="I19" i="4"/>
  <c r="H20" i="4"/>
  <c r="B19" i="4"/>
  <c r="W43" i="4"/>
  <c r="K8" i="7"/>
  <c r="X43" i="4" s="1"/>
  <c r="H441" i="14"/>
  <c r="B440" i="14"/>
  <c r="I440" i="14"/>
  <c r="C18" i="15"/>
  <c r="H18" i="15"/>
  <c r="D18" i="15" s="1"/>
  <c r="R117" i="10"/>
  <c r="S117" i="10"/>
  <c r="M117" i="10"/>
  <c r="O117" i="10"/>
  <c r="T117" i="10"/>
  <c r="N117" i="10"/>
  <c r="P117" i="10"/>
  <c r="Q117" i="10"/>
  <c r="J24" i="12"/>
  <c r="F24" i="12" s="1"/>
  <c r="W70" i="4"/>
  <c r="T70" i="4"/>
  <c r="U70" i="4"/>
  <c r="R70" i="4"/>
  <c r="I25" i="12"/>
  <c r="D25" i="12" s="1"/>
  <c r="C25" i="12"/>
  <c r="W16" i="4"/>
  <c r="K14" i="5"/>
  <c r="X16" i="4" s="1"/>
  <c r="Q68" i="11"/>
  <c r="R69" i="11"/>
  <c r="W11" i="4"/>
  <c r="K8" i="5"/>
  <c r="X11" i="4" s="1"/>
  <c r="I384" i="14"/>
  <c r="H385" i="14"/>
  <c r="B384" i="14"/>
  <c r="C139" i="14"/>
  <c r="J139" i="14"/>
  <c r="N418" i="14" l="1"/>
  <c r="E418" i="14" s="1"/>
  <c r="I62" i="14"/>
  <c r="J61" i="14"/>
  <c r="J62" i="14" s="1"/>
  <c r="B120" i="14"/>
  <c r="H121" i="14"/>
  <c r="I120" i="14"/>
  <c r="J119" i="14"/>
  <c r="C119" i="14"/>
  <c r="G118" i="14"/>
  <c r="D118" i="14"/>
  <c r="AE238" i="14"/>
  <c r="Z243" i="14"/>
  <c r="X243" i="14"/>
  <c r="AC243" i="14"/>
  <c r="AB242" i="14"/>
  <c r="AA244" i="14"/>
  <c r="X242" i="14"/>
  <c r="AA242" i="14"/>
  <c r="AB243" i="14"/>
  <c r="AA243" i="14"/>
  <c r="Z244" i="14"/>
  <c r="Z242" i="14"/>
  <c r="AB244" i="14"/>
  <c r="AE243" i="14"/>
  <c r="X244" i="14"/>
  <c r="AE244" i="14"/>
  <c r="C61" i="14"/>
  <c r="AE242" i="14"/>
  <c r="Y242" i="14"/>
  <c r="Y244" i="14"/>
  <c r="AC244" i="14"/>
  <c r="AD242" i="14"/>
  <c r="Y243" i="14"/>
  <c r="AD244" i="14"/>
  <c r="AC242" i="14"/>
  <c r="AD243" i="14"/>
  <c r="AE240" i="14"/>
  <c r="Y238" i="14"/>
  <c r="AB240" i="14"/>
  <c r="Z240" i="14"/>
  <c r="AD240" i="14"/>
  <c r="Y240" i="14"/>
  <c r="AB239" i="14"/>
  <c r="X239" i="14"/>
  <c r="AA238" i="14"/>
  <c r="AC238" i="14"/>
  <c r="X240" i="14"/>
  <c r="Z239" i="14"/>
  <c r="AD238" i="14"/>
  <c r="Z238" i="14"/>
  <c r="AA240" i="14"/>
  <c r="Y239" i="14"/>
  <c r="AA239" i="14"/>
  <c r="AC240" i="14"/>
  <c r="AD239" i="14"/>
  <c r="AB238" i="14"/>
  <c r="X238" i="14"/>
  <c r="AE239" i="14"/>
  <c r="AC239" i="14"/>
  <c r="B62" i="14"/>
  <c r="H63" i="14"/>
  <c r="D61" i="14"/>
  <c r="C62" i="14"/>
  <c r="G23" i="14"/>
  <c r="D23" i="14"/>
  <c r="I25" i="14"/>
  <c r="B25" i="14"/>
  <c r="C24" i="14"/>
  <c r="J24" i="14"/>
  <c r="AC179" i="14"/>
  <c r="AC181" i="14" s="1"/>
  <c r="Y179" i="14"/>
  <c r="Y181" i="14" s="1"/>
  <c r="AD173" i="14"/>
  <c r="AD175" i="14" s="1"/>
  <c r="X173" i="14"/>
  <c r="X175" i="14" s="1"/>
  <c r="AE112" i="14"/>
  <c r="AE114" i="14" s="1"/>
  <c r="AB118" i="14"/>
  <c r="AB120" i="14" s="1"/>
  <c r="Z118" i="14"/>
  <c r="Z120" i="14" s="1"/>
  <c r="Z112" i="14"/>
  <c r="X112" i="14"/>
  <c r="X115" i="14"/>
  <c r="X117" i="14" s="1"/>
  <c r="Y118" i="14"/>
  <c r="Y120" i="14" s="1"/>
  <c r="Y115" i="14"/>
  <c r="Y117" i="14" s="1"/>
  <c r="AC118" i="14"/>
  <c r="AC120" i="14" s="1"/>
  <c r="AC115" i="14"/>
  <c r="AC117" i="14" s="1"/>
  <c r="AD115" i="14"/>
  <c r="AD117" i="14" s="1"/>
  <c r="Y112" i="14"/>
  <c r="AB115" i="14"/>
  <c r="AB117" i="14" s="1"/>
  <c r="AA115" i="14"/>
  <c r="AA117" i="14" s="1"/>
  <c r="AE118" i="14"/>
  <c r="AE120" i="14" s="1"/>
  <c r="X118" i="14"/>
  <c r="X120" i="14" s="1"/>
  <c r="AC112" i="14"/>
  <c r="AC114" i="14" s="1"/>
  <c r="AE115" i="14"/>
  <c r="AE117" i="14" s="1"/>
  <c r="Z115" i="14"/>
  <c r="Z117" i="14" s="1"/>
  <c r="AA118" i="14"/>
  <c r="AA120" i="14" s="1"/>
  <c r="AD118" i="14"/>
  <c r="AD120" i="14" s="1"/>
  <c r="AD112" i="14"/>
  <c r="AD114" i="14" s="1"/>
  <c r="AB112" i="14"/>
  <c r="AB114" i="14" s="1"/>
  <c r="AA112" i="14"/>
  <c r="AA114" i="14" s="1"/>
  <c r="AE53" i="14"/>
  <c r="W61" i="14"/>
  <c r="W53" i="14"/>
  <c r="W57" i="14"/>
  <c r="AE57" i="14"/>
  <c r="B152" i="12"/>
  <c r="G153" i="12"/>
  <c r="G301" i="16"/>
  <c r="C301" i="16" s="1"/>
  <c r="B301" i="16"/>
  <c r="E303" i="16"/>
  <c r="A302" i="16"/>
  <c r="F302" i="16"/>
  <c r="U78" i="3"/>
  <c r="T77" i="3"/>
  <c r="U60" i="3"/>
  <c r="T59" i="3"/>
  <c r="I21" i="11"/>
  <c r="B21" i="11"/>
  <c r="H22" i="11"/>
  <c r="C20" i="11"/>
  <c r="K20" i="11" s="1"/>
  <c r="J20" i="11"/>
  <c r="D20" i="11" s="1"/>
  <c r="F20" i="11" s="1"/>
  <c r="B27" i="12"/>
  <c r="G28" i="12"/>
  <c r="H27" i="12"/>
  <c r="F19" i="16"/>
  <c r="E20" i="16"/>
  <c r="A19" i="16"/>
  <c r="D439" i="14"/>
  <c r="K439" i="14"/>
  <c r="G439" i="14"/>
  <c r="Y127" i="15"/>
  <c r="Y128" i="15" s="1"/>
  <c r="Z120" i="15"/>
  <c r="Z127" i="15" s="1"/>
  <c r="Z128" i="15" s="1"/>
  <c r="D18" i="4"/>
  <c r="K18" i="4"/>
  <c r="E18" i="4" s="1"/>
  <c r="H56" i="15"/>
  <c r="D56" i="15" s="1"/>
  <c r="C56" i="15"/>
  <c r="R53" i="11"/>
  <c r="Q52" i="11"/>
  <c r="AE93" i="14"/>
  <c r="AE92" i="14" s="1"/>
  <c r="Z99" i="15"/>
  <c r="Z90" i="15" s="1"/>
  <c r="Z93" i="15" s="1"/>
  <c r="G18" i="16"/>
  <c r="C18" i="16" s="1"/>
  <c r="B18" i="16"/>
  <c r="E23" i="13"/>
  <c r="F22" i="13"/>
  <c r="C22" i="13" s="1"/>
  <c r="B22" i="13"/>
  <c r="H19" i="15"/>
  <c r="D19" i="15" s="1"/>
  <c r="C19" i="15"/>
  <c r="C122" i="4"/>
  <c r="J122" i="4"/>
  <c r="I385" i="14"/>
  <c r="H386" i="14"/>
  <c r="B385" i="14"/>
  <c r="R70" i="11"/>
  <c r="Q69" i="11"/>
  <c r="G139" i="14"/>
  <c r="D139" i="14"/>
  <c r="J384" i="14"/>
  <c r="C384" i="14"/>
  <c r="J25" i="12"/>
  <c r="F25" i="12" s="1"/>
  <c r="I441" i="14"/>
  <c r="H442" i="14"/>
  <c r="B441" i="14"/>
  <c r="I20" i="4"/>
  <c r="H21" i="4"/>
  <c r="B20" i="4"/>
  <c r="R139" i="11"/>
  <c r="Q139" i="11" s="1"/>
  <c r="Q138" i="11"/>
  <c r="F438" i="14"/>
  <c r="L438" i="14"/>
  <c r="H142" i="14"/>
  <c r="B141" i="14"/>
  <c r="I141" i="14"/>
  <c r="Q104" i="11"/>
  <c r="R105" i="11"/>
  <c r="Q105" i="11" s="1"/>
  <c r="K185" i="10"/>
  <c r="T107" i="10"/>
  <c r="O116" i="10" s="1"/>
  <c r="G57" i="15"/>
  <c r="F58" i="15"/>
  <c r="B57" i="15"/>
  <c r="C19" i="4"/>
  <c r="J19" i="4"/>
  <c r="Y195" i="15"/>
  <c r="Y196" i="15" s="1"/>
  <c r="Z188" i="15"/>
  <c r="Z195" i="15" s="1"/>
  <c r="Z196" i="15" s="1"/>
  <c r="D383" i="14"/>
  <c r="G383" i="14"/>
  <c r="K121" i="4"/>
  <c r="D121" i="4" s="1"/>
  <c r="E121" i="4"/>
  <c r="F121" i="4" s="1"/>
  <c r="G167" i="15"/>
  <c r="F168" i="15"/>
  <c r="B167" i="15"/>
  <c r="Y99" i="15"/>
  <c r="Y90" i="15" s="1"/>
  <c r="Y93" i="15" s="1"/>
  <c r="AD93" i="14"/>
  <c r="AD92" i="14" s="1"/>
  <c r="E24" i="12"/>
  <c r="C440" i="14"/>
  <c r="J440" i="14"/>
  <c r="R156" i="11"/>
  <c r="Q156" i="11" s="1"/>
  <c r="Q155" i="11"/>
  <c r="F21" i="15"/>
  <c r="G20" i="15"/>
  <c r="B20" i="15"/>
  <c r="K419" i="14"/>
  <c r="G419" i="14" s="1"/>
  <c r="D419" i="14"/>
  <c r="C140" i="14"/>
  <c r="J140" i="14"/>
  <c r="B123" i="4"/>
  <c r="H124" i="4"/>
  <c r="I123" i="4"/>
  <c r="C26" i="12"/>
  <c r="I26" i="12"/>
  <c r="D26" i="12" s="1"/>
  <c r="C420" i="14"/>
  <c r="J420" i="14"/>
  <c r="C166" i="15"/>
  <c r="H166" i="15"/>
  <c r="D166" i="15" s="1"/>
  <c r="N419" i="14" l="1"/>
  <c r="E419" i="14" s="1"/>
  <c r="G61" i="14"/>
  <c r="D119" i="14"/>
  <c r="G119" i="14"/>
  <c r="J120" i="14"/>
  <c r="C120" i="14"/>
  <c r="I121" i="14"/>
  <c r="B121" i="14"/>
  <c r="B63" i="14"/>
  <c r="H64" i="14"/>
  <c r="I63" i="14"/>
  <c r="G62" i="14"/>
  <c r="D62" i="14"/>
  <c r="Y114" i="14"/>
  <c r="Z114" i="14"/>
  <c r="X114" i="14"/>
  <c r="I26" i="14"/>
  <c r="B26" i="14"/>
  <c r="J25" i="14"/>
  <c r="C25" i="14"/>
  <c r="G24" i="14"/>
  <c r="D24" i="14"/>
  <c r="G154" i="12"/>
  <c r="B153" i="12"/>
  <c r="A303" i="16"/>
  <c r="F303" i="16"/>
  <c r="E304" i="16"/>
  <c r="G302" i="16"/>
  <c r="C302" i="16" s="1"/>
  <c r="B302" i="16"/>
  <c r="D301" i="16"/>
  <c r="D18" i="16"/>
  <c r="U61" i="3"/>
  <c r="T60" i="3"/>
  <c r="U79" i="3"/>
  <c r="T79" i="3" s="1"/>
  <c r="T78" i="3"/>
  <c r="H23" i="11"/>
  <c r="I22" i="11"/>
  <c r="B22" i="11"/>
  <c r="J21" i="11"/>
  <c r="D21" i="11" s="1"/>
  <c r="F21" i="11" s="1"/>
  <c r="C21" i="11"/>
  <c r="K21" i="11" s="1"/>
  <c r="E21" i="11" s="1"/>
  <c r="E20" i="11"/>
  <c r="G85" i="10"/>
  <c r="F3" i="10" s="1"/>
  <c r="K91" i="10"/>
  <c r="J27" i="10" s="1"/>
  <c r="W87" i="4" s="1"/>
  <c r="L95" i="10"/>
  <c r="K31" i="10" s="1"/>
  <c r="K85" i="10"/>
  <c r="J3" i="10" s="1"/>
  <c r="K97" i="10"/>
  <c r="J33" i="10" s="1"/>
  <c r="W93" i="4" s="1"/>
  <c r="I71" i="10"/>
  <c r="H15" i="10" s="1"/>
  <c r="I91" i="10"/>
  <c r="H27" i="10" s="1"/>
  <c r="U87" i="4" s="1"/>
  <c r="G87" i="10"/>
  <c r="F18" i="10" s="1"/>
  <c r="E71" i="10"/>
  <c r="D15" i="10" s="1"/>
  <c r="H101" i="10"/>
  <c r="G37" i="10" s="1"/>
  <c r="E92" i="10"/>
  <c r="D28" i="10" s="1"/>
  <c r="Q88" i="4" s="1"/>
  <c r="AA88" i="4" s="1"/>
  <c r="K86" i="10"/>
  <c r="J4" i="10" s="1"/>
  <c r="W72" i="4" s="1"/>
  <c r="L86" i="10"/>
  <c r="K4" i="10" s="1"/>
  <c r="X72" i="4" s="1"/>
  <c r="K99" i="10"/>
  <c r="J35" i="10" s="1"/>
  <c r="I92" i="10"/>
  <c r="H28" i="10" s="1"/>
  <c r="U88" i="4" s="1"/>
  <c r="H99" i="10"/>
  <c r="G35" i="10" s="1"/>
  <c r="L101" i="10"/>
  <c r="K37" i="10" s="1"/>
  <c r="G91" i="10"/>
  <c r="F27" i="10" s="1"/>
  <c r="S87" i="4" s="1"/>
  <c r="K98" i="10"/>
  <c r="J34" i="10" s="1"/>
  <c r="W94" i="4" s="1"/>
  <c r="I99" i="10"/>
  <c r="H35" i="10" s="1"/>
  <c r="I86" i="10"/>
  <c r="H4" i="10" s="1"/>
  <c r="U72" i="4" s="1"/>
  <c r="K87" i="10"/>
  <c r="J18" i="10" s="1"/>
  <c r="E98" i="10"/>
  <c r="D34" i="10" s="1"/>
  <c r="Q94" i="4" s="1"/>
  <c r="F86" i="10"/>
  <c r="E4" i="10" s="1"/>
  <c r="R72" i="4" s="1"/>
  <c r="I85" i="10"/>
  <c r="H3" i="10" s="1"/>
  <c r="E91" i="10"/>
  <c r="D27" i="10" s="1"/>
  <c r="Q87" i="4" s="1"/>
  <c r="AA87" i="4" s="1"/>
  <c r="J101" i="10"/>
  <c r="I37" i="10" s="1"/>
  <c r="J99" i="10"/>
  <c r="I35" i="10" s="1"/>
  <c r="J89" i="10"/>
  <c r="I14" i="10" s="1"/>
  <c r="H89" i="10"/>
  <c r="G14" i="10" s="1"/>
  <c r="F95" i="10"/>
  <c r="E31" i="10" s="1"/>
  <c r="G99" i="10"/>
  <c r="F35" i="10" s="1"/>
  <c r="F91" i="10"/>
  <c r="E27" i="10" s="1"/>
  <c r="R87" i="4" s="1"/>
  <c r="E97" i="10"/>
  <c r="D33" i="10" s="1"/>
  <c r="Q93" i="4" s="1"/>
  <c r="H85" i="10"/>
  <c r="G3" i="10" s="1"/>
  <c r="G92" i="10"/>
  <c r="F28" i="10" s="1"/>
  <c r="S88" i="4" s="1"/>
  <c r="E87" i="10"/>
  <c r="D18" i="10" s="1"/>
  <c r="I97" i="10"/>
  <c r="H33" i="10" s="1"/>
  <c r="U93" i="4" s="1"/>
  <c r="E85" i="10"/>
  <c r="D3" i="10" s="1"/>
  <c r="L85" i="10"/>
  <c r="K3" i="10" s="1"/>
  <c r="H71" i="10"/>
  <c r="G15" i="10" s="1"/>
  <c r="F101" i="10"/>
  <c r="E37" i="10" s="1"/>
  <c r="K93" i="10"/>
  <c r="J29" i="10" s="1"/>
  <c r="F97" i="10"/>
  <c r="E33" i="10" s="1"/>
  <c r="R93" i="4" s="1"/>
  <c r="F16" i="4" s="1"/>
  <c r="L91" i="10"/>
  <c r="K27" i="10" s="1"/>
  <c r="X87" i="4" s="1"/>
  <c r="J98" i="10"/>
  <c r="I34" i="10" s="1"/>
  <c r="V94" i="4" s="1"/>
  <c r="K101" i="10"/>
  <c r="J37" i="10" s="1"/>
  <c r="I89" i="10"/>
  <c r="H14" i="10" s="1"/>
  <c r="L93" i="10"/>
  <c r="K29" i="10" s="1"/>
  <c r="F93" i="10"/>
  <c r="E29" i="10" s="1"/>
  <c r="K71" i="10"/>
  <c r="J15" i="10" s="1"/>
  <c r="L87" i="10"/>
  <c r="K18" i="10" s="1"/>
  <c r="E86" i="10"/>
  <c r="D4" i="10" s="1"/>
  <c r="Q72" i="4" s="1"/>
  <c r="AA72" i="4" s="1"/>
  <c r="F85" i="10"/>
  <c r="E3" i="10" s="1"/>
  <c r="H92" i="10"/>
  <c r="G28" i="10" s="1"/>
  <c r="T88" i="4" s="1"/>
  <c r="J87" i="10"/>
  <c r="I18" i="10" s="1"/>
  <c r="E89" i="10"/>
  <c r="D14" i="10" s="1"/>
  <c r="H97" i="10"/>
  <c r="G33" i="10" s="1"/>
  <c r="T93" i="4" s="1"/>
  <c r="G71" i="10"/>
  <c r="F15" i="10" s="1"/>
  <c r="J91" i="10"/>
  <c r="I27" i="10" s="1"/>
  <c r="V87" i="4" s="1"/>
  <c r="F98" i="10"/>
  <c r="E34" i="10" s="1"/>
  <c r="R94" i="4" s="1"/>
  <c r="F17" i="4" s="1"/>
  <c r="H93" i="10"/>
  <c r="G29" i="10" s="1"/>
  <c r="K92" i="10"/>
  <c r="J28" i="10" s="1"/>
  <c r="W88" i="4" s="1"/>
  <c r="E101" i="10"/>
  <c r="D37" i="10" s="1"/>
  <c r="H87" i="10"/>
  <c r="G18" i="10" s="1"/>
  <c r="E99" i="10"/>
  <c r="D35" i="10" s="1"/>
  <c r="K89" i="10"/>
  <c r="J14" i="10" s="1"/>
  <c r="H98" i="10"/>
  <c r="G34" i="10" s="1"/>
  <c r="T94" i="4" s="1"/>
  <c r="J71" i="10"/>
  <c r="I15" i="10" s="1"/>
  <c r="G97" i="10"/>
  <c r="F33" i="10" s="1"/>
  <c r="S93" i="4" s="1"/>
  <c r="J93" i="10"/>
  <c r="I29" i="10" s="1"/>
  <c r="G98" i="10"/>
  <c r="F34" i="10" s="1"/>
  <c r="S94" i="4" s="1"/>
  <c r="J92" i="10"/>
  <c r="I28" i="10" s="1"/>
  <c r="V88" i="4" s="1"/>
  <c r="L97" i="10"/>
  <c r="K33" i="10" s="1"/>
  <c r="X93" i="4" s="1"/>
  <c r="H91" i="10"/>
  <c r="G27" i="10" s="1"/>
  <c r="T87" i="4" s="1"/>
  <c r="L92" i="10"/>
  <c r="K28" i="10" s="1"/>
  <c r="X88" i="4" s="1"/>
  <c r="L98" i="10"/>
  <c r="K34" i="10" s="1"/>
  <c r="X94" i="4" s="1"/>
  <c r="J86" i="10"/>
  <c r="I4" i="10" s="1"/>
  <c r="V72" i="4" s="1"/>
  <c r="E95" i="10"/>
  <c r="D31" i="10" s="1"/>
  <c r="F89" i="10"/>
  <c r="E14" i="10" s="1"/>
  <c r="J85" i="10"/>
  <c r="I3" i="10" s="1"/>
  <c r="J95" i="10"/>
  <c r="I31" i="10" s="1"/>
  <c r="G95" i="10"/>
  <c r="F31" i="10" s="1"/>
  <c r="H86" i="10"/>
  <c r="G4" i="10" s="1"/>
  <c r="T72" i="4" s="1"/>
  <c r="L99" i="10"/>
  <c r="K35" i="10" s="1"/>
  <c r="G89" i="10"/>
  <c r="F14" i="10" s="1"/>
  <c r="F71" i="10"/>
  <c r="E15" i="10" s="1"/>
  <c r="L89" i="10"/>
  <c r="K14" i="10" s="1"/>
  <c r="F92" i="10"/>
  <c r="E28" i="10" s="1"/>
  <c r="R88" i="4" s="1"/>
  <c r="I93" i="10"/>
  <c r="H29" i="10" s="1"/>
  <c r="F99" i="10"/>
  <c r="E35" i="10" s="1"/>
  <c r="G86" i="10"/>
  <c r="F4" i="10" s="1"/>
  <c r="S72" i="4" s="1"/>
  <c r="K95" i="10"/>
  <c r="J31" i="10" s="1"/>
  <c r="I95" i="10"/>
  <c r="H31" i="10" s="1"/>
  <c r="G101" i="10"/>
  <c r="F37" i="10" s="1"/>
  <c r="I87" i="10"/>
  <c r="H18" i="10" s="1"/>
  <c r="J97" i="10"/>
  <c r="I33" i="10" s="1"/>
  <c r="V93" i="4" s="1"/>
  <c r="G93" i="10"/>
  <c r="F29" i="10" s="1"/>
  <c r="L71" i="10"/>
  <c r="K15" i="10" s="1"/>
  <c r="I98" i="10"/>
  <c r="H34" i="10" s="1"/>
  <c r="U94" i="4" s="1"/>
  <c r="E93" i="10"/>
  <c r="D29" i="10" s="1"/>
  <c r="F87" i="10"/>
  <c r="E18" i="10" s="1"/>
  <c r="I101" i="10"/>
  <c r="H37" i="10" s="1"/>
  <c r="H95" i="10"/>
  <c r="G31" i="10" s="1"/>
  <c r="C141" i="14"/>
  <c r="J141" i="14"/>
  <c r="B442" i="14"/>
  <c r="I442" i="14"/>
  <c r="H443" i="14"/>
  <c r="E25" i="12"/>
  <c r="I386" i="14"/>
  <c r="H387" i="14"/>
  <c r="B386" i="14"/>
  <c r="L439" i="14"/>
  <c r="F439" i="14"/>
  <c r="G19" i="16"/>
  <c r="C19" i="16" s="1"/>
  <c r="B19" i="16"/>
  <c r="H28" i="12"/>
  <c r="G29" i="12"/>
  <c r="B28" i="12"/>
  <c r="J26" i="12"/>
  <c r="F26" i="12" s="1"/>
  <c r="G140" i="14"/>
  <c r="D140" i="14"/>
  <c r="C57" i="15"/>
  <c r="H57" i="15"/>
  <c r="D57" i="15" s="1"/>
  <c r="H143" i="14"/>
  <c r="B142" i="14"/>
  <c r="I142" i="14"/>
  <c r="C20" i="4"/>
  <c r="J20" i="4"/>
  <c r="D384" i="14"/>
  <c r="G384" i="14"/>
  <c r="R71" i="11"/>
  <c r="Q71" i="11" s="1"/>
  <c r="Q70" i="11"/>
  <c r="K122" i="4"/>
  <c r="D122" i="4" s="1"/>
  <c r="E122" i="4"/>
  <c r="F122" i="4" s="1"/>
  <c r="K420" i="14"/>
  <c r="G420" i="14" s="1"/>
  <c r="D420" i="14"/>
  <c r="J123" i="4"/>
  <c r="C123" i="4"/>
  <c r="H20" i="15"/>
  <c r="D20" i="15" s="1"/>
  <c r="C20" i="15"/>
  <c r="D440" i="14"/>
  <c r="K440" i="14"/>
  <c r="G440" i="14"/>
  <c r="G168" i="15"/>
  <c r="F169" i="15"/>
  <c r="B168" i="15"/>
  <c r="D19" i="4"/>
  <c r="F19" i="4" s="1"/>
  <c r="K19" i="4"/>
  <c r="E19" i="4" s="1"/>
  <c r="T116" i="10"/>
  <c r="M116" i="10"/>
  <c r="P116" i="10"/>
  <c r="R116" i="10"/>
  <c r="N116" i="10"/>
  <c r="D22" i="13"/>
  <c r="Q53" i="11"/>
  <c r="R54" i="11"/>
  <c r="Q54" i="11" s="1"/>
  <c r="S116" i="10"/>
  <c r="F20" i="16"/>
  <c r="E21" i="16"/>
  <c r="A20" i="16"/>
  <c r="I27" i="12"/>
  <c r="D27" i="12" s="1"/>
  <c r="C27" i="12"/>
  <c r="H125" i="4"/>
  <c r="I124" i="4"/>
  <c r="B124" i="4"/>
  <c r="B21" i="15"/>
  <c r="F22" i="15"/>
  <c r="G21" i="15"/>
  <c r="C167" i="15"/>
  <c r="H167" i="15"/>
  <c r="D167" i="15" s="1"/>
  <c r="G58" i="15"/>
  <c r="B58" i="15"/>
  <c r="F59" i="15"/>
  <c r="H22" i="4"/>
  <c r="I21" i="4"/>
  <c r="B21" i="4"/>
  <c r="C441" i="14"/>
  <c r="J441" i="14"/>
  <c r="J385" i="14"/>
  <c r="C385" i="14"/>
  <c r="E24" i="13"/>
  <c r="F23" i="13"/>
  <c r="C23" i="13" s="1"/>
  <c r="B23" i="13"/>
  <c r="D23" i="13" s="1"/>
  <c r="Q116" i="10"/>
  <c r="N420" i="14" l="1"/>
  <c r="E420" i="14" s="1"/>
  <c r="G120" i="14"/>
  <c r="D120" i="14"/>
  <c r="J121" i="14"/>
  <c r="C121" i="14"/>
  <c r="C63" i="14"/>
  <c r="J63" i="14"/>
  <c r="D63" i="14" s="1"/>
  <c r="I64" i="14"/>
  <c r="C64" i="14" s="1"/>
  <c r="B64" i="14"/>
  <c r="H65" i="14"/>
  <c r="G25" i="14"/>
  <c r="D25" i="14"/>
  <c r="I27" i="14"/>
  <c r="B27" i="14"/>
  <c r="C26" i="14"/>
  <c r="J26" i="14"/>
  <c r="G155" i="12"/>
  <c r="B154" i="12"/>
  <c r="J27" i="12"/>
  <c r="F27" i="12" s="1"/>
  <c r="F304" i="16"/>
  <c r="A304" i="16"/>
  <c r="E305" i="16"/>
  <c r="D302" i="16"/>
  <c r="B303" i="16"/>
  <c r="G303" i="16"/>
  <c r="C303" i="16" s="1"/>
  <c r="D19" i="16"/>
  <c r="F51" i="3"/>
  <c r="F56" i="3"/>
  <c r="D56" i="3"/>
  <c r="G56" i="3"/>
  <c r="C51" i="3"/>
  <c r="I56" i="3"/>
  <c r="E56" i="3"/>
  <c r="D51" i="3"/>
  <c r="H51" i="3"/>
  <c r="C56" i="3"/>
  <c r="G44" i="3"/>
  <c r="J56" i="3"/>
  <c r="F44" i="3"/>
  <c r="G51" i="3"/>
  <c r="I51" i="3"/>
  <c r="H56" i="3"/>
  <c r="J51" i="3"/>
  <c r="E51" i="3"/>
  <c r="U62" i="3"/>
  <c r="T61" i="3"/>
  <c r="I62" i="3" s="1"/>
  <c r="C22" i="11"/>
  <c r="K22" i="11" s="1"/>
  <c r="J22" i="11"/>
  <c r="D22" i="11" s="1"/>
  <c r="F22" i="11" s="1"/>
  <c r="I23" i="11"/>
  <c r="H24" i="11"/>
  <c r="B23" i="11"/>
  <c r="G20" i="16"/>
  <c r="C20" i="16" s="1"/>
  <c r="D20" i="16" s="1"/>
  <c r="B20" i="16"/>
  <c r="G169" i="15"/>
  <c r="F170" i="15"/>
  <c r="B169" i="15"/>
  <c r="K123" i="4"/>
  <c r="D123" i="4" s="1"/>
  <c r="E123" i="4"/>
  <c r="F123" i="4" s="1"/>
  <c r="U97" i="4"/>
  <c r="AB85" i="14"/>
  <c r="AB84" i="14" s="1"/>
  <c r="X80" i="4"/>
  <c r="AE101" i="14"/>
  <c r="Z79" i="14"/>
  <c r="Z78" i="14" s="1"/>
  <c r="S91" i="4"/>
  <c r="V89" i="4"/>
  <c r="AC58" i="14"/>
  <c r="W80" i="4"/>
  <c r="AD101" i="14"/>
  <c r="AD100" i="14" s="1"/>
  <c r="Q71" i="4"/>
  <c r="AA71" i="4" s="1"/>
  <c r="D20" i="10"/>
  <c r="AA94" i="4"/>
  <c r="F12" i="4"/>
  <c r="F60" i="15"/>
  <c r="G59" i="15"/>
  <c r="B59" i="15"/>
  <c r="C168" i="15"/>
  <c r="H168" i="15"/>
  <c r="D168" i="15" s="1"/>
  <c r="D20" i="4"/>
  <c r="K20" i="4"/>
  <c r="E20" i="4" s="1"/>
  <c r="B143" i="14"/>
  <c r="H144" i="14"/>
  <c r="I143" i="14"/>
  <c r="G141" i="14"/>
  <c r="D141" i="14"/>
  <c r="R83" i="4"/>
  <c r="Y54" i="14"/>
  <c r="S89" i="4"/>
  <c r="Z58" i="14"/>
  <c r="U91" i="4"/>
  <c r="AB79" i="14"/>
  <c r="AB78" i="14" s="1"/>
  <c r="U89" i="4"/>
  <c r="AB58" i="14"/>
  <c r="S79" i="4"/>
  <c r="Z82" i="14"/>
  <c r="Z81" i="14" s="1"/>
  <c r="AC79" i="14"/>
  <c r="AC78" i="14" s="1"/>
  <c r="V91" i="4"/>
  <c r="X62" i="14"/>
  <c r="Q95" i="4"/>
  <c r="T89" i="4"/>
  <c r="AA58" i="14"/>
  <c r="R71" i="4"/>
  <c r="E20" i="10"/>
  <c r="R89" i="4"/>
  <c r="Y58" i="14"/>
  <c r="R97" i="4"/>
  <c r="Y85" i="14"/>
  <c r="Y84" i="14" s="1"/>
  <c r="AA93" i="4"/>
  <c r="F11" i="4"/>
  <c r="T79" i="4"/>
  <c r="AA82" i="14"/>
  <c r="AA81" i="14" s="1"/>
  <c r="W83" i="4"/>
  <c r="AD54" i="14"/>
  <c r="W95" i="4"/>
  <c r="AD62" i="14"/>
  <c r="T97" i="4"/>
  <c r="AA85" i="14"/>
  <c r="AA84" i="14" s="1"/>
  <c r="U80" i="4"/>
  <c r="AB101" i="14"/>
  <c r="AB100" i="14" s="1"/>
  <c r="E25" i="13"/>
  <c r="F24" i="13"/>
  <c r="C24" i="13" s="1"/>
  <c r="B24" i="13"/>
  <c r="E27" i="12"/>
  <c r="E26" i="12"/>
  <c r="Z85" i="14"/>
  <c r="Z84" i="14" s="1"/>
  <c r="S97" i="4"/>
  <c r="R80" i="4"/>
  <c r="Y101" i="14"/>
  <c r="Y100" i="14" s="1"/>
  <c r="X79" i="14"/>
  <c r="X78" i="14" s="1"/>
  <c r="Q91" i="4"/>
  <c r="AA91" i="4" s="1"/>
  <c r="W79" i="4"/>
  <c r="AD82" i="14"/>
  <c r="AD81" i="14" s="1"/>
  <c r="S80" i="4"/>
  <c r="Z101" i="14"/>
  <c r="Z100" i="14" s="1"/>
  <c r="W97" i="4"/>
  <c r="AD85" i="14"/>
  <c r="AD84" i="14" s="1"/>
  <c r="R91" i="4"/>
  <c r="Y79" i="14"/>
  <c r="Y78" i="14" s="1"/>
  <c r="C21" i="4"/>
  <c r="J21" i="4"/>
  <c r="H21" i="15"/>
  <c r="D21" i="15" s="1"/>
  <c r="C21" i="15"/>
  <c r="J124" i="4"/>
  <c r="C124" i="4"/>
  <c r="I387" i="14"/>
  <c r="H388" i="14"/>
  <c r="B387" i="14"/>
  <c r="H444" i="14"/>
  <c r="B443" i="14"/>
  <c r="I443" i="14"/>
  <c r="X58" i="14"/>
  <c r="Q89" i="4"/>
  <c r="AA89" i="4" s="1"/>
  <c r="W91" i="4"/>
  <c r="AD79" i="14"/>
  <c r="AD78" i="14" s="1"/>
  <c r="X95" i="4"/>
  <c r="AE62" i="14"/>
  <c r="AE63" i="14" s="1"/>
  <c r="V71" i="4"/>
  <c r="I20" i="10"/>
  <c r="V80" i="4"/>
  <c r="AC101" i="14"/>
  <c r="AC100" i="14" s="1"/>
  <c r="T83" i="4"/>
  <c r="AA54" i="14"/>
  <c r="Q79" i="4"/>
  <c r="AA79" i="4" s="1"/>
  <c r="X82" i="14"/>
  <c r="X81" i="14" s="1"/>
  <c r="AE58" i="14"/>
  <c r="AE59" i="14" s="1"/>
  <c r="X89" i="4"/>
  <c r="T80" i="4"/>
  <c r="AA101" i="14"/>
  <c r="AA100" i="14" s="1"/>
  <c r="Q83" i="4"/>
  <c r="AA83" i="4" s="1"/>
  <c r="X54" i="14"/>
  <c r="V79" i="4"/>
  <c r="AC82" i="14"/>
  <c r="AC81" i="14" s="1"/>
  <c r="U71" i="4"/>
  <c r="H20" i="10"/>
  <c r="X97" i="4"/>
  <c r="AE85" i="14"/>
  <c r="AE84" i="14" s="1"/>
  <c r="Q80" i="4"/>
  <c r="AA80" i="4" s="1"/>
  <c r="X101" i="14"/>
  <c r="X100" i="14" s="1"/>
  <c r="S71" i="4"/>
  <c r="F20" i="10"/>
  <c r="C28" i="12"/>
  <c r="I28" i="12"/>
  <c r="D28" i="12" s="1"/>
  <c r="R95" i="4"/>
  <c r="F18" i="4" s="1"/>
  <c r="Y62" i="14"/>
  <c r="W89" i="4"/>
  <c r="AD58" i="14"/>
  <c r="T71" i="4"/>
  <c r="G20" i="10"/>
  <c r="AC85" i="14"/>
  <c r="AC84" i="14" s="1"/>
  <c r="V97" i="4"/>
  <c r="X91" i="4"/>
  <c r="AE79" i="14"/>
  <c r="AE78" i="14" s="1"/>
  <c r="D385" i="14"/>
  <c r="G385" i="14"/>
  <c r="D441" i="14"/>
  <c r="K441" i="14"/>
  <c r="G441" i="14"/>
  <c r="H23" i="4"/>
  <c r="B22" i="4"/>
  <c r="I22" i="4"/>
  <c r="C58" i="15"/>
  <c r="H58" i="15"/>
  <c r="D58" i="15" s="1"/>
  <c r="G22" i="15"/>
  <c r="F23" i="15"/>
  <c r="B22" i="15"/>
  <c r="H126" i="4"/>
  <c r="I125" i="4"/>
  <c r="B125" i="4"/>
  <c r="F21" i="16"/>
  <c r="E22" i="16"/>
  <c r="A21" i="16"/>
  <c r="L440" i="14"/>
  <c r="F440" i="14"/>
  <c r="C142" i="14"/>
  <c r="J142" i="14"/>
  <c r="B29" i="12"/>
  <c r="G30" i="12"/>
  <c r="H29" i="12"/>
  <c r="J386" i="14"/>
  <c r="C386" i="14"/>
  <c r="J442" i="14"/>
  <c r="C442" i="14"/>
  <c r="T91" i="4"/>
  <c r="AA79" i="14"/>
  <c r="AA78" i="14" s="1"/>
  <c r="U83" i="4"/>
  <c r="AB54" i="14"/>
  <c r="X79" i="4"/>
  <c r="AE82" i="14"/>
  <c r="AE81" i="14" s="1"/>
  <c r="R79" i="4"/>
  <c r="Y82" i="14"/>
  <c r="Y81" i="14" s="1"/>
  <c r="Q97" i="4"/>
  <c r="X85" i="14"/>
  <c r="X84" i="14" s="1"/>
  <c r="V83" i="4"/>
  <c r="AC54" i="14"/>
  <c r="X83" i="4"/>
  <c r="AE54" i="14"/>
  <c r="AE55" i="14" s="1"/>
  <c r="U79" i="4"/>
  <c r="AB82" i="14"/>
  <c r="AB81" i="14" s="1"/>
  <c r="X71" i="4"/>
  <c r="K20" i="10"/>
  <c r="Z62" i="14"/>
  <c r="S95" i="4"/>
  <c r="AC62" i="14"/>
  <c r="V95" i="4"/>
  <c r="U95" i="4"/>
  <c r="AB62" i="14"/>
  <c r="T95" i="4"/>
  <c r="AA62" i="14"/>
  <c r="S83" i="4"/>
  <c r="Z54" i="14"/>
  <c r="W71" i="4"/>
  <c r="J20" i="10"/>
  <c r="G63" i="14" l="1"/>
  <c r="D121" i="14"/>
  <c r="G121" i="14"/>
  <c r="J64" i="14"/>
  <c r="D64" i="14" s="1"/>
  <c r="I65" i="14"/>
  <c r="C65" i="14" s="1"/>
  <c r="B65" i="14"/>
  <c r="H66" i="14"/>
  <c r="I28" i="14"/>
  <c r="B28" i="14"/>
  <c r="G26" i="14"/>
  <c r="D26" i="14"/>
  <c r="J27" i="14"/>
  <c r="C27" i="14"/>
  <c r="AA61" i="14"/>
  <c r="AA63" i="14" s="1"/>
  <c r="G156" i="12"/>
  <c r="B155" i="12"/>
  <c r="AC61" i="14"/>
  <c r="AC63" i="14" s="1"/>
  <c r="AB61" i="14"/>
  <c r="AB63" i="14" s="1"/>
  <c r="AC53" i="14"/>
  <c r="AC55" i="14" s="1"/>
  <c r="AB53" i="14"/>
  <c r="AB55" i="14" s="1"/>
  <c r="Z53" i="14"/>
  <c r="Z55" i="14" s="1"/>
  <c r="E306" i="16"/>
  <c r="F305" i="16"/>
  <c r="A305" i="16"/>
  <c r="D303" i="16"/>
  <c r="B304" i="16"/>
  <c r="G304" i="16"/>
  <c r="C304" i="16" s="1"/>
  <c r="D304" i="16" s="1"/>
  <c r="J62" i="3"/>
  <c r="U63" i="3"/>
  <c r="T62" i="3"/>
  <c r="H62" i="3"/>
  <c r="E62" i="3"/>
  <c r="C62" i="3"/>
  <c r="F62" i="3"/>
  <c r="G68" i="3"/>
  <c r="G62" i="3"/>
  <c r="D62" i="3"/>
  <c r="Y61" i="14"/>
  <c r="Y63" i="14" s="1"/>
  <c r="C23" i="11"/>
  <c r="K23" i="11" s="1"/>
  <c r="J23" i="11"/>
  <c r="D23" i="11" s="1"/>
  <c r="F23" i="11" s="1"/>
  <c r="E22" i="11"/>
  <c r="Z61" i="14"/>
  <c r="Z63" i="14" s="1"/>
  <c r="D24" i="13"/>
  <c r="H25" i="11"/>
  <c r="I24" i="11"/>
  <c r="B24" i="11"/>
  <c r="D442" i="14"/>
  <c r="K442" i="14"/>
  <c r="G442" i="14"/>
  <c r="H30" i="12"/>
  <c r="G31" i="12"/>
  <c r="B30" i="12"/>
  <c r="F22" i="16"/>
  <c r="E23" i="16"/>
  <c r="A22" i="16"/>
  <c r="B126" i="4"/>
  <c r="H127" i="4"/>
  <c r="I126" i="4"/>
  <c r="H24" i="4"/>
  <c r="B23" i="4"/>
  <c r="I23" i="4"/>
  <c r="AD57" i="14"/>
  <c r="AD59" i="14" s="1"/>
  <c r="H445" i="14"/>
  <c r="B444" i="14"/>
  <c r="I444" i="14"/>
  <c r="D21" i="4"/>
  <c r="F21" i="4" s="1"/>
  <c r="K21" i="4"/>
  <c r="E21" i="4" s="1"/>
  <c r="AD53" i="14"/>
  <c r="AD55" i="14" s="1"/>
  <c r="Y57" i="14"/>
  <c r="Y59" i="14" s="1"/>
  <c r="AA57" i="14"/>
  <c r="AA59" i="14" s="1"/>
  <c r="AB57" i="14"/>
  <c r="AB59" i="14" s="1"/>
  <c r="Z57" i="14"/>
  <c r="Z59" i="14" s="1"/>
  <c r="C143" i="14"/>
  <c r="J143" i="14"/>
  <c r="F20" i="4"/>
  <c r="C59" i="15"/>
  <c r="H59" i="15"/>
  <c r="D59" i="15" s="1"/>
  <c r="G170" i="15"/>
  <c r="F171" i="15"/>
  <c r="B170" i="15"/>
  <c r="G21" i="16"/>
  <c r="C21" i="16" s="1"/>
  <c r="D21" i="16" s="1"/>
  <c r="B21" i="16"/>
  <c r="J28" i="12"/>
  <c r="F28" i="12" s="1"/>
  <c r="X57" i="14"/>
  <c r="X59" i="14" s="1"/>
  <c r="E124" i="4"/>
  <c r="F124" i="4" s="1"/>
  <c r="K124" i="4"/>
  <c r="D124" i="4" s="1"/>
  <c r="F25" i="13"/>
  <c r="C25" i="13" s="1"/>
  <c r="B25" i="13"/>
  <c r="E26" i="13"/>
  <c r="H145" i="14"/>
  <c r="I144" i="14"/>
  <c r="B144" i="14"/>
  <c r="F61" i="15"/>
  <c r="B60" i="15"/>
  <c r="G60" i="15"/>
  <c r="AC57" i="14"/>
  <c r="AC59" i="14" s="1"/>
  <c r="AE100" i="14"/>
  <c r="C169" i="15"/>
  <c r="H169" i="15"/>
  <c r="D169" i="15" s="1"/>
  <c r="AA97" i="4"/>
  <c r="F15" i="4"/>
  <c r="D386" i="14"/>
  <c r="G386" i="14"/>
  <c r="F24" i="15"/>
  <c r="G23" i="15"/>
  <c r="B23" i="15"/>
  <c r="C22" i="4"/>
  <c r="J22" i="4"/>
  <c r="L441" i="14"/>
  <c r="F441" i="14"/>
  <c r="X53" i="14"/>
  <c r="X55" i="14" s="1"/>
  <c r="AA53" i="14"/>
  <c r="AA55" i="14" s="1"/>
  <c r="C443" i="14"/>
  <c r="J443" i="14"/>
  <c r="I388" i="14"/>
  <c r="H389" i="14"/>
  <c r="B388" i="14"/>
  <c r="AD61" i="14"/>
  <c r="AD63" i="14" s="1"/>
  <c r="AA95" i="4"/>
  <c r="F13" i="4"/>
  <c r="Y53" i="14"/>
  <c r="Y55" i="14" s="1"/>
  <c r="I29" i="12"/>
  <c r="D29" i="12" s="1"/>
  <c r="C29" i="12"/>
  <c r="G142" i="14"/>
  <c r="D142" i="14"/>
  <c r="C125" i="4"/>
  <c r="J125" i="4"/>
  <c r="C22" i="15"/>
  <c r="H22" i="15"/>
  <c r="D22" i="15" s="1"/>
  <c r="J387" i="14"/>
  <c r="C387" i="14"/>
  <c r="X61" i="14"/>
  <c r="X63" i="14" s="1"/>
  <c r="J65" i="14" l="1"/>
  <c r="G65" i="14" s="1"/>
  <c r="G64" i="14"/>
  <c r="B66" i="14"/>
  <c r="H67" i="14"/>
  <c r="I66" i="14"/>
  <c r="C66" i="14" s="1"/>
  <c r="G27" i="14"/>
  <c r="D27" i="14"/>
  <c r="B29" i="14"/>
  <c r="I29" i="14"/>
  <c r="J28" i="14"/>
  <c r="C28" i="14"/>
  <c r="B156" i="12"/>
  <c r="G157" i="12"/>
  <c r="G305" i="16"/>
  <c r="C305" i="16" s="1"/>
  <c r="B305" i="16"/>
  <c r="E307" i="16"/>
  <c r="A306" i="16"/>
  <c r="F306" i="16"/>
  <c r="E68" i="3"/>
  <c r="I68" i="3"/>
  <c r="C68" i="3"/>
  <c r="F68" i="3"/>
  <c r="J68" i="3"/>
  <c r="H68" i="3"/>
  <c r="I72" i="3"/>
  <c r="F45" i="3"/>
  <c r="U64" i="3"/>
  <c r="T64" i="3" s="1"/>
  <c r="D8" i="3" s="1"/>
  <c r="T63" i="3"/>
  <c r="C33" i="3" s="1"/>
  <c r="C14" i="3"/>
  <c r="E78" i="3"/>
  <c r="C8" i="3"/>
  <c r="D68" i="3"/>
  <c r="B25" i="11"/>
  <c r="I25" i="11"/>
  <c r="H26" i="11"/>
  <c r="J24" i="11"/>
  <c r="D24" i="11" s="1"/>
  <c r="F24" i="11" s="1"/>
  <c r="C24" i="11"/>
  <c r="K24" i="11" s="1"/>
  <c r="E24" i="11" s="1"/>
  <c r="E23" i="11"/>
  <c r="J388" i="14"/>
  <c r="C388" i="14"/>
  <c r="F62" i="15"/>
  <c r="B61" i="15"/>
  <c r="G61" i="15"/>
  <c r="D25" i="13"/>
  <c r="C170" i="15"/>
  <c r="H170" i="15"/>
  <c r="D170" i="15" s="1"/>
  <c r="G143" i="14"/>
  <c r="D143" i="14"/>
  <c r="C126" i="4"/>
  <c r="J126" i="4"/>
  <c r="F23" i="16"/>
  <c r="E24" i="16"/>
  <c r="A23" i="16"/>
  <c r="C30" i="12"/>
  <c r="I30" i="12"/>
  <c r="D30" i="12" s="1"/>
  <c r="K125" i="4"/>
  <c r="D125" i="4" s="1"/>
  <c r="E125" i="4"/>
  <c r="F125" i="4" s="1"/>
  <c r="J29" i="12"/>
  <c r="F29" i="12" s="1"/>
  <c r="K443" i="14"/>
  <c r="G443" i="14"/>
  <c r="D443" i="14"/>
  <c r="J144" i="14"/>
  <c r="C144" i="14"/>
  <c r="C444" i="14"/>
  <c r="J444" i="14"/>
  <c r="C23" i="4"/>
  <c r="J23" i="4"/>
  <c r="B127" i="4"/>
  <c r="H128" i="4"/>
  <c r="I127" i="4"/>
  <c r="G22" i="16"/>
  <c r="C22" i="16" s="1"/>
  <c r="D22" i="16" s="1"/>
  <c r="B22" i="16"/>
  <c r="H23" i="15"/>
  <c r="D23" i="15" s="1"/>
  <c r="C23" i="15"/>
  <c r="H60" i="15"/>
  <c r="D60" i="15" s="1"/>
  <c r="C60" i="15"/>
  <c r="B145" i="14"/>
  <c r="H146" i="14"/>
  <c r="I145" i="14"/>
  <c r="E28" i="12"/>
  <c r="F442" i="14"/>
  <c r="L442" i="14"/>
  <c r="D387" i="14"/>
  <c r="G387" i="14"/>
  <c r="I389" i="14"/>
  <c r="H390" i="14"/>
  <c r="B389" i="14"/>
  <c r="K22" i="4"/>
  <c r="E22" i="4" s="1"/>
  <c r="D22" i="4"/>
  <c r="F22" i="4" s="1"/>
  <c r="F25" i="15"/>
  <c r="G24" i="15"/>
  <c r="B24" i="15"/>
  <c r="E27" i="13"/>
  <c r="F26" i="13"/>
  <c r="C26" i="13" s="1"/>
  <c r="B26" i="13"/>
  <c r="D26" i="13" s="1"/>
  <c r="G171" i="15"/>
  <c r="F172" i="15"/>
  <c r="B171" i="15"/>
  <c r="I445" i="14"/>
  <c r="H446" i="14"/>
  <c r="B445" i="14"/>
  <c r="H25" i="4"/>
  <c r="B24" i="4"/>
  <c r="I24" i="4"/>
  <c r="B31" i="12"/>
  <c r="G32" i="12"/>
  <c r="H31" i="12"/>
  <c r="D65" i="14" l="1"/>
  <c r="J66" i="14"/>
  <c r="D66" i="14" s="1"/>
  <c r="I67" i="14"/>
  <c r="C67" i="14" s="1"/>
  <c r="B67" i="14"/>
  <c r="H68" i="14"/>
  <c r="J29" i="14"/>
  <c r="C29" i="14"/>
  <c r="G28" i="14"/>
  <c r="D28" i="14"/>
  <c r="I30" i="14"/>
  <c r="B30" i="14"/>
  <c r="B157" i="12"/>
  <c r="G158" i="12"/>
  <c r="A307" i="16"/>
  <c r="F307" i="16"/>
  <c r="E308" i="16"/>
  <c r="G306" i="16"/>
  <c r="C306" i="16" s="1"/>
  <c r="B306" i="16"/>
  <c r="D305" i="16"/>
  <c r="H57" i="3"/>
  <c r="H27" i="3"/>
  <c r="F77" i="3"/>
  <c r="H33" i="3"/>
  <c r="I39" i="3"/>
  <c r="I22" i="3"/>
  <c r="F19" i="3"/>
  <c r="H69" i="3"/>
  <c r="J45" i="3"/>
  <c r="H63" i="3"/>
  <c r="G45" i="3"/>
  <c r="G69" i="3"/>
  <c r="E33" i="3"/>
  <c r="J39" i="3"/>
  <c r="J63" i="3"/>
  <c r="I33" i="3"/>
  <c r="E22" i="3"/>
  <c r="F39" i="3"/>
  <c r="I8" i="3"/>
  <c r="D77" i="3"/>
  <c r="F27" i="3"/>
  <c r="E45" i="3"/>
  <c r="G77" i="3"/>
  <c r="E69" i="3"/>
  <c r="D72" i="3"/>
  <c r="J14" i="3"/>
  <c r="F14" i="3"/>
  <c r="D45" i="3"/>
  <c r="I63" i="3"/>
  <c r="G19" i="3"/>
  <c r="F57" i="3"/>
  <c r="H22" i="3"/>
  <c r="D39" i="3"/>
  <c r="G63" i="3"/>
  <c r="D22" i="3"/>
  <c r="E77" i="3"/>
  <c r="F69" i="3"/>
  <c r="H14" i="3"/>
  <c r="C69" i="3"/>
  <c r="G27" i="3"/>
  <c r="G78" i="3"/>
  <c r="G57" i="3"/>
  <c r="F78" i="3"/>
  <c r="G72" i="3"/>
  <c r="J8" i="3"/>
  <c r="D27" i="3"/>
  <c r="C19" i="3"/>
  <c r="E19" i="3"/>
  <c r="E14" i="3"/>
  <c r="C78" i="3"/>
  <c r="F72" i="3"/>
  <c r="I45" i="3"/>
  <c r="E57" i="3"/>
  <c r="G14" i="3"/>
  <c r="I27" i="3"/>
  <c r="D78" i="3"/>
  <c r="H8" i="3"/>
  <c r="G8" i="3"/>
  <c r="H39" i="3"/>
  <c r="C45" i="3"/>
  <c r="G33" i="3"/>
  <c r="F22" i="3"/>
  <c r="J77" i="3"/>
  <c r="E63" i="3"/>
  <c r="D57" i="3"/>
  <c r="E8" i="3"/>
  <c r="H77" i="3"/>
  <c r="D69" i="3"/>
  <c r="I77" i="3"/>
  <c r="J33" i="3"/>
  <c r="C63" i="3"/>
  <c r="H45" i="3"/>
  <c r="J72" i="3"/>
  <c r="I78" i="3"/>
  <c r="F8" i="3"/>
  <c r="E72" i="3"/>
  <c r="I19" i="3"/>
  <c r="D33" i="3"/>
  <c r="J22" i="3"/>
  <c r="I57" i="3"/>
  <c r="J57" i="3"/>
  <c r="J27" i="3"/>
  <c r="F63" i="3"/>
  <c r="J78" i="3"/>
  <c r="I14" i="3"/>
  <c r="C22" i="3"/>
  <c r="J19" i="3"/>
  <c r="H19" i="3"/>
  <c r="I69" i="3"/>
  <c r="E39" i="3"/>
  <c r="J69" i="3"/>
  <c r="C77" i="3"/>
  <c r="H72" i="3"/>
  <c r="C57" i="3"/>
  <c r="C72" i="3"/>
  <c r="C27" i="3"/>
  <c r="C39" i="3"/>
  <c r="H78" i="3"/>
  <c r="E27" i="3"/>
  <c r="F33" i="3"/>
  <c r="G22" i="3"/>
  <c r="D19" i="3"/>
  <c r="D63" i="3"/>
  <c r="D14" i="3"/>
  <c r="G39" i="3"/>
  <c r="H27" i="11"/>
  <c r="I26" i="11"/>
  <c r="B26" i="11"/>
  <c r="J30" i="12"/>
  <c r="F30" i="12" s="1"/>
  <c r="J25" i="11"/>
  <c r="D25" i="11" s="1"/>
  <c r="F25" i="11" s="1"/>
  <c r="C25" i="11"/>
  <c r="K25" i="11" s="1"/>
  <c r="E25" i="11" s="1"/>
  <c r="H147" i="14"/>
  <c r="I146" i="14"/>
  <c r="B146" i="14"/>
  <c r="J127" i="4"/>
  <c r="C127" i="4"/>
  <c r="C24" i="4"/>
  <c r="J24" i="4"/>
  <c r="B446" i="14"/>
  <c r="I446" i="14"/>
  <c r="H447" i="14"/>
  <c r="C171" i="15"/>
  <c r="H171" i="15"/>
  <c r="D171" i="15" s="1"/>
  <c r="C145" i="14"/>
  <c r="J145" i="14"/>
  <c r="K23" i="4"/>
  <c r="E23" i="4" s="1"/>
  <c r="D23" i="4"/>
  <c r="F23" i="4" s="1"/>
  <c r="C445" i="14"/>
  <c r="J445" i="14"/>
  <c r="H24" i="15"/>
  <c r="D24" i="15" s="1"/>
  <c r="C24" i="15"/>
  <c r="F24" i="16"/>
  <c r="E25" i="16"/>
  <c r="A24" i="16"/>
  <c r="B62" i="15"/>
  <c r="F63" i="15"/>
  <c r="G62" i="15"/>
  <c r="H32" i="12"/>
  <c r="G33" i="12"/>
  <c r="B32" i="12"/>
  <c r="H26" i="4"/>
  <c r="B25" i="4"/>
  <c r="I25" i="4"/>
  <c r="B25" i="15"/>
  <c r="F26" i="15"/>
  <c r="F27" i="15" s="1"/>
  <c r="G25" i="15"/>
  <c r="I390" i="14"/>
  <c r="H391" i="14"/>
  <c r="B390" i="14"/>
  <c r="H129" i="4"/>
  <c r="I128" i="4"/>
  <c r="B128" i="4"/>
  <c r="D444" i="14"/>
  <c r="K444" i="14"/>
  <c r="G444" i="14"/>
  <c r="F443" i="14"/>
  <c r="L443" i="14"/>
  <c r="G23" i="16"/>
  <c r="C23" i="16" s="1"/>
  <c r="D23" i="16" s="1"/>
  <c r="B23" i="16"/>
  <c r="I31" i="12"/>
  <c r="D31" i="12" s="1"/>
  <c r="C31" i="12"/>
  <c r="D144" i="14"/>
  <c r="G144" i="14"/>
  <c r="G172" i="15"/>
  <c r="F173" i="15"/>
  <c r="B172" i="15"/>
  <c r="E28" i="13"/>
  <c r="F27" i="13"/>
  <c r="C27" i="13" s="1"/>
  <c r="B27" i="13"/>
  <c r="J389" i="14"/>
  <c r="C389" i="14"/>
  <c r="E29" i="12"/>
  <c r="K126" i="4"/>
  <c r="D126" i="4" s="1"/>
  <c r="E126" i="4"/>
  <c r="F126" i="4" s="1"/>
  <c r="H61" i="15"/>
  <c r="D61" i="15" s="1"/>
  <c r="C61" i="15"/>
  <c r="D388" i="14"/>
  <c r="G388" i="14"/>
  <c r="J67" i="14" l="1"/>
  <c r="D67" i="14" s="1"/>
  <c r="G66" i="14"/>
  <c r="B68" i="14"/>
  <c r="H69" i="14"/>
  <c r="I68" i="14"/>
  <c r="J68" i="14" s="1"/>
  <c r="I31" i="14"/>
  <c r="B31" i="14"/>
  <c r="C30" i="14"/>
  <c r="J30" i="14"/>
  <c r="G29" i="14"/>
  <c r="D29" i="14"/>
  <c r="G159" i="12"/>
  <c r="B158" i="12"/>
  <c r="E30" i="12"/>
  <c r="F308" i="16"/>
  <c r="A308" i="16"/>
  <c r="E309" i="16"/>
  <c r="D306" i="16"/>
  <c r="B307" i="16"/>
  <c r="G307" i="16"/>
  <c r="C307" i="16" s="1"/>
  <c r="B27" i="15"/>
  <c r="F28" i="15"/>
  <c r="J26" i="11"/>
  <c r="D26" i="11" s="1"/>
  <c r="F26" i="11" s="1"/>
  <c r="C26" i="11"/>
  <c r="K26" i="11" s="1"/>
  <c r="E26" i="11" s="1"/>
  <c r="D27" i="13"/>
  <c r="I27" i="11"/>
  <c r="B27" i="11"/>
  <c r="H28" i="11"/>
  <c r="G173" i="15"/>
  <c r="B173" i="15"/>
  <c r="F174" i="15"/>
  <c r="J390" i="14"/>
  <c r="C390" i="14"/>
  <c r="C25" i="4"/>
  <c r="J25" i="4"/>
  <c r="B33" i="12"/>
  <c r="G34" i="12"/>
  <c r="H33" i="12"/>
  <c r="K24" i="4"/>
  <c r="E24" i="4" s="1"/>
  <c r="D24" i="4"/>
  <c r="F24" i="4" s="1"/>
  <c r="C172" i="15"/>
  <c r="H172" i="15"/>
  <c r="D172" i="15" s="1"/>
  <c r="H25" i="15"/>
  <c r="D25" i="15" s="1"/>
  <c r="C25" i="15"/>
  <c r="C32" i="12"/>
  <c r="I32" i="12"/>
  <c r="D32" i="12" s="1"/>
  <c r="G145" i="14"/>
  <c r="D145" i="14"/>
  <c r="H448" i="14"/>
  <c r="B447" i="14"/>
  <c r="I447" i="14"/>
  <c r="J146" i="14"/>
  <c r="C146" i="14"/>
  <c r="E29" i="13"/>
  <c r="F28" i="13"/>
  <c r="C28" i="13" s="1"/>
  <c r="B28" i="13"/>
  <c r="J128" i="4"/>
  <c r="C128" i="4"/>
  <c r="G26" i="15"/>
  <c r="G27" i="15" s="1"/>
  <c r="B26" i="15"/>
  <c r="H27" i="4"/>
  <c r="B26" i="4"/>
  <c r="I26" i="4"/>
  <c r="H62" i="15"/>
  <c r="D62" i="15" s="1"/>
  <c r="C62" i="15"/>
  <c r="F25" i="16"/>
  <c r="E26" i="16"/>
  <c r="A25" i="16"/>
  <c r="D445" i="14"/>
  <c r="K445" i="14"/>
  <c r="G445" i="14"/>
  <c r="J446" i="14"/>
  <c r="C446" i="14"/>
  <c r="B147" i="14"/>
  <c r="H148" i="14"/>
  <c r="I147" i="14"/>
  <c r="D389" i="14"/>
  <c r="G389" i="14"/>
  <c r="J31" i="12"/>
  <c r="F31" i="12" s="1"/>
  <c r="L444" i="14"/>
  <c r="F444" i="14"/>
  <c r="H130" i="4"/>
  <c r="I129" i="4"/>
  <c r="B129" i="4"/>
  <c r="I391" i="14"/>
  <c r="H392" i="14"/>
  <c r="B391" i="14"/>
  <c r="G63" i="15"/>
  <c r="F64" i="15"/>
  <c r="B63" i="15"/>
  <c r="G24" i="16"/>
  <c r="C24" i="16" s="1"/>
  <c r="D24" i="16" s="1"/>
  <c r="B24" i="16"/>
  <c r="K127" i="4"/>
  <c r="D127" i="4" s="1"/>
  <c r="E127" i="4"/>
  <c r="F127" i="4" s="1"/>
  <c r="G67" i="14" l="1"/>
  <c r="B69" i="14"/>
  <c r="H70" i="14"/>
  <c r="C68" i="14"/>
  <c r="I69" i="14"/>
  <c r="J69" i="14" s="1"/>
  <c r="G68" i="14"/>
  <c r="D68" i="14"/>
  <c r="I32" i="14"/>
  <c r="B32" i="14"/>
  <c r="G30" i="14"/>
  <c r="D30" i="14"/>
  <c r="J31" i="14"/>
  <c r="C31" i="14"/>
  <c r="G160" i="12"/>
  <c r="B159" i="12"/>
  <c r="E310" i="16"/>
  <c r="F309" i="16"/>
  <c r="A309" i="16"/>
  <c r="B308" i="16"/>
  <c r="G308" i="16"/>
  <c r="C308" i="16" s="1"/>
  <c r="D308" i="16" s="1"/>
  <c r="D307" i="16"/>
  <c r="C27" i="15"/>
  <c r="F29" i="15"/>
  <c r="G28" i="15"/>
  <c r="B28" i="15"/>
  <c r="I28" i="11"/>
  <c r="B28" i="11"/>
  <c r="H29" i="11"/>
  <c r="C27" i="11"/>
  <c r="K27" i="11" s="1"/>
  <c r="E27" i="11" s="1"/>
  <c r="J27" i="11"/>
  <c r="D27" i="11" s="1"/>
  <c r="F27" i="11" s="1"/>
  <c r="C63" i="15"/>
  <c r="H63" i="15"/>
  <c r="D63" i="15" s="1"/>
  <c r="C147" i="14"/>
  <c r="J147" i="14"/>
  <c r="D446" i="14"/>
  <c r="K446" i="14"/>
  <c r="G446" i="14"/>
  <c r="E128" i="4"/>
  <c r="F128" i="4" s="1"/>
  <c r="K128" i="4"/>
  <c r="D128" i="4" s="1"/>
  <c r="E30" i="13"/>
  <c r="F29" i="13"/>
  <c r="C29" i="13" s="1"/>
  <c r="B29" i="13"/>
  <c r="C447" i="14"/>
  <c r="J447" i="14"/>
  <c r="K25" i="4"/>
  <c r="E25" i="4" s="1"/>
  <c r="D25" i="4"/>
  <c r="F25" i="4" s="1"/>
  <c r="C129" i="4"/>
  <c r="J129" i="4"/>
  <c r="E31" i="12"/>
  <c r="I148" i="14"/>
  <c r="H149" i="14"/>
  <c r="B148" i="14"/>
  <c r="E27" i="16"/>
  <c r="F26" i="16"/>
  <c r="A26" i="16"/>
  <c r="C26" i="4"/>
  <c r="J26" i="4"/>
  <c r="C26" i="15"/>
  <c r="H26" i="15"/>
  <c r="D26" i="15" s="1"/>
  <c r="I33" i="12"/>
  <c r="D33" i="12" s="1"/>
  <c r="C33" i="12"/>
  <c r="G174" i="15"/>
  <c r="F175" i="15"/>
  <c r="B174" i="15"/>
  <c r="I392" i="14"/>
  <c r="H393" i="14"/>
  <c r="B392" i="14"/>
  <c r="B130" i="4"/>
  <c r="H131" i="4"/>
  <c r="I130" i="4"/>
  <c r="L445" i="14"/>
  <c r="F445" i="14"/>
  <c r="G25" i="16"/>
  <c r="C25" i="16" s="1"/>
  <c r="B25" i="16"/>
  <c r="D28" i="13"/>
  <c r="H449" i="14"/>
  <c r="B448" i="14"/>
  <c r="I448" i="14"/>
  <c r="J32" i="12"/>
  <c r="F32" i="12" s="1"/>
  <c r="H34" i="12"/>
  <c r="G35" i="12"/>
  <c r="B34" i="12"/>
  <c r="G64" i="15"/>
  <c r="B64" i="15"/>
  <c r="F65" i="15"/>
  <c r="J391" i="14"/>
  <c r="C391" i="14"/>
  <c r="H28" i="4"/>
  <c r="B27" i="4"/>
  <c r="I27" i="4"/>
  <c r="D146" i="14"/>
  <c r="G146" i="14"/>
  <c r="D390" i="14"/>
  <c r="G390" i="14"/>
  <c r="C173" i="15"/>
  <c r="H173" i="15"/>
  <c r="D173" i="15" s="1"/>
  <c r="C69" i="14" l="1"/>
  <c r="B70" i="14"/>
  <c r="H71" i="14"/>
  <c r="I70" i="14"/>
  <c r="J70" i="14" s="1"/>
  <c r="G69" i="14"/>
  <c r="D69" i="14"/>
  <c r="I33" i="14"/>
  <c r="B33" i="14"/>
  <c r="G31" i="14"/>
  <c r="D31" i="14"/>
  <c r="C32" i="14"/>
  <c r="J32" i="14"/>
  <c r="B160" i="12"/>
  <c r="G161" i="12"/>
  <c r="J33" i="12"/>
  <c r="F33" i="12" s="1"/>
  <c r="E311" i="16"/>
  <c r="A310" i="16"/>
  <c r="F310" i="16"/>
  <c r="G309" i="16"/>
  <c r="C309" i="16" s="1"/>
  <c r="B309" i="16"/>
  <c r="D25" i="16"/>
  <c r="C28" i="15"/>
  <c r="G29" i="15"/>
  <c r="B29" i="15"/>
  <c r="F30" i="15"/>
  <c r="H27" i="15"/>
  <c r="D27" i="15" s="1"/>
  <c r="D29" i="13"/>
  <c r="B29" i="11"/>
  <c r="I29" i="11"/>
  <c r="H30" i="11"/>
  <c r="J28" i="11"/>
  <c r="D28" i="11" s="1"/>
  <c r="F28" i="11" s="1"/>
  <c r="C28" i="11"/>
  <c r="K28" i="11" s="1"/>
  <c r="E28" i="11" s="1"/>
  <c r="E32" i="12"/>
  <c r="B131" i="4"/>
  <c r="H132" i="4"/>
  <c r="I131" i="4"/>
  <c r="J392" i="14"/>
  <c r="C392" i="14"/>
  <c r="G26" i="16"/>
  <c r="C26" i="16" s="1"/>
  <c r="B26" i="16"/>
  <c r="J148" i="14"/>
  <c r="C148" i="14"/>
  <c r="G147" i="14"/>
  <c r="D147" i="14"/>
  <c r="C27" i="4"/>
  <c r="J27" i="4"/>
  <c r="H64" i="15"/>
  <c r="D64" i="15" s="1"/>
  <c r="C64" i="15"/>
  <c r="C448" i="14"/>
  <c r="J448" i="14"/>
  <c r="K26" i="4"/>
  <c r="E26" i="4" s="1"/>
  <c r="D26" i="4"/>
  <c r="F26" i="4" s="1"/>
  <c r="A27" i="16"/>
  <c r="E28" i="16"/>
  <c r="F27" i="16"/>
  <c r="D391" i="14"/>
  <c r="G391" i="14"/>
  <c r="B35" i="12"/>
  <c r="G36" i="12"/>
  <c r="H35" i="12"/>
  <c r="G175" i="15"/>
  <c r="F176" i="15"/>
  <c r="B175" i="15"/>
  <c r="K447" i="14"/>
  <c r="G447" i="14"/>
  <c r="D447" i="14"/>
  <c r="E31" i="13"/>
  <c r="F30" i="13"/>
  <c r="C30" i="13" s="1"/>
  <c r="B30" i="13"/>
  <c r="F446" i="14"/>
  <c r="L446" i="14"/>
  <c r="H29" i="4"/>
  <c r="B28" i="4"/>
  <c r="I28" i="4"/>
  <c r="F66" i="15"/>
  <c r="G65" i="15"/>
  <c r="B65" i="15"/>
  <c r="C34" i="12"/>
  <c r="I34" i="12"/>
  <c r="D34" i="12" s="1"/>
  <c r="I449" i="14"/>
  <c r="H450" i="14"/>
  <c r="B449" i="14"/>
  <c r="C130" i="4"/>
  <c r="J130" i="4"/>
  <c r="I393" i="14"/>
  <c r="H394" i="14"/>
  <c r="B393" i="14"/>
  <c r="H174" i="15"/>
  <c r="D174" i="15" s="1"/>
  <c r="C174" i="15"/>
  <c r="I149" i="14"/>
  <c r="H150" i="14"/>
  <c r="B149" i="14"/>
  <c r="K129" i="4"/>
  <c r="D129" i="4" s="1"/>
  <c r="E129" i="4"/>
  <c r="F129" i="4" s="1"/>
  <c r="C70" i="14" l="1"/>
  <c r="I71" i="14"/>
  <c r="J71" i="14" s="1"/>
  <c r="B71" i="14"/>
  <c r="H72" i="14"/>
  <c r="G70" i="14"/>
  <c r="D70" i="14"/>
  <c r="G32" i="14"/>
  <c r="D32" i="14"/>
  <c r="I34" i="14"/>
  <c r="B34" i="14"/>
  <c r="J33" i="14"/>
  <c r="C33" i="14"/>
  <c r="G162" i="12"/>
  <c r="B161" i="12"/>
  <c r="J34" i="12"/>
  <c r="E33" i="12"/>
  <c r="G310" i="16"/>
  <c r="C310" i="16" s="1"/>
  <c r="B310" i="16"/>
  <c r="D309" i="16"/>
  <c r="A311" i="16"/>
  <c r="F311" i="16"/>
  <c r="E312" i="16"/>
  <c r="D26" i="16"/>
  <c r="H28" i="15"/>
  <c r="D28" i="15" s="1"/>
  <c r="H29" i="15"/>
  <c r="D29" i="15" s="1"/>
  <c r="C29" i="15"/>
  <c r="G30" i="15"/>
  <c r="B30" i="15"/>
  <c r="F31" i="15"/>
  <c r="J29" i="11"/>
  <c r="D29" i="11" s="1"/>
  <c r="F29" i="11" s="1"/>
  <c r="C29" i="11"/>
  <c r="K29" i="11" s="1"/>
  <c r="E29" i="11" s="1"/>
  <c r="B30" i="11"/>
  <c r="I30" i="11"/>
  <c r="H31" i="11"/>
  <c r="I150" i="14"/>
  <c r="H151" i="14"/>
  <c r="B150" i="14"/>
  <c r="C449" i="14"/>
  <c r="J449" i="14"/>
  <c r="H65" i="15"/>
  <c r="D65" i="15" s="1"/>
  <c r="C65" i="15"/>
  <c r="H30" i="4"/>
  <c r="B29" i="4"/>
  <c r="I29" i="4"/>
  <c r="F447" i="14"/>
  <c r="L447" i="14"/>
  <c r="H175" i="15"/>
  <c r="D175" i="15" s="1"/>
  <c r="C175" i="15"/>
  <c r="H36" i="12"/>
  <c r="G37" i="12"/>
  <c r="B36" i="12"/>
  <c r="F28" i="16"/>
  <c r="A28" i="16"/>
  <c r="E29" i="16"/>
  <c r="D448" i="14"/>
  <c r="K448" i="14"/>
  <c r="G448" i="14"/>
  <c r="K27" i="4"/>
  <c r="E27" i="4" s="1"/>
  <c r="D27" i="4"/>
  <c r="F27" i="4" s="1"/>
  <c r="J131" i="4"/>
  <c r="C131" i="4"/>
  <c r="J149" i="14"/>
  <c r="C149" i="14"/>
  <c r="I394" i="14"/>
  <c r="H395" i="14"/>
  <c r="B394" i="14"/>
  <c r="B66" i="15"/>
  <c r="F67" i="15"/>
  <c r="G66" i="15"/>
  <c r="E32" i="13"/>
  <c r="F31" i="13"/>
  <c r="C31" i="13" s="1"/>
  <c r="B31" i="13"/>
  <c r="D148" i="14"/>
  <c r="G148" i="14"/>
  <c r="H133" i="4"/>
  <c r="I132" i="4"/>
  <c r="B132" i="4"/>
  <c r="J393" i="14"/>
  <c r="C393" i="14"/>
  <c r="C28" i="4"/>
  <c r="J28" i="4"/>
  <c r="K130" i="4"/>
  <c r="D130" i="4" s="1"/>
  <c r="E130" i="4"/>
  <c r="F130" i="4" s="1"/>
  <c r="B450" i="14"/>
  <c r="I450" i="14"/>
  <c r="H451" i="14"/>
  <c r="D30" i="13"/>
  <c r="G176" i="15"/>
  <c r="F177" i="15"/>
  <c r="B176" i="15"/>
  <c r="I35" i="12"/>
  <c r="D35" i="12" s="1"/>
  <c r="C35" i="12"/>
  <c r="G27" i="16"/>
  <c r="C27" i="16" s="1"/>
  <c r="D27" i="16" s="1"/>
  <c r="B27" i="16"/>
  <c r="D392" i="14"/>
  <c r="G392" i="14"/>
  <c r="I72" i="14" l="1"/>
  <c r="J72" i="14" s="1"/>
  <c r="C71" i="14"/>
  <c r="H73" i="14"/>
  <c r="B72" i="14"/>
  <c r="G71" i="14"/>
  <c r="D71" i="14"/>
  <c r="G33" i="14"/>
  <c r="D33" i="14"/>
  <c r="J34" i="14"/>
  <c r="C34" i="14"/>
  <c r="G163" i="12"/>
  <c r="B162" i="12"/>
  <c r="E34" i="12"/>
  <c r="F34" i="12"/>
  <c r="D310" i="16"/>
  <c r="F312" i="16"/>
  <c r="A312" i="16"/>
  <c r="E313" i="16"/>
  <c r="B311" i="16"/>
  <c r="G311" i="16"/>
  <c r="C311" i="16" s="1"/>
  <c r="D311" i="16" s="1"/>
  <c r="F32" i="15"/>
  <c r="B31" i="15"/>
  <c r="G31" i="15"/>
  <c r="C30" i="15"/>
  <c r="H30" i="15"/>
  <c r="D30" i="15" s="1"/>
  <c r="J30" i="11"/>
  <c r="D30" i="11" s="1"/>
  <c r="F30" i="11" s="1"/>
  <c r="C30" i="11"/>
  <c r="K30" i="11" s="1"/>
  <c r="E30" i="11" s="1"/>
  <c r="H32" i="11"/>
  <c r="I31" i="11"/>
  <c r="B31" i="11"/>
  <c r="H66" i="15"/>
  <c r="D66" i="15" s="1"/>
  <c r="C66" i="15"/>
  <c r="I395" i="14"/>
  <c r="H396" i="14"/>
  <c r="B395" i="14"/>
  <c r="C36" i="12"/>
  <c r="I36" i="12"/>
  <c r="D36" i="12" s="1"/>
  <c r="G177" i="15"/>
  <c r="F178" i="15"/>
  <c r="B177" i="15"/>
  <c r="H452" i="14"/>
  <c r="B451" i="14"/>
  <c r="I451" i="14"/>
  <c r="K28" i="4"/>
  <c r="E28" i="4" s="1"/>
  <c r="D28" i="4"/>
  <c r="F28" i="4" s="1"/>
  <c r="J132" i="4"/>
  <c r="C132" i="4"/>
  <c r="D31" i="13"/>
  <c r="G67" i="15"/>
  <c r="B67" i="15"/>
  <c r="F68" i="15"/>
  <c r="J394" i="14"/>
  <c r="C394" i="14"/>
  <c r="K131" i="4"/>
  <c r="D131" i="4" s="1"/>
  <c r="E131" i="4"/>
  <c r="F131" i="4" s="1"/>
  <c r="L448" i="14"/>
  <c r="F448" i="14"/>
  <c r="B28" i="16"/>
  <c r="G28" i="16"/>
  <c r="C28" i="16" s="1"/>
  <c r="D28" i="16" s="1"/>
  <c r="C29" i="4"/>
  <c r="J29" i="4"/>
  <c r="J35" i="12"/>
  <c r="F35" i="12" s="1"/>
  <c r="H176" i="15"/>
  <c r="D176" i="15" s="1"/>
  <c r="C176" i="15"/>
  <c r="J450" i="14"/>
  <c r="C450" i="14"/>
  <c r="H134" i="4"/>
  <c r="I133" i="4"/>
  <c r="B133" i="4"/>
  <c r="D449" i="14"/>
  <c r="K449" i="14"/>
  <c r="G449" i="14"/>
  <c r="I151" i="14"/>
  <c r="H152" i="14"/>
  <c r="B151" i="14"/>
  <c r="D393" i="14"/>
  <c r="G393" i="14"/>
  <c r="E33" i="13"/>
  <c r="F32" i="13"/>
  <c r="C32" i="13" s="1"/>
  <c r="B32" i="13"/>
  <c r="D32" i="13" s="1"/>
  <c r="D149" i="14"/>
  <c r="G149" i="14"/>
  <c r="F29" i="16"/>
  <c r="A29" i="16"/>
  <c r="E30" i="16"/>
  <c r="B37" i="12"/>
  <c r="G38" i="12"/>
  <c r="H37" i="12"/>
  <c r="H31" i="4"/>
  <c r="B30" i="4"/>
  <c r="I30" i="4"/>
  <c r="J150" i="14"/>
  <c r="C150" i="14"/>
  <c r="C72" i="14" l="1"/>
  <c r="H74" i="14"/>
  <c r="B73" i="14"/>
  <c r="I73" i="14"/>
  <c r="J73" i="14" s="1"/>
  <c r="G72" i="14"/>
  <c r="D72" i="14"/>
  <c r="G34" i="14"/>
  <c r="D34" i="14"/>
  <c r="G164" i="12"/>
  <c r="B163" i="12"/>
  <c r="E314" i="16"/>
  <c r="F313" i="16"/>
  <c r="A313" i="16"/>
  <c r="B312" i="16"/>
  <c r="G312" i="16"/>
  <c r="C312" i="16" s="1"/>
  <c r="D312" i="16" s="1"/>
  <c r="C31" i="15"/>
  <c r="H31" i="15"/>
  <c r="D31" i="15" s="1"/>
  <c r="F33" i="15"/>
  <c r="B32" i="15"/>
  <c r="G32" i="15"/>
  <c r="J36" i="12"/>
  <c r="F36" i="12" s="1"/>
  <c r="B32" i="11"/>
  <c r="H33" i="11"/>
  <c r="I32" i="11"/>
  <c r="J31" i="11"/>
  <c r="D31" i="11" s="1"/>
  <c r="F31" i="11" s="1"/>
  <c r="C31" i="11"/>
  <c r="K31" i="11" s="1"/>
  <c r="E31" i="11" s="1"/>
  <c r="E31" i="16"/>
  <c r="F30" i="16"/>
  <c r="A30" i="16"/>
  <c r="E34" i="13"/>
  <c r="F33" i="13"/>
  <c r="C33" i="13" s="1"/>
  <c r="B33" i="13"/>
  <c r="D33" i="13" s="1"/>
  <c r="L449" i="14"/>
  <c r="F449" i="14"/>
  <c r="K29" i="4"/>
  <c r="E29" i="4" s="1"/>
  <c r="D29" i="4"/>
  <c r="F29" i="4" s="1"/>
  <c r="I396" i="14"/>
  <c r="H397" i="14"/>
  <c r="B396" i="14"/>
  <c r="D150" i="14"/>
  <c r="G150" i="14"/>
  <c r="I37" i="12"/>
  <c r="D37" i="12" s="1"/>
  <c r="C37" i="12"/>
  <c r="I152" i="14"/>
  <c r="H153" i="14"/>
  <c r="B152" i="14"/>
  <c r="C133" i="4"/>
  <c r="J133" i="4"/>
  <c r="C67" i="15"/>
  <c r="H67" i="15"/>
  <c r="D67" i="15" s="1"/>
  <c r="C451" i="14"/>
  <c r="J451" i="14"/>
  <c r="G178" i="15"/>
  <c r="F179" i="15"/>
  <c r="B178" i="15"/>
  <c r="J395" i="14"/>
  <c r="C395" i="14"/>
  <c r="H32" i="4"/>
  <c r="B31" i="4"/>
  <c r="I31" i="4"/>
  <c r="C30" i="4"/>
  <c r="J30" i="4"/>
  <c r="H38" i="12"/>
  <c r="G39" i="12"/>
  <c r="B38" i="12"/>
  <c r="G29" i="16"/>
  <c r="C29" i="16" s="1"/>
  <c r="B29" i="16"/>
  <c r="J151" i="14"/>
  <c r="C151" i="14"/>
  <c r="B134" i="4"/>
  <c r="H135" i="4"/>
  <c r="I134" i="4"/>
  <c r="E35" i="12"/>
  <c r="D394" i="14"/>
  <c r="G394" i="14"/>
  <c r="H177" i="15"/>
  <c r="D177" i="15" s="1"/>
  <c r="C177" i="15"/>
  <c r="E132" i="4"/>
  <c r="F132" i="4" s="1"/>
  <c r="K132" i="4"/>
  <c r="D132" i="4" s="1"/>
  <c r="D450" i="14"/>
  <c r="K450" i="14"/>
  <c r="G450" i="14"/>
  <c r="G68" i="15"/>
  <c r="B68" i="15"/>
  <c r="F69" i="15"/>
  <c r="H453" i="14"/>
  <c r="B452" i="14"/>
  <c r="I452" i="14"/>
  <c r="I74" i="14" l="1"/>
  <c r="J74" i="14" s="1"/>
  <c r="C73" i="14"/>
  <c r="H75" i="14"/>
  <c r="B74" i="14"/>
  <c r="G73" i="14"/>
  <c r="D73" i="14"/>
  <c r="B164" i="12"/>
  <c r="G165" i="12"/>
  <c r="E36" i="12"/>
  <c r="E315" i="16"/>
  <c r="A314" i="16"/>
  <c r="F314" i="16"/>
  <c r="G313" i="16"/>
  <c r="C313" i="16" s="1"/>
  <c r="B313" i="16"/>
  <c r="D29" i="16"/>
  <c r="F34" i="15"/>
  <c r="G33" i="15"/>
  <c r="B33" i="15"/>
  <c r="H32" i="15"/>
  <c r="D32" i="15" s="1"/>
  <c r="C32" i="15"/>
  <c r="I33" i="11"/>
  <c r="H34" i="11"/>
  <c r="B33" i="11"/>
  <c r="C32" i="11"/>
  <c r="K32" i="11" s="1"/>
  <c r="E32" i="11" s="1"/>
  <c r="J32" i="11"/>
  <c r="D32" i="11" s="1"/>
  <c r="F32" i="11" s="1"/>
  <c r="C452" i="14"/>
  <c r="J452" i="14"/>
  <c r="F450" i="14"/>
  <c r="L450" i="14"/>
  <c r="K30" i="4"/>
  <c r="E30" i="4" s="1"/>
  <c r="D30" i="4"/>
  <c r="F30" i="4" s="1"/>
  <c r="J152" i="14"/>
  <c r="C152" i="14"/>
  <c r="E35" i="13"/>
  <c r="F34" i="13"/>
  <c r="C34" i="13" s="1"/>
  <c r="B34" i="13"/>
  <c r="I453" i="14"/>
  <c r="H454" i="14"/>
  <c r="B453" i="14"/>
  <c r="C134" i="4"/>
  <c r="J134" i="4"/>
  <c r="B39" i="12"/>
  <c r="G40" i="12"/>
  <c r="H39" i="12"/>
  <c r="H68" i="15"/>
  <c r="D68" i="15" s="1"/>
  <c r="C68" i="15"/>
  <c r="H33" i="4"/>
  <c r="B32" i="4"/>
  <c r="I32" i="4"/>
  <c r="G179" i="15"/>
  <c r="F180" i="15"/>
  <c r="B179" i="15"/>
  <c r="J37" i="12"/>
  <c r="F37" i="12" s="1"/>
  <c r="D151" i="14"/>
  <c r="G151" i="14"/>
  <c r="H178" i="15"/>
  <c r="D178" i="15" s="1"/>
  <c r="C178" i="15"/>
  <c r="I397" i="14"/>
  <c r="H398" i="14"/>
  <c r="B397" i="14"/>
  <c r="G30" i="16"/>
  <c r="C30" i="16" s="1"/>
  <c r="D30" i="16" s="1"/>
  <c r="B30" i="16"/>
  <c r="F70" i="15"/>
  <c r="G69" i="15"/>
  <c r="B69" i="15"/>
  <c r="B135" i="4"/>
  <c r="H136" i="4"/>
  <c r="I135" i="4"/>
  <c r="C38" i="12"/>
  <c r="I38" i="12"/>
  <c r="D38" i="12" s="1"/>
  <c r="C31" i="4"/>
  <c r="J31" i="4"/>
  <c r="D395" i="14"/>
  <c r="G395" i="14"/>
  <c r="K451" i="14"/>
  <c r="G451" i="14"/>
  <c r="D451" i="14"/>
  <c r="K133" i="4"/>
  <c r="D133" i="4" s="1"/>
  <c r="E133" i="4"/>
  <c r="F133" i="4" s="1"/>
  <c r="I153" i="14"/>
  <c r="H154" i="14"/>
  <c r="B153" i="14"/>
  <c r="J396" i="14"/>
  <c r="C396" i="14"/>
  <c r="A31" i="16"/>
  <c r="E32" i="16"/>
  <c r="F31" i="16"/>
  <c r="C74" i="14" l="1"/>
  <c r="H76" i="14"/>
  <c r="B75" i="14"/>
  <c r="I75" i="14"/>
  <c r="J75" i="14" s="1"/>
  <c r="G74" i="14"/>
  <c r="D74" i="14"/>
  <c r="B165" i="12"/>
  <c r="G166" i="12"/>
  <c r="G314" i="16"/>
  <c r="C314" i="16" s="1"/>
  <c r="D314" i="16" s="1"/>
  <c r="B314" i="16"/>
  <c r="D313" i="16"/>
  <c r="A315" i="16"/>
  <c r="F315" i="16"/>
  <c r="E316" i="16"/>
  <c r="H33" i="15"/>
  <c r="D33" i="15" s="1"/>
  <c r="C33" i="15"/>
  <c r="G34" i="15"/>
  <c r="B34" i="15"/>
  <c r="D34" i="13"/>
  <c r="I34" i="11"/>
  <c r="H35" i="11"/>
  <c r="B34" i="11"/>
  <c r="C33" i="11"/>
  <c r="K33" i="11" s="1"/>
  <c r="E33" i="11" s="1"/>
  <c r="J33" i="11"/>
  <c r="D33" i="11" s="1"/>
  <c r="F33" i="11" s="1"/>
  <c r="I154" i="14"/>
  <c r="B154" i="14"/>
  <c r="H155" i="14"/>
  <c r="H179" i="15"/>
  <c r="D179" i="15" s="1"/>
  <c r="C179" i="15"/>
  <c r="C453" i="14"/>
  <c r="J453" i="14"/>
  <c r="G31" i="16"/>
  <c r="C31" i="16" s="1"/>
  <c r="D31" i="16" s="1"/>
  <c r="B31" i="16"/>
  <c r="J153" i="14"/>
  <c r="C153" i="14"/>
  <c r="J38" i="12"/>
  <c r="F38" i="12" s="1"/>
  <c r="E37" i="12"/>
  <c r="C32" i="4"/>
  <c r="J32" i="4"/>
  <c r="I39" i="12"/>
  <c r="D39" i="12" s="1"/>
  <c r="C39" i="12"/>
  <c r="D152" i="14"/>
  <c r="G152" i="14"/>
  <c r="F32" i="16"/>
  <c r="A32" i="16"/>
  <c r="E33" i="16"/>
  <c r="D396" i="14"/>
  <c r="G396" i="14"/>
  <c r="K31" i="4"/>
  <c r="E31" i="4" s="1"/>
  <c r="D31" i="4"/>
  <c r="F31" i="4" s="1"/>
  <c r="J135" i="4"/>
  <c r="C135" i="4"/>
  <c r="H69" i="15"/>
  <c r="D69" i="15" s="1"/>
  <c r="C69" i="15"/>
  <c r="H40" i="12"/>
  <c r="G41" i="12"/>
  <c r="B40" i="12"/>
  <c r="D452" i="14"/>
  <c r="K452" i="14"/>
  <c r="G452" i="14"/>
  <c r="J397" i="14"/>
  <c r="C397" i="14"/>
  <c r="K134" i="4"/>
  <c r="D134" i="4" s="1"/>
  <c r="E134" i="4"/>
  <c r="F134" i="4" s="1"/>
  <c r="F451" i="14"/>
  <c r="L451" i="14"/>
  <c r="H137" i="4"/>
  <c r="I136" i="4"/>
  <c r="B136" i="4"/>
  <c r="B70" i="15"/>
  <c r="F71" i="15"/>
  <c r="G70" i="15"/>
  <c r="I398" i="14"/>
  <c r="H399" i="14"/>
  <c r="B398" i="14"/>
  <c r="G180" i="15"/>
  <c r="F181" i="15"/>
  <c r="B180" i="15"/>
  <c r="H34" i="4"/>
  <c r="B33" i="4"/>
  <c r="I33" i="4"/>
  <c r="B454" i="14"/>
  <c r="I454" i="14"/>
  <c r="H455" i="14"/>
  <c r="E36" i="13"/>
  <c r="F35" i="13"/>
  <c r="C35" i="13" s="1"/>
  <c r="B35" i="13"/>
  <c r="C75" i="14" l="1"/>
  <c r="I76" i="14"/>
  <c r="J76" i="14" s="1"/>
  <c r="H77" i="14"/>
  <c r="B76" i="14"/>
  <c r="G75" i="14"/>
  <c r="D75" i="14"/>
  <c r="G167" i="12"/>
  <c r="B166" i="12"/>
  <c r="J39" i="12"/>
  <c r="F39" i="12" s="1"/>
  <c r="B315" i="16"/>
  <c r="G315" i="16"/>
  <c r="C315" i="16" s="1"/>
  <c r="D315" i="16" s="1"/>
  <c r="F316" i="16"/>
  <c r="A316" i="16"/>
  <c r="E317" i="16"/>
  <c r="H34" i="15"/>
  <c r="D34" i="15" s="1"/>
  <c r="C34" i="15"/>
  <c r="I35" i="11"/>
  <c r="H36" i="11"/>
  <c r="B35" i="11"/>
  <c r="C34" i="11"/>
  <c r="K34" i="11" s="1"/>
  <c r="E34" i="11" s="1"/>
  <c r="J34" i="11"/>
  <c r="D34" i="11" s="1"/>
  <c r="F34" i="11" s="1"/>
  <c r="H456" i="14"/>
  <c r="B455" i="14"/>
  <c r="I455" i="14"/>
  <c r="I399" i="14"/>
  <c r="H400" i="14"/>
  <c r="B399" i="14"/>
  <c r="L452" i="14"/>
  <c r="F452" i="14"/>
  <c r="D35" i="13"/>
  <c r="J454" i="14"/>
  <c r="C454" i="14"/>
  <c r="H35" i="4"/>
  <c r="B34" i="4"/>
  <c r="I34" i="4"/>
  <c r="J398" i="14"/>
  <c r="C398" i="14"/>
  <c r="C40" i="12"/>
  <c r="I40" i="12"/>
  <c r="D40" i="12" s="1"/>
  <c r="B32" i="16"/>
  <c r="G32" i="16"/>
  <c r="C32" i="16" s="1"/>
  <c r="D32" i="16" s="1"/>
  <c r="D453" i="14"/>
  <c r="K453" i="14"/>
  <c r="G453" i="14"/>
  <c r="H156" i="14"/>
  <c r="B155" i="14"/>
  <c r="I155" i="14"/>
  <c r="H70" i="15"/>
  <c r="D70" i="15" s="1"/>
  <c r="C70" i="15"/>
  <c r="J136" i="4"/>
  <c r="C136" i="4"/>
  <c r="D397" i="14"/>
  <c r="G397" i="14"/>
  <c r="K135" i="4"/>
  <c r="D135" i="4" s="1"/>
  <c r="E135" i="4"/>
  <c r="F135" i="4" s="1"/>
  <c r="K32" i="4"/>
  <c r="E32" i="4" s="1"/>
  <c r="D32" i="4"/>
  <c r="F32" i="4" s="1"/>
  <c r="D153" i="14"/>
  <c r="G153" i="14"/>
  <c r="H180" i="15"/>
  <c r="D180" i="15" s="1"/>
  <c r="C180" i="15"/>
  <c r="B41" i="12"/>
  <c r="G42" i="12"/>
  <c r="H41" i="12"/>
  <c r="E37" i="13"/>
  <c r="F36" i="13"/>
  <c r="C36" i="13" s="1"/>
  <c r="B36" i="13"/>
  <c r="D36" i="13" s="1"/>
  <c r="C33" i="4"/>
  <c r="J33" i="4"/>
  <c r="G181" i="15"/>
  <c r="B181" i="15"/>
  <c r="F182" i="15"/>
  <c r="G71" i="15"/>
  <c r="B71" i="15"/>
  <c r="F72" i="15"/>
  <c r="H138" i="4"/>
  <c r="I137" i="4"/>
  <c r="B137" i="4"/>
  <c r="F33" i="16"/>
  <c r="A33" i="16"/>
  <c r="E34" i="16"/>
  <c r="E38" i="12"/>
  <c r="J154" i="14"/>
  <c r="C154" i="14"/>
  <c r="I77" i="14" l="1"/>
  <c r="J77" i="14" s="1"/>
  <c r="C76" i="14"/>
  <c r="H78" i="14"/>
  <c r="B77" i="14"/>
  <c r="G76" i="14"/>
  <c r="D76" i="14"/>
  <c r="G168" i="12"/>
  <c r="B167" i="12"/>
  <c r="E39" i="12"/>
  <c r="B316" i="16"/>
  <c r="G316" i="16"/>
  <c r="C316" i="16" s="1"/>
  <c r="D316" i="16" s="1"/>
  <c r="E318" i="16"/>
  <c r="F317" i="16"/>
  <c r="A317" i="16"/>
  <c r="B36" i="11"/>
  <c r="I36" i="11"/>
  <c r="H37" i="11"/>
  <c r="J35" i="11"/>
  <c r="D35" i="11" s="1"/>
  <c r="F35" i="11" s="1"/>
  <c r="C35" i="11"/>
  <c r="K35" i="11" s="1"/>
  <c r="E35" i="11" s="1"/>
  <c r="B138" i="4"/>
  <c r="H139" i="4"/>
  <c r="I138" i="4"/>
  <c r="K33" i="4"/>
  <c r="E33" i="4" s="1"/>
  <c r="D33" i="4"/>
  <c r="F33" i="4" s="1"/>
  <c r="E38" i="13"/>
  <c r="F37" i="13"/>
  <c r="C37" i="13" s="1"/>
  <c r="B37" i="13"/>
  <c r="D37" i="13" s="1"/>
  <c r="E136" i="4"/>
  <c r="F136" i="4" s="1"/>
  <c r="K136" i="4"/>
  <c r="D136" i="4" s="1"/>
  <c r="J40" i="12"/>
  <c r="F40" i="12" s="1"/>
  <c r="C34" i="4"/>
  <c r="J34" i="4"/>
  <c r="D454" i="14"/>
  <c r="K454" i="14"/>
  <c r="G454" i="14"/>
  <c r="J399" i="14"/>
  <c r="C399" i="14"/>
  <c r="G33" i="16"/>
  <c r="C33" i="16" s="1"/>
  <c r="D33" i="16" s="1"/>
  <c r="B33" i="16"/>
  <c r="G72" i="15"/>
  <c r="B72" i="15"/>
  <c r="F73" i="15"/>
  <c r="F183" i="15"/>
  <c r="G182" i="15"/>
  <c r="B182" i="15"/>
  <c r="I41" i="12"/>
  <c r="D41" i="12" s="1"/>
  <c r="C41" i="12"/>
  <c r="J155" i="14"/>
  <c r="C155" i="14"/>
  <c r="L453" i="14"/>
  <c r="F453" i="14"/>
  <c r="C455" i="14"/>
  <c r="J455" i="14"/>
  <c r="H42" i="12"/>
  <c r="G43" i="12"/>
  <c r="B42" i="12"/>
  <c r="H36" i="4"/>
  <c r="B35" i="4"/>
  <c r="I35" i="4"/>
  <c r="D154" i="14"/>
  <c r="G154" i="14"/>
  <c r="E35" i="16"/>
  <c r="F34" i="16"/>
  <c r="A34" i="16"/>
  <c r="C137" i="4"/>
  <c r="J137" i="4"/>
  <c r="C71" i="15"/>
  <c r="H71" i="15"/>
  <c r="D71" i="15" s="1"/>
  <c r="H181" i="15"/>
  <c r="D181" i="15" s="1"/>
  <c r="C181" i="15"/>
  <c r="H157" i="14"/>
  <c r="B156" i="14"/>
  <c r="I156" i="14"/>
  <c r="D398" i="14"/>
  <c r="G398" i="14"/>
  <c r="H401" i="14"/>
  <c r="I400" i="14"/>
  <c r="B400" i="14"/>
  <c r="H457" i="14"/>
  <c r="B456" i="14"/>
  <c r="I456" i="14"/>
  <c r="C77" i="14" l="1"/>
  <c r="I78" i="14"/>
  <c r="J78" i="14" s="1"/>
  <c r="H79" i="14"/>
  <c r="B78" i="14"/>
  <c r="G77" i="14"/>
  <c r="D77" i="14"/>
  <c r="B168" i="12"/>
  <c r="G169" i="12"/>
  <c r="J41" i="12"/>
  <c r="F41" i="12" s="1"/>
  <c r="G317" i="16"/>
  <c r="C317" i="16" s="1"/>
  <c r="D317" i="16" s="1"/>
  <c r="B317" i="16"/>
  <c r="E319" i="16"/>
  <c r="A318" i="16"/>
  <c r="F318" i="16"/>
  <c r="B37" i="11"/>
  <c r="I37" i="11"/>
  <c r="H38" i="11"/>
  <c r="J36" i="11"/>
  <c r="D36" i="11" s="1"/>
  <c r="F36" i="11" s="1"/>
  <c r="C36" i="11"/>
  <c r="K36" i="11" s="1"/>
  <c r="K137" i="4"/>
  <c r="D137" i="4" s="1"/>
  <c r="E137" i="4"/>
  <c r="F137" i="4" s="1"/>
  <c r="B183" i="15"/>
  <c r="F184" i="15"/>
  <c r="G183" i="15"/>
  <c r="F454" i="14"/>
  <c r="L454" i="14"/>
  <c r="E40" i="12"/>
  <c r="C456" i="14"/>
  <c r="J456" i="14"/>
  <c r="J400" i="14"/>
  <c r="C400" i="14"/>
  <c r="C156" i="14"/>
  <c r="J156" i="14"/>
  <c r="B34" i="16"/>
  <c r="G34" i="16"/>
  <c r="C34" i="16" s="1"/>
  <c r="H37" i="4"/>
  <c r="B36" i="4"/>
  <c r="I36" i="4"/>
  <c r="B43" i="12"/>
  <c r="G44" i="12"/>
  <c r="H43" i="12"/>
  <c r="F74" i="15"/>
  <c r="G73" i="15"/>
  <c r="B73" i="15"/>
  <c r="C138" i="4"/>
  <c r="J138" i="4"/>
  <c r="B401" i="14"/>
  <c r="I401" i="14"/>
  <c r="A35" i="16"/>
  <c r="E36" i="16"/>
  <c r="F35" i="16"/>
  <c r="C42" i="12"/>
  <c r="I42" i="12"/>
  <c r="D42" i="12" s="1"/>
  <c r="G155" i="14"/>
  <c r="D155" i="14"/>
  <c r="D399" i="14"/>
  <c r="G399" i="14"/>
  <c r="K34" i="4"/>
  <c r="E34" i="4" s="1"/>
  <c r="D34" i="4"/>
  <c r="F34" i="4" s="1"/>
  <c r="E39" i="13"/>
  <c r="F38" i="13"/>
  <c r="C38" i="13" s="1"/>
  <c r="B38" i="13"/>
  <c r="B139" i="4"/>
  <c r="H140" i="4"/>
  <c r="I139" i="4"/>
  <c r="I457" i="14"/>
  <c r="H458" i="14"/>
  <c r="B457" i="14"/>
  <c r="I157" i="14"/>
  <c r="H158" i="14"/>
  <c r="B157" i="14"/>
  <c r="C35" i="4"/>
  <c r="J35" i="4"/>
  <c r="K455" i="14"/>
  <c r="G455" i="14"/>
  <c r="D455" i="14"/>
  <c r="H182" i="15"/>
  <c r="D182" i="15" s="1"/>
  <c r="C182" i="15"/>
  <c r="H72" i="15"/>
  <c r="D72" i="15" s="1"/>
  <c r="C72" i="15"/>
  <c r="C78" i="14" l="1"/>
  <c r="I79" i="14"/>
  <c r="J79" i="14" s="1"/>
  <c r="B79" i="14"/>
  <c r="H80" i="14"/>
  <c r="G78" i="14"/>
  <c r="D78" i="14"/>
  <c r="G170" i="12"/>
  <c r="B169" i="12"/>
  <c r="E41" i="12"/>
  <c r="G318" i="16"/>
  <c r="C318" i="16" s="1"/>
  <c r="B318" i="16"/>
  <c r="A319" i="16"/>
  <c r="F319" i="16"/>
  <c r="E320" i="16"/>
  <c r="D34" i="16"/>
  <c r="J42" i="12"/>
  <c r="F42" i="12" s="1"/>
  <c r="B38" i="11"/>
  <c r="I38" i="11"/>
  <c r="H39" i="11"/>
  <c r="C37" i="11"/>
  <c r="K37" i="11" s="1"/>
  <c r="E37" i="11" s="1"/>
  <c r="J37" i="11"/>
  <c r="D37" i="11" s="1"/>
  <c r="F37" i="11" s="1"/>
  <c r="D38" i="13"/>
  <c r="E36" i="11"/>
  <c r="K35" i="4"/>
  <c r="E35" i="4" s="1"/>
  <c r="D35" i="4"/>
  <c r="F35" i="4" s="1"/>
  <c r="I158" i="14"/>
  <c r="B158" i="14"/>
  <c r="H159" i="14"/>
  <c r="C457" i="14"/>
  <c r="J457" i="14"/>
  <c r="F36" i="16"/>
  <c r="E37" i="16"/>
  <c r="A36" i="16"/>
  <c r="H73" i="15"/>
  <c r="D73" i="15" s="1"/>
  <c r="C73" i="15"/>
  <c r="H183" i="15"/>
  <c r="D183" i="15" s="1"/>
  <c r="C183" i="15"/>
  <c r="C157" i="14"/>
  <c r="J157" i="14"/>
  <c r="J139" i="4"/>
  <c r="C139" i="4"/>
  <c r="B74" i="15"/>
  <c r="F75" i="15"/>
  <c r="G74" i="15"/>
  <c r="C36" i="4"/>
  <c r="J36" i="4"/>
  <c r="D400" i="14"/>
  <c r="G400" i="14"/>
  <c r="G184" i="15"/>
  <c r="B184" i="15"/>
  <c r="F185" i="15"/>
  <c r="H141" i="4"/>
  <c r="I140" i="4"/>
  <c r="B140" i="4"/>
  <c r="E40" i="13"/>
  <c r="F39" i="13"/>
  <c r="C39" i="13" s="1"/>
  <c r="B39" i="13"/>
  <c r="K138" i="4"/>
  <c r="D138" i="4" s="1"/>
  <c r="E138" i="4"/>
  <c r="F138" i="4" s="1"/>
  <c r="I43" i="12"/>
  <c r="D43" i="12" s="1"/>
  <c r="C43" i="12"/>
  <c r="G156" i="14"/>
  <c r="D156" i="14"/>
  <c r="D456" i="14"/>
  <c r="K456" i="14"/>
  <c r="G456" i="14"/>
  <c r="F455" i="14"/>
  <c r="L455" i="14"/>
  <c r="B458" i="14"/>
  <c r="I458" i="14"/>
  <c r="H459" i="14"/>
  <c r="G35" i="16"/>
  <c r="C35" i="16" s="1"/>
  <c r="B35" i="16"/>
  <c r="C401" i="14"/>
  <c r="J401" i="14"/>
  <c r="H44" i="12"/>
  <c r="G45" i="12"/>
  <c r="B44" i="12"/>
  <c r="B37" i="4"/>
  <c r="H38" i="4"/>
  <c r="I37" i="4"/>
  <c r="C79" i="14" l="1"/>
  <c r="B80" i="14"/>
  <c r="I80" i="14"/>
  <c r="H81" i="14"/>
  <c r="G79" i="14"/>
  <c r="D79" i="14"/>
  <c r="G171" i="12"/>
  <c r="B170" i="12"/>
  <c r="E42" i="12"/>
  <c r="F320" i="16"/>
  <c r="A320" i="16"/>
  <c r="E321" i="16"/>
  <c r="B319" i="16"/>
  <c r="G319" i="16"/>
  <c r="C319" i="16" s="1"/>
  <c r="D319" i="16" s="1"/>
  <c r="D318" i="16"/>
  <c r="D35" i="16"/>
  <c r="B39" i="11"/>
  <c r="H40" i="11"/>
  <c r="I39" i="11"/>
  <c r="J38" i="11"/>
  <c r="D38" i="11" s="1"/>
  <c r="F38" i="11" s="1"/>
  <c r="C38" i="11"/>
  <c r="K38" i="11" s="1"/>
  <c r="E38" i="11" s="1"/>
  <c r="B38" i="4"/>
  <c r="I38" i="4"/>
  <c r="H39" i="4"/>
  <c r="C44" i="12"/>
  <c r="I44" i="12"/>
  <c r="D44" i="12" s="1"/>
  <c r="L456" i="14"/>
  <c r="F456" i="14"/>
  <c r="C184" i="15"/>
  <c r="H184" i="15"/>
  <c r="D184" i="15" s="1"/>
  <c r="D157" i="14"/>
  <c r="G157" i="14"/>
  <c r="G401" i="14"/>
  <c r="D401" i="14"/>
  <c r="H460" i="14"/>
  <c r="B459" i="14"/>
  <c r="I459" i="14"/>
  <c r="J43" i="12"/>
  <c r="F43" i="12" s="1"/>
  <c r="E41" i="13"/>
  <c r="F40" i="13"/>
  <c r="C40" i="13" s="1"/>
  <c r="B40" i="13"/>
  <c r="D40" i="13" s="1"/>
  <c r="K36" i="4"/>
  <c r="E36" i="4" s="1"/>
  <c r="D36" i="4"/>
  <c r="F36" i="4" s="1"/>
  <c r="D457" i="14"/>
  <c r="K457" i="14"/>
  <c r="G457" i="14"/>
  <c r="J158" i="14"/>
  <c r="C158" i="14"/>
  <c r="H142" i="4"/>
  <c r="I141" i="4"/>
  <c r="B141" i="4"/>
  <c r="G75" i="15"/>
  <c r="B75" i="15"/>
  <c r="F76" i="15"/>
  <c r="J458" i="14"/>
  <c r="C458" i="14"/>
  <c r="G185" i="15"/>
  <c r="B185" i="15"/>
  <c r="F186" i="15"/>
  <c r="B36" i="16"/>
  <c r="G36" i="16"/>
  <c r="C36" i="16" s="1"/>
  <c r="D36" i="16" s="1"/>
  <c r="C37" i="4"/>
  <c r="J37" i="4"/>
  <c r="B45" i="12"/>
  <c r="G46" i="12"/>
  <c r="H45" i="12"/>
  <c r="D39" i="13"/>
  <c r="J140" i="4"/>
  <c r="C140" i="4"/>
  <c r="H74" i="15"/>
  <c r="D74" i="15" s="1"/>
  <c r="C74" i="15"/>
  <c r="K139" i="4"/>
  <c r="D139" i="4" s="1"/>
  <c r="E139" i="4"/>
  <c r="F139" i="4" s="1"/>
  <c r="A37" i="16"/>
  <c r="F37" i="16"/>
  <c r="E38" i="16"/>
  <c r="B159" i="14"/>
  <c r="H160" i="14"/>
  <c r="I159" i="14"/>
  <c r="B81" i="14" l="1"/>
  <c r="I81" i="14"/>
  <c r="H82" i="14"/>
  <c r="C80" i="14"/>
  <c r="J80" i="14"/>
  <c r="G172" i="12"/>
  <c r="B171" i="12"/>
  <c r="J44" i="12"/>
  <c r="F44" i="12" s="1"/>
  <c r="B320" i="16"/>
  <c r="G320" i="16"/>
  <c r="C320" i="16" s="1"/>
  <c r="D320" i="16" s="1"/>
  <c r="E322" i="16"/>
  <c r="F321" i="16"/>
  <c r="A321" i="16"/>
  <c r="C39" i="11"/>
  <c r="K39" i="11" s="1"/>
  <c r="J39" i="11"/>
  <c r="D39" i="11" s="1"/>
  <c r="F39" i="11" s="1"/>
  <c r="I40" i="11"/>
  <c r="H41" i="11"/>
  <c r="B40" i="11"/>
  <c r="H161" i="14"/>
  <c r="I160" i="14"/>
  <c r="B160" i="14"/>
  <c r="C141" i="4"/>
  <c r="J141" i="4"/>
  <c r="K37" i="4"/>
  <c r="E37" i="4" s="1"/>
  <c r="D37" i="4"/>
  <c r="F37" i="4" s="1"/>
  <c r="F187" i="15"/>
  <c r="G186" i="15"/>
  <c r="B186" i="15"/>
  <c r="B142" i="4"/>
  <c r="H143" i="4"/>
  <c r="I142" i="4"/>
  <c r="L457" i="14"/>
  <c r="F457" i="14"/>
  <c r="E43" i="12"/>
  <c r="B39" i="4"/>
  <c r="I39" i="4"/>
  <c r="H40" i="4"/>
  <c r="G76" i="15"/>
  <c r="B76" i="15"/>
  <c r="F77" i="15"/>
  <c r="E39" i="16"/>
  <c r="F38" i="16"/>
  <c r="A38" i="16"/>
  <c r="I45" i="12"/>
  <c r="D45" i="12" s="1"/>
  <c r="C45" i="12"/>
  <c r="C75" i="15"/>
  <c r="H75" i="15"/>
  <c r="D75" i="15" s="1"/>
  <c r="C459" i="14"/>
  <c r="J459" i="14"/>
  <c r="J38" i="4"/>
  <c r="C38" i="4"/>
  <c r="E42" i="13"/>
  <c r="F41" i="13"/>
  <c r="C41" i="13" s="1"/>
  <c r="B41" i="13"/>
  <c r="H461" i="14"/>
  <c r="B460" i="14"/>
  <c r="I460" i="14"/>
  <c r="J159" i="14"/>
  <c r="C159" i="14"/>
  <c r="G37" i="16"/>
  <c r="C37" i="16" s="1"/>
  <c r="D37" i="16" s="1"/>
  <c r="B37" i="16"/>
  <c r="E140" i="4"/>
  <c r="F140" i="4" s="1"/>
  <c r="K140" i="4"/>
  <c r="D140" i="4" s="1"/>
  <c r="H46" i="12"/>
  <c r="G47" i="12"/>
  <c r="B46" i="12"/>
  <c r="H185" i="15"/>
  <c r="D185" i="15" s="1"/>
  <c r="C185" i="15"/>
  <c r="D458" i="14"/>
  <c r="K458" i="14"/>
  <c r="G458" i="14"/>
  <c r="D158" i="14"/>
  <c r="G158" i="14"/>
  <c r="B82" i="14" l="1"/>
  <c r="H83" i="14"/>
  <c r="I82" i="14"/>
  <c r="C81" i="14"/>
  <c r="J81" i="14"/>
  <c r="D80" i="14"/>
  <c r="G80" i="14"/>
  <c r="B172" i="12"/>
  <c r="G173" i="12"/>
  <c r="J45" i="12"/>
  <c r="F45" i="12" s="1"/>
  <c r="E44" i="12"/>
  <c r="G321" i="16"/>
  <c r="C321" i="16" s="1"/>
  <c r="B321" i="16"/>
  <c r="E323" i="16"/>
  <c r="A322" i="16"/>
  <c r="F322" i="16"/>
  <c r="J40" i="11"/>
  <c r="D40" i="11" s="1"/>
  <c r="F40" i="11" s="1"/>
  <c r="C40" i="11"/>
  <c r="K40" i="11" s="1"/>
  <c r="H42" i="11"/>
  <c r="I41" i="11"/>
  <c r="B41" i="11"/>
  <c r="E39" i="11"/>
  <c r="C46" i="12"/>
  <c r="I46" i="12"/>
  <c r="D46" i="12" s="1"/>
  <c r="D41" i="13"/>
  <c r="K38" i="4"/>
  <c r="E38" i="4" s="1"/>
  <c r="D38" i="4"/>
  <c r="F38" i="4" s="1"/>
  <c r="C142" i="4"/>
  <c r="J142" i="4"/>
  <c r="H186" i="15"/>
  <c r="D186" i="15" s="1"/>
  <c r="C186" i="15"/>
  <c r="G159" i="14"/>
  <c r="D159" i="14"/>
  <c r="F458" i="14"/>
  <c r="L458" i="14"/>
  <c r="I461" i="14"/>
  <c r="H462" i="14"/>
  <c r="B461" i="14"/>
  <c r="K459" i="14"/>
  <c r="G459" i="14"/>
  <c r="D459" i="14"/>
  <c r="G38" i="16"/>
  <c r="C38" i="16" s="1"/>
  <c r="B38" i="16"/>
  <c r="H76" i="15"/>
  <c r="D76" i="15" s="1"/>
  <c r="C76" i="15"/>
  <c r="B143" i="4"/>
  <c r="H144" i="4"/>
  <c r="I143" i="4"/>
  <c r="B187" i="15"/>
  <c r="F188" i="15"/>
  <c r="G187" i="15"/>
  <c r="E43" i="13"/>
  <c r="F42" i="13"/>
  <c r="C42" i="13" s="1"/>
  <c r="B42" i="13"/>
  <c r="A39" i="16"/>
  <c r="E40" i="16"/>
  <c r="F39" i="16"/>
  <c r="B40" i="4"/>
  <c r="I40" i="4"/>
  <c r="H41" i="4"/>
  <c r="J160" i="14"/>
  <c r="C160" i="14"/>
  <c r="B47" i="12"/>
  <c r="G48" i="12"/>
  <c r="H47" i="12"/>
  <c r="C460" i="14"/>
  <c r="J460" i="14"/>
  <c r="F78" i="15"/>
  <c r="G77" i="15"/>
  <c r="B77" i="15"/>
  <c r="J39" i="4"/>
  <c r="C39" i="4"/>
  <c r="K141" i="4"/>
  <c r="D141" i="4" s="1"/>
  <c r="E141" i="4"/>
  <c r="F141" i="4" s="1"/>
  <c r="H162" i="14"/>
  <c r="I161" i="14"/>
  <c r="B161" i="14"/>
  <c r="J82" i="14" l="1"/>
  <c r="C82" i="14"/>
  <c r="B83" i="14"/>
  <c r="H84" i="14"/>
  <c r="I83" i="14"/>
  <c r="D81" i="14"/>
  <c r="G81" i="14"/>
  <c r="B173" i="12"/>
  <c r="G174" i="12"/>
  <c r="E45" i="12"/>
  <c r="A323" i="16"/>
  <c r="F323" i="16"/>
  <c r="E324" i="16"/>
  <c r="G322" i="16"/>
  <c r="C322" i="16" s="1"/>
  <c r="B322" i="16"/>
  <c r="D321" i="16"/>
  <c r="D38" i="16"/>
  <c r="I42" i="11"/>
  <c r="H43" i="11"/>
  <c r="B42" i="11"/>
  <c r="D42" i="13"/>
  <c r="E40" i="11"/>
  <c r="J41" i="11"/>
  <c r="D41" i="11" s="1"/>
  <c r="F41" i="11" s="1"/>
  <c r="C41" i="11"/>
  <c r="K41" i="11" s="1"/>
  <c r="E41" i="11" s="1"/>
  <c r="B162" i="14"/>
  <c r="I162" i="14"/>
  <c r="H163" i="14"/>
  <c r="H77" i="15"/>
  <c r="D77" i="15" s="1"/>
  <c r="C77" i="15"/>
  <c r="B41" i="4"/>
  <c r="I41" i="4"/>
  <c r="H42" i="4"/>
  <c r="H48" i="12"/>
  <c r="G49" i="12"/>
  <c r="B48" i="12"/>
  <c r="J40" i="4"/>
  <c r="C40" i="4"/>
  <c r="C461" i="14"/>
  <c r="J461" i="14"/>
  <c r="K39" i="4"/>
  <c r="E39" i="4" s="1"/>
  <c r="D39" i="4"/>
  <c r="F39" i="4" s="1"/>
  <c r="D460" i="14"/>
  <c r="K460" i="14"/>
  <c r="G460" i="14"/>
  <c r="H187" i="15"/>
  <c r="D187" i="15" s="1"/>
  <c r="C187" i="15"/>
  <c r="H145" i="4"/>
  <c r="I144" i="4"/>
  <c r="B144" i="4"/>
  <c r="F459" i="14"/>
  <c r="L459" i="14"/>
  <c r="I47" i="12"/>
  <c r="D47" i="12" s="1"/>
  <c r="C47" i="12"/>
  <c r="D160" i="14"/>
  <c r="G160" i="14"/>
  <c r="F40" i="16"/>
  <c r="A40" i="16"/>
  <c r="E41" i="16"/>
  <c r="E44" i="13"/>
  <c r="F43" i="13"/>
  <c r="C43" i="13" s="1"/>
  <c r="B43" i="13"/>
  <c r="B78" i="15"/>
  <c r="F79" i="15"/>
  <c r="G78" i="15"/>
  <c r="J143" i="4"/>
  <c r="C143" i="4"/>
  <c r="C161" i="14"/>
  <c r="J161" i="14"/>
  <c r="G39" i="16"/>
  <c r="C39" i="16" s="1"/>
  <c r="B39" i="16"/>
  <c r="G188" i="15"/>
  <c r="B188" i="15"/>
  <c r="F189" i="15"/>
  <c r="F190" i="15" s="1"/>
  <c r="K142" i="4"/>
  <c r="D142" i="4" s="1"/>
  <c r="E142" i="4"/>
  <c r="F142" i="4" s="1"/>
  <c r="B462" i="14"/>
  <c r="I462" i="14"/>
  <c r="H463" i="14"/>
  <c r="J46" i="12"/>
  <c r="F46" i="12" s="1"/>
  <c r="C83" i="14" l="1"/>
  <c r="J83" i="14"/>
  <c r="B84" i="14"/>
  <c r="H85" i="14"/>
  <c r="I84" i="14"/>
  <c r="D82" i="14"/>
  <c r="G82" i="14"/>
  <c r="G175" i="12"/>
  <c r="B174" i="12"/>
  <c r="D322" i="16"/>
  <c r="F324" i="16"/>
  <c r="A324" i="16"/>
  <c r="E325" i="16"/>
  <c r="B323" i="16"/>
  <c r="G323" i="16"/>
  <c r="C323" i="16" s="1"/>
  <c r="D323" i="16" s="1"/>
  <c r="D39" i="16"/>
  <c r="B190" i="15"/>
  <c r="F191" i="15"/>
  <c r="D43" i="13"/>
  <c r="J47" i="12"/>
  <c r="F47" i="12" s="1"/>
  <c r="H44" i="11"/>
  <c r="I43" i="11"/>
  <c r="B43" i="11"/>
  <c r="J42" i="11"/>
  <c r="D42" i="11" s="1"/>
  <c r="F42" i="11" s="1"/>
  <c r="C42" i="11"/>
  <c r="K42" i="11" s="1"/>
  <c r="F41" i="16"/>
  <c r="A41" i="16"/>
  <c r="E42" i="16"/>
  <c r="E46" i="12"/>
  <c r="H464" i="14"/>
  <c r="B463" i="14"/>
  <c r="I463" i="14"/>
  <c r="G189" i="15"/>
  <c r="G190" i="15" s="1"/>
  <c r="B189" i="15"/>
  <c r="D161" i="14"/>
  <c r="G161" i="14"/>
  <c r="H78" i="15"/>
  <c r="D78" i="15" s="1"/>
  <c r="C78" i="15"/>
  <c r="B40" i="16"/>
  <c r="G40" i="16"/>
  <c r="C40" i="16" s="1"/>
  <c r="D40" i="16" s="1"/>
  <c r="J144" i="4"/>
  <c r="C144" i="4"/>
  <c r="L460" i="14"/>
  <c r="F460" i="14"/>
  <c r="K40" i="4"/>
  <c r="E40" i="4" s="1"/>
  <c r="D40" i="4"/>
  <c r="F40" i="4" s="1"/>
  <c r="B42" i="4"/>
  <c r="I42" i="4"/>
  <c r="H43" i="4"/>
  <c r="C188" i="15"/>
  <c r="H188" i="15"/>
  <c r="D188" i="15" s="1"/>
  <c r="C162" i="14"/>
  <c r="J162" i="14"/>
  <c r="J462" i="14"/>
  <c r="C462" i="14"/>
  <c r="G79" i="15"/>
  <c r="B79" i="15"/>
  <c r="F80" i="15"/>
  <c r="E45" i="13"/>
  <c r="F44" i="13"/>
  <c r="C44" i="13" s="1"/>
  <c r="B44" i="13"/>
  <c r="H146" i="4"/>
  <c r="I145" i="4"/>
  <c r="B145" i="4"/>
  <c r="D461" i="14"/>
  <c r="K461" i="14"/>
  <c r="G461" i="14"/>
  <c r="J41" i="4"/>
  <c r="C41" i="4"/>
  <c r="B163" i="14"/>
  <c r="H164" i="14"/>
  <c r="I163" i="14"/>
  <c r="B49" i="12"/>
  <c r="G50" i="12"/>
  <c r="H49" i="12"/>
  <c r="K143" i="4"/>
  <c r="D143" i="4" s="1"/>
  <c r="E143" i="4"/>
  <c r="F143" i="4" s="1"/>
  <c r="C48" i="12"/>
  <c r="I48" i="12"/>
  <c r="D48" i="12" s="1"/>
  <c r="C84" i="14" l="1"/>
  <c r="J84" i="14"/>
  <c r="D83" i="14"/>
  <c r="G83" i="14"/>
  <c r="B85" i="14"/>
  <c r="H86" i="14"/>
  <c r="I85" i="14"/>
  <c r="G176" i="12"/>
  <c r="B175" i="12"/>
  <c r="E47" i="12"/>
  <c r="E326" i="16"/>
  <c r="F325" i="16"/>
  <c r="A325" i="16"/>
  <c r="B324" i="16"/>
  <c r="G324" i="16"/>
  <c r="C324" i="16" s="1"/>
  <c r="D324" i="16" s="1"/>
  <c r="B191" i="15"/>
  <c r="G191" i="15"/>
  <c r="F192" i="15"/>
  <c r="C190" i="15"/>
  <c r="J48" i="12"/>
  <c r="F48" i="12" s="1"/>
  <c r="D44" i="13"/>
  <c r="E42" i="11"/>
  <c r="I44" i="11"/>
  <c r="H45" i="11"/>
  <c r="B44" i="11"/>
  <c r="C43" i="11"/>
  <c r="K43" i="11" s="1"/>
  <c r="J43" i="11"/>
  <c r="D43" i="11" s="1"/>
  <c r="F43" i="11" s="1"/>
  <c r="H165" i="14"/>
  <c r="I164" i="14"/>
  <c r="B164" i="14"/>
  <c r="G162" i="14"/>
  <c r="D162" i="14"/>
  <c r="B43" i="4"/>
  <c r="I43" i="4"/>
  <c r="H44" i="4"/>
  <c r="E144" i="4"/>
  <c r="F144" i="4" s="1"/>
  <c r="K144" i="4"/>
  <c r="D144" i="4" s="1"/>
  <c r="H465" i="14"/>
  <c r="B464" i="14"/>
  <c r="I464" i="14"/>
  <c r="E43" i="16"/>
  <c r="F42" i="16"/>
  <c r="A42" i="16"/>
  <c r="C145" i="4"/>
  <c r="J145" i="4"/>
  <c r="E46" i="13"/>
  <c r="F45" i="13"/>
  <c r="C45" i="13" s="1"/>
  <c r="B45" i="13"/>
  <c r="D45" i="13" s="1"/>
  <c r="C463" i="14"/>
  <c r="J463" i="14"/>
  <c r="G41" i="16"/>
  <c r="C41" i="16" s="1"/>
  <c r="B41" i="16"/>
  <c r="I49" i="12"/>
  <c r="D49" i="12" s="1"/>
  <c r="C49" i="12"/>
  <c r="J163" i="14"/>
  <c r="C163" i="14"/>
  <c r="K41" i="4"/>
  <c r="E41" i="4" s="1"/>
  <c r="D41" i="4"/>
  <c r="F41" i="4" s="1"/>
  <c r="B146" i="4"/>
  <c r="H147" i="4"/>
  <c r="I146" i="4"/>
  <c r="G80" i="15"/>
  <c r="B80" i="15"/>
  <c r="F81" i="15"/>
  <c r="D462" i="14"/>
  <c r="K462" i="14"/>
  <c r="G462" i="14"/>
  <c r="G51" i="12"/>
  <c r="H50" i="12"/>
  <c r="B50" i="12"/>
  <c r="L461" i="14"/>
  <c r="F461" i="14"/>
  <c r="C79" i="15"/>
  <c r="H79" i="15"/>
  <c r="D79" i="15" s="1"/>
  <c r="J42" i="4"/>
  <c r="C42" i="4"/>
  <c r="H189" i="15"/>
  <c r="D189" i="15" s="1"/>
  <c r="C189" i="15"/>
  <c r="B86" i="14" l="1"/>
  <c r="H87" i="14"/>
  <c r="I86" i="14"/>
  <c r="D84" i="14"/>
  <c r="G84" i="14"/>
  <c r="C85" i="14"/>
  <c r="J85" i="14"/>
  <c r="B176" i="12"/>
  <c r="G177" i="12"/>
  <c r="E48" i="12"/>
  <c r="G325" i="16"/>
  <c r="C325" i="16" s="1"/>
  <c r="B325" i="16"/>
  <c r="E327" i="16"/>
  <c r="A326" i="16"/>
  <c r="F326" i="16"/>
  <c r="D41" i="16"/>
  <c r="H190" i="15"/>
  <c r="D190" i="15" s="1"/>
  <c r="B192" i="15"/>
  <c r="G192" i="15"/>
  <c r="F193" i="15"/>
  <c r="C191" i="15"/>
  <c r="E43" i="11"/>
  <c r="C44" i="11"/>
  <c r="K44" i="11" s="1"/>
  <c r="E44" i="11" s="1"/>
  <c r="J44" i="11"/>
  <c r="D44" i="11" s="1"/>
  <c r="F44" i="11" s="1"/>
  <c r="J49" i="12"/>
  <c r="H46" i="11"/>
  <c r="B45" i="11"/>
  <c r="I45" i="11"/>
  <c r="F82" i="15"/>
  <c r="G81" i="15"/>
  <c r="B81" i="15"/>
  <c r="B147" i="4"/>
  <c r="H148" i="4"/>
  <c r="I147" i="4"/>
  <c r="E44" i="16"/>
  <c r="A43" i="16"/>
  <c r="F43" i="16"/>
  <c r="J164" i="14"/>
  <c r="C164" i="14"/>
  <c r="K42" i="4"/>
  <c r="E42" i="4" s="1"/>
  <c r="D42" i="4"/>
  <c r="F42" i="4" s="1"/>
  <c r="B51" i="12"/>
  <c r="H51" i="12"/>
  <c r="G52" i="12"/>
  <c r="G163" i="14"/>
  <c r="D163" i="14"/>
  <c r="K463" i="14"/>
  <c r="G463" i="14"/>
  <c r="D463" i="14"/>
  <c r="C464" i="14"/>
  <c r="J464" i="14"/>
  <c r="H166" i="14"/>
  <c r="I165" i="14"/>
  <c r="B165" i="14"/>
  <c r="F462" i="14"/>
  <c r="L462" i="14"/>
  <c r="H80" i="15"/>
  <c r="D80" i="15" s="1"/>
  <c r="C80" i="15"/>
  <c r="E47" i="13"/>
  <c r="F46" i="13"/>
  <c r="C46" i="13" s="1"/>
  <c r="B46" i="13"/>
  <c r="B44" i="4"/>
  <c r="I44" i="4"/>
  <c r="H45" i="4"/>
  <c r="I50" i="12"/>
  <c r="D50" i="12" s="1"/>
  <c r="C50" i="12"/>
  <c r="C146" i="4"/>
  <c r="J146" i="4"/>
  <c r="K145" i="4"/>
  <c r="D145" i="4" s="1"/>
  <c r="E145" i="4"/>
  <c r="F145" i="4" s="1"/>
  <c r="G42" i="16"/>
  <c r="C42" i="16" s="1"/>
  <c r="D42" i="16" s="1"/>
  <c r="B42" i="16"/>
  <c r="I465" i="14"/>
  <c r="H466" i="14"/>
  <c r="B465" i="14"/>
  <c r="J43" i="4"/>
  <c r="C43" i="4"/>
  <c r="D85" i="14" l="1"/>
  <c r="G85" i="14"/>
  <c r="J86" i="14"/>
  <c r="C86" i="14"/>
  <c r="B87" i="14"/>
  <c r="H88" i="14"/>
  <c r="I87" i="14"/>
  <c r="G178" i="12"/>
  <c r="B177" i="12"/>
  <c r="E49" i="12"/>
  <c r="F49" i="12"/>
  <c r="G326" i="16"/>
  <c r="C326" i="16" s="1"/>
  <c r="D326" i="16" s="1"/>
  <c r="B326" i="16"/>
  <c r="A327" i="16"/>
  <c r="F327" i="16"/>
  <c r="E328" i="16"/>
  <c r="D325" i="16"/>
  <c r="H191" i="15"/>
  <c r="D191" i="15" s="1"/>
  <c r="G193" i="15"/>
  <c r="F194" i="15"/>
  <c r="B193" i="15"/>
  <c r="C192" i="15"/>
  <c r="H47" i="11"/>
  <c r="I46" i="11"/>
  <c r="B46" i="11"/>
  <c r="C45" i="11"/>
  <c r="K45" i="11" s="1"/>
  <c r="J45" i="11"/>
  <c r="D45" i="11" s="1"/>
  <c r="F45" i="11" s="1"/>
  <c r="D46" i="13"/>
  <c r="G53" i="12"/>
  <c r="H52" i="12"/>
  <c r="B52" i="12"/>
  <c r="G43" i="16"/>
  <c r="C43" i="16" s="1"/>
  <c r="D43" i="16" s="1"/>
  <c r="B43" i="16"/>
  <c r="B466" i="14"/>
  <c r="I466" i="14"/>
  <c r="H467" i="14"/>
  <c r="J50" i="12"/>
  <c r="F50" i="12" s="1"/>
  <c r="E48" i="13"/>
  <c r="F47" i="13"/>
  <c r="C47" i="13" s="1"/>
  <c r="B47" i="13"/>
  <c r="D464" i="14"/>
  <c r="K464" i="14"/>
  <c r="G464" i="14"/>
  <c r="F463" i="14"/>
  <c r="L463" i="14"/>
  <c r="K146" i="4"/>
  <c r="D146" i="4" s="1"/>
  <c r="E146" i="4"/>
  <c r="F146" i="4" s="1"/>
  <c r="K43" i="4"/>
  <c r="E43" i="4" s="1"/>
  <c r="D43" i="4"/>
  <c r="F43" i="4" s="1"/>
  <c r="B45" i="4"/>
  <c r="I45" i="4"/>
  <c r="H46" i="4"/>
  <c r="C165" i="14"/>
  <c r="J165" i="14"/>
  <c r="C51" i="12"/>
  <c r="I51" i="12"/>
  <c r="D51" i="12" s="1"/>
  <c r="J147" i="4"/>
  <c r="C147" i="4"/>
  <c r="H81" i="15"/>
  <c r="D81" i="15" s="1"/>
  <c r="C81" i="15"/>
  <c r="C465" i="14"/>
  <c r="J465" i="14"/>
  <c r="J44" i="4"/>
  <c r="C44" i="4"/>
  <c r="B166" i="14"/>
  <c r="I166" i="14"/>
  <c r="H167" i="14"/>
  <c r="D164" i="14"/>
  <c r="G164" i="14"/>
  <c r="F44" i="16"/>
  <c r="E45" i="16"/>
  <c r="A44" i="16"/>
  <c r="H149" i="4"/>
  <c r="I148" i="4"/>
  <c r="B148" i="4"/>
  <c r="B82" i="15"/>
  <c r="F83" i="15"/>
  <c r="G82" i="15"/>
  <c r="B88" i="14" l="1"/>
  <c r="H89" i="14"/>
  <c r="I88" i="14"/>
  <c r="G86" i="14"/>
  <c r="D86" i="14"/>
  <c r="J87" i="14"/>
  <c r="C87" i="14"/>
  <c r="G179" i="12"/>
  <c r="B178" i="12"/>
  <c r="J51" i="12"/>
  <c r="F51" i="12" s="1"/>
  <c r="F328" i="16"/>
  <c r="A328" i="16"/>
  <c r="E329" i="16"/>
  <c r="B327" i="16"/>
  <c r="G327" i="16"/>
  <c r="C327" i="16" s="1"/>
  <c r="D327" i="16" s="1"/>
  <c r="H192" i="15"/>
  <c r="D192" i="15" s="1"/>
  <c r="G194" i="15"/>
  <c r="F195" i="15"/>
  <c r="B194" i="15"/>
  <c r="C193" i="15"/>
  <c r="E45" i="11"/>
  <c r="C46" i="11"/>
  <c r="K46" i="11" s="1"/>
  <c r="E46" i="11" s="1"/>
  <c r="J46" i="11"/>
  <c r="D46" i="11" s="1"/>
  <c r="F46" i="11" s="1"/>
  <c r="I47" i="11"/>
  <c r="H48" i="11"/>
  <c r="B47" i="11"/>
  <c r="J148" i="4"/>
  <c r="C148" i="4"/>
  <c r="B46" i="4"/>
  <c r="I46" i="4"/>
  <c r="H47" i="4"/>
  <c r="H468" i="14"/>
  <c r="B467" i="14"/>
  <c r="I467" i="14"/>
  <c r="G83" i="15"/>
  <c r="B83" i="15"/>
  <c r="F84" i="15"/>
  <c r="H150" i="4"/>
  <c r="I149" i="4"/>
  <c r="B149" i="4"/>
  <c r="D465" i="14"/>
  <c r="K465" i="14"/>
  <c r="G465" i="14"/>
  <c r="J45" i="4"/>
  <c r="C45" i="4"/>
  <c r="D47" i="13"/>
  <c r="E50" i="12"/>
  <c r="J466" i="14"/>
  <c r="C466" i="14"/>
  <c r="B44" i="16"/>
  <c r="G44" i="16"/>
  <c r="C44" i="16" s="1"/>
  <c r="D44" i="16" s="1"/>
  <c r="K147" i="4"/>
  <c r="D147" i="4" s="1"/>
  <c r="E147" i="4"/>
  <c r="F147" i="4" s="1"/>
  <c r="D165" i="14"/>
  <c r="G165" i="14"/>
  <c r="I52" i="12"/>
  <c r="D52" i="12" s="1"/>
  <c r="C52" i="12"/>
  <c r="H82" i="15"/>
  <c r="D82" i="15" s="1"/>
  <c r="C82" i="15"/>
  <c r="C166" i="14"/>
  <c r="J166" i="14"/>
  <c r="F45" i="16"/>
  <c r="E46" i="16"/>
  <c r="A45" i="16"/>
  <c r="B167" i="14"/>
  <c r="H168" i="14"/>
  <c r="I167" i="14"/>
  <c r="K44" i="4"/>
  <c r="E44" i="4" s="1"/>
  <c r="D44" i="4"/>
  <c r="F44" i="4" s="1"/>
  <c r="L464" i="14"/>
  <c r="F464" i="14"/>
  <c r="E49" i="13"/>
  <c r="F48" i="13"/>
  <c r="C48" i="13" s="1"/>
  <c r="B48" i="13"/>
  <c r="B53" i="12"/>
  <c r="H53" i="12"/>
  <c r="G54" i="12"/>
  <c r="B89" i="14" l="1"/>
  <c r="H90" i="14"/>
  <c r="I89" i="14"/>
  <c r="G87" i="14"/>
  <c r="D87" i="14"/>
  <c r="C88" i="14"/>
  <c r="J88" i="14"/>
  <c r="B179" i="12"/>
  <c r="G180" i="12"/>
  <c r="E51" i="12"/>
  <c r="E330" i="16"/>
  <c r="F329" i="16"/>
  <c r="A329" i="16"/>
  <c r="B328" i="16"/>
  <c r="G328" i="16"/>
  <c r="C328" i="16" s="1"/>
  <c r="D328" i="16" s="1"/>
  <c r="H193" i="15"/>
  <c r="D193" i="15" s="1"/>
  <c r="G195" i="15"/>
  <c r="F196" i="15"/>
  <c r="B195" i="15"/>
  <c r="C194" i="15"/>
  <c r="J52" i="12"/>
  <c r="F52" i="12" s="1"/>
  <c r="I48" i="11"/>
  <c r="H49" i="11"/>
  <c r="B48" i="11"/>
  <c r="J47" i="11"/>
  <c r="D47" i="11" s="1"/>
  <c r="F47" i="11" s="1"/>
  <c r="C47" i="11"/>
  <c r="K47" i="11" s="1"/>
  <c r="G166" i="14"/>
  <c r="D166" i="14"/>
  <c r="G55" i="12"/>
  <c r="H54" i="12"/>
  <c r="B54" i="12"/>
  <c r="H169" i="14"/>
  <c r="I168" i="14"/>
  <c r="B168" i="14"/>
  <c r="B45" i="16"/>
  <c r="G45" i="16"/>
  <c r="C45" i="16" s="1"/>
  <c r="K45" i="4"/>
  <c r="E45" i="4" s="1"/>
  <c r="D45" i="4"/>
  <c r="F45" i="4" s="1"/>
  <c r="G84" i="15"/>
  <c r="B84" i="15"/>
  <c r="F85" i="15"/>
  <c r="J46" i="4"/>
  <c r="C46" i="4"/>
  <c r="E50" i="13"/>
  <c r="F49" i="13"/>
  <c r="C49" i="13" s="1"/>
  <c r="B49" i="13"/>
  <c r="L465" i="14"/>
  <c r="F465" i="14"/>
  <c r="C149" i="4"/>
  <c r="J149" i="4"/>
  <c r="C83" i="15"/>
  <c r="H83" i="15"/>
  <c r="D83" i="15" s="1"/>
  <c r="C53" i="12"/>
  <c r="I53" i="12"/>
  <c r="D53" i="12" s="1"/>
  <c r="H469" i="14"/>
  <c r="B468" i="14"/>
  <c r="I468" i="14"/>
  <c r="D48" i="13"/>
  <c r="J167" i="14"/>
  <c r="C167" i="14"/>
  <c r="F46" i="16"/>
  <c r="E47" i="16"/>
  <c r="A46" i="16"/>
  <c r="D466" i="14"/>
  <c r="K466" i="14"/>
  <c r="G466" i="14"/>
  <c r="B150" i="4"/>
  <c r="H151" i="4"/>
  <c r="I150" i="4"/>
  <c r="C467" i="14"/>
  <c r="J467" i="14"/>
  <c r="B47" i="4"/>
  <c r="I47" i="4"/>
  <c r="H48" i="4"/>
  <c r="E148" i="4"/>
  <c r="F148" i="4" s="1"/>
  <c r="K148" i="4"/>
  <c r="D148" i="4" s="1"/>
  <c r="G88" i="14" l="1"/>
  <c r="D88" i="14"/>
  <c r="C89" i="14"/>
  <c r="J89" i="14"/>
  <c r="B90" i="14"/>
  <c r="H91" i="14"/>
  <c r="I90" i="14"/>
  <c r="B180" i="12"/>
  <c r="G181" i="12"/>
  <c r="E52" i="12"/>
  <c r="B329" i="16"/>
  <c r="G329" i="16"/>
  <c r="C329" i="16" s="1"/>
  <c r="D329" i="16" s="1"/>
  <c r="A330" i="16"/>
  <c r="F330" i="16"/>
  <c r="D45" i="16"/>
  <c r="H194" i="15"/>
  <c r="D194" i="15" s="1"/>
  <c r="F197" i="15"/>
  <c r="B196" i="15"/>
  <c r="G196" i="15"/>
  <c r="C195" i="15"/>
  <c r="B49" i="11"/>
  <c r="H50" i="11"/>
  <c r="I49" i="11"/>
  <c r="D49" i="13"/>
  <c r="E47" i="11"/>
  <c r="J48" i="11"/>
  <c r="D48" i="11" s="1"/>
  <c r="F48" i="11" s="1"/>
  <c r="C48" i="11"/>
  <c r="K48" i="11" s="1"/>
  <c r="B151" i="4"/>
  <c r="H152" i="4"/>
  <c r="I151" i="4"/>
  <c r="F466" i="14"/>
  <c r="L466" i="14"/>
  <c r="F47" i="16"/>
  <c r="E48" i="16"/>
  <c r="A47" i="16"/>
  <c r="F50" i="13"/>
  <c r="C50" i="13" s="1"/>
  <c r="B50" i="13"/>
  <c r="E51" i="13"/>
  <c r="K467" i="14"/>
  <c r="G467" i="14"/>
  <c r="D467" i="14"/>
  <c r="B46" i="16"/>
  <c r="G46" i="16"/>
  <c r="C46" i="16" s="1"/>
  <c r="D46" i="16" s="1"/>
  <c r="C468" i="14"/>
  <c r="J468" i="14"/>
  <c r="K149" i="4"/>
  <c r="D149" i="4" s="1"/>
  <c r="E149" i="4"/>
  <c r="F149" i="4" s="1"/>
  <c r="F86" i="15"/>
  <c r="G85" i="15"/>
  <c r="B85" i="15"/>
  <c r="I54" i="12"/>
  <c r="D54" i="12" s="1"/>
  <c r="C54" i="12"/>
  <c r="J53" i="12"/>
  <c r="F53" i="12" s="1"/>
  <c r="J168" i="14"/>
  <c r="C168" i="14"/>
  <c r="B55" i="12"/>
  <c r="H55" i="12"/>
  <c r="G56" i="12"/>
  <c r="B48" i="4"/>
  <c r="I48" i="4"/>
  <c r="H49" i="4"/>
  <c r="J47" i="4"/>
  <c r="C47" i="4"/>
  <c r="C150" i="4"/>
  <c r="J150" i="4"/>
  <c r="G167" i="14"/>
  <c r="D167" i="14"/>
  <c r="I469" i="14"/>
  <c r="H470" i="14"/>
  <c r="B469" i="14"/>
  <c r="K46" i="4"/>
  <c r="E46" i="4" s="1"/>
  <c r="D46" i="4"/>
  <c r="F46" i="4" s="1"/>
  <c r="H84" i="15"/>
  <c r="D84" i="15" s="1"/>
  <c r="C84" i="15"/>
  <c r="H170" i="14"/>
  <c r="I169" i="14"/>
  <c r="B169" i="14"/>
  <c r="J90" i="14" l="1"/>
  <c r="C90" i="14"/>
  <c r="B91" i="14"/>
  <c r="H92" i="14"/>
  <c r="I91" i="14"/>
  <c r="G89" i="14"/>
  <c r="D89" i="14"/>
  <c r="G182" i="12"/>
  <c r="B181" i="12"/>
  <c r="G330" i="16"/>
  <c r="C330" i="16" s="1"/>
  <c r="D330" i="16" s="1"/>
  <c r="B330" i="16"/>
  <c r="H195" i="15"/>
  <c r="D195" i="15" s="1"/>
  <c r="C196" i="15"/>
  <c r="B197" i="15"/>
  <c r="G197" i="15"/>
  <c r="E48" i="11"/>
  <c r="J49" i="11"/>
  <c r="D49" i="11" s="1"/>
  <c r="F49" i="11" s="1"/>
  <c r="C49" i="11"/>
  <c r="K49" i="11" s="1"/>
  <c r="E49" i="11" s="1"/>
  <c r="I50" i="11"/>
  <c r="H51" i="11"/>
  <c r="B50" i="11"/>
  <c r="J54" i="12"/>
  <c r="F54" i="12" s="1"/>
  <c r="D50" i="13"/>
  <c r="C169" i="14"/>
  <c r="J169" i="14"/>
  <c r="H85" i="15"/>
  <c r="D85" i="15" s="1"/>
  <c r="C85" i="15"/>
  <c r="F48" i="16"/>
  <c r="E49" i="16"/>
  <c r="A48" i="16"/>
  <c r="B170" i="14"/>
  <c r="I170" i="14"/>
  <c r="H171" i="14"/>
  <c r="E53" i="12"/>
  <c r="B86" i="15"/>
  <c r="F87" i="15"/>
  <c r="G86" i="15"/>
  <c r="B47" i="16"/>
  <c r="G47" i="16"/>
  <c r="C47" i="16" s="1"/>
  <c r="D47" i="16" s="1"/>
  <c r="H153" i="4"/>
  <c r="I152" i="4"/>
  <c r="B152" i="4"/>
  <c r="C469" i="14"/>
  <c r="J469" i="14"/>
  <c r="J48" i="4"/>
  <c r="C48" i="4"/>
  <c r="D468" i="14"/>
  <c r="K468" i="14"/>
  <c r="G468" i="14"/>
  <c r="J151" i="4"/>
  <c r="C151" i="4"/>
  <c r="K47" i="4"/>
  <c r="E47" i="4" s="1"/>
  <c r="D47" i="4"/>
  <c r="F47" i="4" s="1"/>
  <c r="G57" i="12"/>
  <c r="H56" i="12"/>
  <c r="B56" i="12"/>
  <c r="D168" i="14"/>
  <c r="G168" i="14"/>
  <c r="E52" i="13"/>
  <c r="F51" i="13"/>
  <c r="C51" i="13" s="1"/>
  <c r="B51" i="13"/>
  <c r="D51" i="13" s="1"/>
  <c r="B470" i="14"/>
  <c r="I470" i="14"/>
  <c r="H471" i="14"/>
  <c r="K150" i="4"/>
  <c r="D150" i="4" s="1"/>
  <c r="E150" i="4"/>
  <c r="F150" i="4" s="1"/>
  <c r="B49" i="4"/>
  <c r="I49" i="4"/>
  <c r="H50" i="4"/>
  <c r="C55" i="12"/>
  <c r="I55" i="12"/>
  <c r="D55" i="12" s="1"/>
  <c r="F467" i="14"/>
  <c r="L467" i="14"/>
  <c r="C91" i="14" l="1"/>
  <c r="J91" i="14"/>
  <c r="G90" i="14"/>
  <c r="D90" i="14"/>
  <c r="B92" i="14"/>
  <c r="H93" i="14"/>
  <c r="I92" i="14"/>
  <c r="G183" i="12"/>
  <c r="B182" i="12"/>
  <c r="E54" i="12"/>
  <c r="H196" i="15"/>
  <c r="D196" i="15" s="1"/>
  <c r="C197" i="15"/>
  <c r="J50" i="11"/>
  <c r="D50" i="11" s="1"/>
  <c r="F50" i="11" s="1"/>
  <c r="C50" i="11"/>
  <c r="K50" i="11" s="1"/>
  <c r="B51" i="11"/>
  <c r="I51" i="11"/>
  <c r="H52" i="11"/>
  <c r="J49" i="4"/>
  <c r="C49" i="4"/>
  <c r="D169" i="14"/>
  <c r="G169" i="14"/>
  <c r="J55" i="12"/>
  <c r="F55" i="12" s="1"/>
  <c r="G87" i="15"/>
  <c r="B87" i="15"/>
  <c r="F88" i="15"/>
  <c r="C170" i="14"/>
  <c r="J170" i="14"/>
  <c r="B48" i="16"/>
  <c r="G48" i="16"/>
  <c r="C48" i="16" s="1"/>
  <c r="D48" i="16" s="1"/>
  <c r="H472" i="14"/>
  <c r="B471" i="14"/>
  <c r="I471" i="14"/>
  <c r="J470" i="14"/>
  <c r="C470" i="14"/>
  <c r="B50" i="4"/>
  <c r="I50" i="4"/>
  <c r="H51" i="4"/>
  <c r="E53" i="13"/>
  <c r="F52" i="13"/>
  <c r="C52" i="13" s="1"/>
  <c r="B52" i="13"/>
  <c r="D52" i="13" s="1"/>
  <c r="I56" i="12"/>
  <c r="D56" i="12" s="1"/>
  <c r="C56" i="12"/>
  <c r="L468" i="14"/>
  <c r="F468" i="14"/>
  <c r="B57" i="12"/>
  <c r="H57" i="12"/>
  <c r="G58" i="12"/>
  <c r="K48" i="4"/>
  <c r="E48" i="4" s="1"/>
  <c r="D48" i="4"/>
  <c r="F48" i="4" s="1"/>
  <c r="J152" i="4"/>
  <c r="C152" i="4"/>
  <c r="K151" i="4"/>
  <c r="D151" i="4" s="1"/>
  <c r="E151" i="4"/>
  <c r="F151" i="4" s="1"/>
  <c r="D469" i="14"/>
  <c r="K469" i="14"/>
  <c r="G469" i="14"/>
  <c r="H154" i="4"/>
  <c r="I153" i="4"/>
  <c r="B153" i="4"/>
  <c r="H86" i="15"/>
  <c r="D86" i="15" s="1"/>
  <c r="C86" i="15"/>
  <c r="B171" i="14"/>
  <c r="H172" i="14"/>
  <c r="I171" i="14"/>
  <c r="F49" i="16"/>
  <c r="E50" i="16"/>
  <c r="A49" i="16"/>
  <c r="J92" i="14" l="1"/>
  <c r="C92" i="14"/>
  <c r="B93" i="14"/>
  <c r="H94" i="14"/>
  <c r="I93" i="14"/>
  <c r="G91" i="14"/>
  <c r="D91" i="14"/>
  <c r="B183" i="12"/>
  <c r="G184" i="12"/>
  <c r="H197" i="15"/>
  <c r="D197" i="15" s="1"/>
  <c r="C51" i="11"/>
  <c r="K51" i="11" s="1"/>
  <c r="E51" i="11" s="1"/>
  <c r="J51" i="11"/>
  <c r="D51" i="11" s="1"/>
  <c r="F51" i="11" s="1"/>
  <c r="E50" i="11"/>
  <c r="H53" i="11"/>
  <c r="I52" i="11"/>
  <c r="B52" i="11"/>
  <c r="E152" i="4"/>
  <c r="F152" i="4" s="1"/>
  <c r="K152" i="4"/>
  <c r="D152" i="4" s="1"/>
  <c r="G59" i="12"/>
  <c r="H58" i="12"/>
  <c r="B58" i="12"/>
  <c r="G170" i="14"/>
  <c r="D170" i="14"/>
  <c r="C87" i="15"/>
  <c r="H87" i="15"/>
  <c r="D87" i="15" s="1"/>
  <c r="I172" i="14"/>
  <c r="H173" i="14"/>
  <c r="B172" i="14"/>
  <c r="L469" i="14"/>
  <c r="F469" i="14"/>
  <c r="B51" i="4"/>
  <c r="I51" i="4"/>
  <c r="H52" i="4"/>
  <c r="D470" i="14"/>
  <c r="K470" i="14"/>
  <c r="G470" i="14"/>
  <c r="G88" i="15"/>
  <c r="B88" i="15"/>
  <c r="F89" i="15"/>
  <c r="B49" i="16"/>
  <c r="G49" i="16"/>
  <c r="C49" i="16" s="1"/>
  <c r="D49" i="16" s="1"/>
  <c r="B154" i="4"/>
  <c r="H155" i="4"/>
  <c r="I154" i="4"/>
  <c r="J171" i="14"/>
  <c r="C171" i="14"/>
  <c r="C57" i="12"/>
  <c r="I57" i="12"/>
  <c r="D57" i="12" s="1"/>
  <c r="J56" i="12"/>
  <c r="F56" i="12" s="1"/>
  <c r="E54" i="13"/>
  <c r="F53" i="13"/>
  <c r="C53" i="13" s="1"/>
  <c r="B53" i="13"/>
  <c r="H473" i="14"/>
  <c r="B472" i="14"/>
  <c r="I472" i="14"/>
  <c r="F50" i="16"/>
  <c r="E51" i="16"/>
  <c r="A50" i="16"/>
  <c r="C153" i="4"/>
  <c r="J153" i="4"/>
  <c r="J50" i="4"/>
  <c r="C50" i="4"/>
  <c r="C471" i="14"/>
  <c r="J471" i="14"/>
  <c r="E55" i="12"/>
  <c r="K49" i="4"/>
  <c r="E49" i="4" s="1"/>
  <c r="D49" i="4"/>
  <c r="F49" i="4" s="1"/>
  <c r="J93" i="14" l="1"/>
  <c r="C93" i="14"/>
  <c r="G92" i="14"/>
  <c r="D92" i="14"/>
  <c r="B94" i="14"/>
  <c r="I94" i="14"/>
  <c r="B184" i="12"/>
  <c r="G185" i="12"/>
  <c r="C52" i="11"/>
  <c r="K52" i="11" s="1"/>
  <c r="E52" i="11" s="1"/>
  <c r="J52" i="11"/>
  <c r="D52" i="11" s="1"/>
  <c r="F52" i="11" s="1"/>
  <c r="J57" i="12"/>
  <c r="F57" i="12" s="1"/>
  <c r="H54" i="11"/>
  <c r="I53" i="11"/>
  <c r="B53" i="11"/>
  <c r="K153" i="4"/>
  <c r="D153" i="4" s="1"/>
  <c r="E153" i="4"/>
  <c r="F153" i="4" s="1"/>
  <c r="F51" i="16"/>
  <c r="E52" i="16"/>
  <c r="A51" i="16"/>
  <c r="C472" i="14"/>
  <c r="J472" i="14"/>
  <c r="J172" i="14"/>
  <c r="C172" i="14"/>
  <c r="I58" i="12"/>
  <c r="D58" i="12" s="1"/>
  <c r="C58" i="12"/>
  <c r="K50" i="4"/>
  <c r="E50" i="4" s="1"/>
  <c r="D50" i="4"/>
  <c r="F50" i="4" s="1"/>
  <c r="K471" i="14"/>
  <c r="G471" i="14"/>
  <c r="D471" i="14"/>
  <c r="B50" i="16"/>
  <c r="G50" i="16"/>
  <c r="C50" i="16" s="1"/>
  <c r="B54" i="13"/>
  <c r="E55" i="13"/>
  <c r="F54" i="13"/>
  <c r="C54" i="13" s="1"/>
  <c r="H88" i="15"/>
  <c r="D88" i="15" s="1"/>
  <c r="C88" i="15"/>
  <c r="B52" i="4"/>
  <c r="I52" i="4"/>
  <c r="H53" i="4"/>
  <c r="B59" i="12"/>
  <c r="H59" i="12"/>
  <c r="G60" i="12"/>
  <c r="I473" i="14"/>
  <c r="H474" i="14"/>
  <c r="B473" i="14"/>
  <c r="E56" i="12"/>
  <c r="G171" i="14"/>
  <c r="D171" i="14"/>
  <c r="C154" i="4"/>
  <c r="J154" i="4"/>
  <c r="J51" i="4"/>
  <c r="C51" i="4"/>
  <c r="D53" i="13"/>
  <c r="B155" i="4"/>
  <c r="H156" i="4"/>
  <c r="I155" i="4"/>
  <c r="F90" i="15"/>
  <c r="G89" i="15"/>
  <c r="B89" i="15"/>
  <c r="F470" i="14"/>
  <c r="L470" i="14"/>
  <c r="H174" i="14"/>
  <c r="I173" i="14"/>
  <c r="B173" i="14"/>
  <c r="C94" i="14" l="1"/>
  <c r="J94" i="14"/>
  <c r="D93" i="14"/>
  <c r="G93" i="14"/>
  <c r="G186" i="12"/>
  <c r="B185" i="12"/>
  <c r="E57" i="12"/>
  <c r="D50" i="16"/>
  <c r="C53" i="11"/>
  <c r="K53" i="11" s="1"/>
  <c r="E53" i="11" s="1"/>
  <c r="J53" i="11"/>
  <c r="D53" i="11" s="1"/>
  <c r="F53" i="11" s="1"/>
  <c r="B54" i="11"/>
  <c r="I54" i="11"/>
  <c r="H55" i="11"/>
  <c r="D54" i="13"/>
  <c r="H157" i="4"/>
  <c r="I156" i="4"/>
  <c r="B156" i="4"/>
  <c r="K51" i="4"/>
  <c r="E51" i="4" s="1"/>
  <c r="D51" i="4"/>
  <c r="F51" i="4" s="1"/>
  <c r="B474" i="14"/>
  <c r="I474" i="14"/>
  <c r="H475" i="14"/>
  <c r="E56" i="13"/>
  <c r="F55" i="13"/>
  <c r="C55" i="13" s="1"/>
  <c r="B55" i="13"/>
  <c r="B90" i="15"/>
  <c r="F91" i="15"/>
  <c r="G90" i="15"/>
  <c r="G61" i="12"/>
  <c r="H60" i="12"/>
  <c r="B60" i="12"/>
  <c r="J52" i="4"/>
  <c r="C52" i="4"/>
  <c r="J58" i="12"/>
  <c r="F58" i="12" s="1"/>
  <c r="F52" i="16"/>
  <c r="E53" i="16"/>
  <c r="A52" i="16"/>
  <c r="H175" i="14"/>
  <c r="B174" i="14"/>
  <c r="I174" i="14"/>
  <c r="H89" i="15"/>
  <c r="D89" i="15" s="1"/>
  <c r="C89" i="15"/>
  <c r="K154" i="4"/>
  <c r="D154" i="4" s="1"/>
  <c r="E154" i="4"/>
  <c r="F154" i="4" s="1"/>
  <c r="J173" i="14"/>
  <c r="C173" i="14"/>
  <c r="J155" i="4"/>
  <c r="C155" i="4"/>
  <c r="C59" i="12"/>
  <c r="I59" i="12"/>
  <c r="D59" i="12" s="1"/>
  <c r="F471" i="14"/>
  <c r="L471" i="14"/>
  <c r="D472" i="14"/>
  <c r="K472" i="14"/>
  <c r="G472" i="14"/>
  <c r="B51" i="16"/>
  <c r="G51" i="16"/>
  <c r="C51" i="16" s="1"/>
  <c r="D51" i="16" s="1"/>
  <c r="C473" i="14"/>
  <c r="J473" i="14"/>
  <c r="B53" i="4"/>
  <c r="H54" i="4"/>
  <c r="I53" i="4"/>
  <c r="D172" i="14"/>
  <c r="G172" i="14"/>
  <c r="G94" i="14" l="1"/>
  <c r="D94" i="14"/>
  <c r="G187" i="12"/>
  <c r="B186" i="12"/>
  <c r="B55" i="11"/>
  <c r="H56" i="11"/>
  <c r="I55" i="11"/>
  <c r="C54" i="11"/>
  <c r="K54" i="11" s="1"/>
  <c r="J54" i="11"/>
  <c r="D54" i="11" s="1"/>
  <c r="F54" i="11" s="1"/>
  <c r="D55" i="13"/>
  <c r="B175" i="14"/>
  <c r="H176" i="14"/>
  <c r="I175" i="14"/>
  <c r="E58" i="12"/>
  <c r="I60" i="12"/>
  <c r="D60" i="12" s="1"/>
  <c r="C60" i="12"/>
  <c r="H90" i="15"/>
  <c r="D90" i="15" s="1"/>
  <c r="C90" i="15"/>
  <c r="J59" i="12"/>
  <c r="F59" i="12" s="1"/>
  <c r="G91" i="15"/>
  <c r="B91" i="15"/>
  <c r="F92" i="15"/>
  <c r="J156" i="4"/>
  <c r="C156" i="4"/>
  <c r="I54" i="4"/>
  <c r="H55" i="4"/>
  <c r="B54" i="4"/>
  <c r="K155" i="4"/>
  <c r="D155" i="4" s="1"/>
  <c r="E155" i="4"/>
  <c r="F155" i="4" s="1"/>
  <c r="B52" i="16"/>
  <c r="G52" i="16"/>
  <c r="C52" i="16" s="1"/>
  <c r="D52" i="16" s="1"/>
  <c r="H476" i="14"/>
  <c r="B475" i="14"/>
  <c r="I475" i="14"/>
  <c r="J474" i="14"/>
  <c r="C474" i="14"/>
  <c r="D473" i="14"/>
  <c r="K473" i="14"/>
  <c r="G473" i="14"/>
  <c r="D173" i="14"/>
  <c r="G173" i="14"/>
  <c r="H61" i="12"/>
  <c r="B61" i="12"/>
  <c r="G62" i="12"/>
  <c r="J53" i="4"/>
  <c r="C53" i="4"/>
  <c r="L472" i="14"/>
  <c r="F472" i="14"/>
  <c r="C174" i="14"/>
  <c r="J174" i="14"/>
  <c r="F53" i="16"/>
  <c r="E54" i="16"/>
  <c r="A53" i="16"/>
  <c r="K52" i="4"/>
  <c r="E52" i="4" s="1"/>
  <c r="D52" i="4"/>
  <c r="F52" i="4" s="1"/>
  <c r="E57" i="13"/>
  <c r="F56" i="13"/>
  <c r="C56" i="13" s="1"/>
  <c r="B56" i="13"/>
  <c r="H158" i="4"/>
  <c r="I157" i="4"/>
  <c r="B157" i="4"/>
  <c r="B187" i="12" l="1"/>
  <c r="G188" i="12"/>
  <c r="J60" i="12"/>
  <c r="F60" i="12" s="1"/>
  <c r="E54" i="11"/>
  <c r="J55" i="11"/>
  <c r="D55" i="11" s="1"/>
  <c r="F55" i="11" s="1"/>
  <c r="C55" i="11"/>
  <c r="K55" i="11" s="1"/>
  <c r="E55" i="11" s="1"/>
  <c r="B56" i="11"/>
  <c r="H57" i="11"/>
  <c r="I56" i="11"/>
  <c r="B158" i="4"/>
  <c r="H159" i="4"/>
  <c r="I158" i="4"/>
  <c r="B53" i="16"/>
  <c r="G53" i="16"/>
  <c r="C53" i="16" s="1"/>
  <c r="D53" i="16" s="1"/>
  <c r="B62" i="12"/>
  <c r="G63" i="12"/>
  <c r="H62" i="12"/>
  <c r="D474" i="14"/>
  <c r="K474" i="14"/>
  <c r="G474" i="14"/>
  <c r="I55" i="4"/>
  <c r="H56" i="4"/>
  <c r="B55" i="4"/>
  <c r="G92" i="15"/>
  <c r="B92" i="15"/>
  <c r="F93" i="15"/>
  <c r="C91" i="15"/>
  <c r="H91" i="15"/>
  <c r="D91" i="15" s="1"/>
  <c r="C175" i="14"/>
  <c r="J175" i="14"/>
  <c r="C157" i="4"/>
  <c r="J157" i="4"/>
  <c r="F57" i="13"/>
  <c r="C57" i="13" s="1"/>
  <c r="B57" i="13"/>
  <c r="D57" i="13" s="1"/>
  <c r="E58" i="13"/>
  <c r="D56" i="13"/>
  <c r="G174" i="14"/>
  <c r="D174" i="14"/>
  <c r="L473" i="14"/>
  <c r="F473" i="14"/>
  <c r="C475" i="14"/>
  <c r="J475" i="14"/>
  <c r="J54" i="4"/>
  <c r="C54" i="4"/>
  <c r="K53" i="4"/>
  <c r="E53" i="4" s="1"/>
  <c r="D53" i="4"/>
  <c r="F53" i="4" s="1"/>
  <c r="C61" i="12"/>
  <c r="I61" i="12"/>
  <c r="D61" i="12" s="1"/>
  <c r="F54" i="16"/>
  <c r="E55" i="16"/>
  <c r="A54" i="16"/>
  <c r="H477" i="14"/>
  <c r="B476" i="14"/>
  <c r="I476" i="14"/>
  <c r="E156" i="4"/>
  <c r="F156" i="4" s="1"/>
  <c r="K156" i="4"/>
  <c r="D156" i="4" s="1"/>
  <c r="E59" i="12"/>
  <c r="H177" i="14"/>
  <c r="I176" i="14"/>
  <c r="B176" i="14"/>
  <c r="B188" i="12" l="1"/>
  <c r="G189" i="12"/>
  <c r="E60" i="12"/>
  <c r="J56" i="11"/>
  <c r="D56" i="11" s="1"/>
  <c r="F56" i="11" s="1"/>
  <c r="C56" i="11"/>
  <c r="K56" i="11" s="1"/>
  <c r="E56" i="11" s="1"/>
  <c r="H58" i="11"/>
  <c r="B57" i="11"/>
  <c r="I57" i="11"/>
  <c r="J55" i="4"/>
  <c r="C55" i="4"/>
  <c r="I62" i="12"/>
  <c r="D62" i="12" s="1"/>
  <c r="C62" i="12"/>
  <c r="J176" i="14"/>
  <c r="C176" i="14"/>
  <c r="D54" i="4"/>
  <c r="F54" i="4" s="1"/>
  <c r="K54" i="4"/>
  <c r="E54" i="4" s="1"/>
  <c r="E59" i="13"/>
  <c r="F58" i="13"/>
  <c r="C58" i="13" s="1"/>
  <c r="B58" i="13"/>
  <c r="D58" i="13" s="1"/>
  <c r="H178" i="14"/>
  <c r="I177" i="14"/>
  <c r="B177" i="14"/>
  <c r="I477" i="14"/>
  <c r="H478" i="14"/>
  <c r="B477" i="14"/>
  <c r="K475" i="14"/>
  <c r="G475" i="14"/>
  <c r="D475" i="14"/>
  <c r="C158" i="4"/>
  <c r="J158" i="4"/>
  <c r="B54" i="16"/>
  <c r="G54" i="16"/>
  <c r="C54" i="16" s="1"/>
  <c r="D54" i="16" s="1"/>
  <c r="F474" i="14"/>
  <c r="L474" i="14"/>
  <c r="B159" i="4"/>
  <c r="H160" i="4"/>
  <c r="I159" i="4"/>
  <c r="F55" i="16"/>
  <c r="E56" i="16"/>
  <c r="A55" i="16"/>
  <c r="G175" i="14"/>
  <c r="D175" i="14"/>
  <c r="H92" i="15"/>
  <c r="D92" i="15" s="1"/>
  <c r="C92" i="15"/>
  <c r="H63" i="12"/>
  <c r="B63" i="12"/>
  <c r="G64" i="12"/>
  <c r="C476" i="14"/>
  <c r="J476" i="14"/>
  <c r="J61" i="12"/>
  <c r="F61" i="12" s="1"/>
  <c r="K157" i="4"/>
  <c r="D157" i="4" s="1"/>
  <c r="E157" i="4"/>
  <c r="F157" i="4" s="1"/>
  <c r="F94" i="15"/>
  <c r="G93" i="15"/>
  <c r="B93" i="15"/>
  <c r="I56" i="4"/>
  <c r="H57" i="4"/>
  <c r="B56" i="4"/>
  <c r="G190" i="12" l="1"/>
  <c r="B189" i="12"/>
  <c r="B58" i="11"/>
  <c r="H59" i="11"/>
  <c r="I58" i="11"/>
  <c r="J62" i="12"/>
  <c r="F62" i="12" s="1"/>
  <c r="J57" i="11"/>
  <c r="D57" i="11" s="1"/>
  <c r="F57" i="11" s="1"/>
  <c r="C57" i="11"/>
  <c r="K57" i="11" s="1"/>
  <c r="E57" i="11" s="1"/>
  <c r="C477" i="14"/>
  <c r="J477" i="14"/>
  <c r="H93" i="15"/>
  <c r="D93" i="15" s="1"/>
  <c r="C93" i="15"/>
  <c r="I57" i="4"/>
  <c r="H58" i="4"/>
  <c r="B57" i="4"/>
  <c r="B94" i="15"/>
  <c r="F95" i="15"/>
  <c r="G94" i="15"/>
  <c r="B64" i="12"/>
  <c r="G65" i="12"/>
  <c r="H64" i="12"/>
  <c r="F56" i="16"/>
  <c r="E57" i="16"/>
  <c r="A56" i="16"/>
  <c r="J159" i="4"/>
  <c r="C159" i="4"/>
  <c r="K158" i="4"/>
  <c r="D158" i="4" s="1"/>
  <c r="E158" i="4"/>
  <c r="F158" i="4" s="1"/>
  <c r="F475" i="14"/>
  <c r="L475" i="14"/>
  <c r="J56" i="4"/>
  <c r="C56" i="4"/>
  <c r="D476" i="14"/>
  <c r="K476" i="14"/>
  <c r="G476" i="14"/>
  <c r="B55" i="16"/>
  <c r="G55" i="16"/>
  <c r="C55" i="16" s="1"/>
  <c r="D55" i="16" s="1"/>
  <c r="H161" i="4"/>
  <c r="I160" i="4"/>
  <c r="B160" i="4"/>
  <c r="C177" i="14"/>
  <c r="J177" i="14"/>
  <c r="E60" i="13"/>
  <c r="F59" i="13"/>
  <c r="C59" i="13" s="1"/>
  <c r="B59" i="13"/>
  <c r="E61" i="12"/>
  <c r="C63" i="12"/>
  <c r="I63" i="12"/>
  <c r="D63" i="12" s="1"/>
  <c r="B478" i="14"/>
  <c r="I478" i="14"/>
  <c r="H479" i="14"/>
  <c r="B178" i="14"/>
  <c r="I178" i="14"/>
  <c r="H179" i="14"/>
  <c r="D176" i="14"/>
  <c r="G176" i="14"/>
  <c r="D55" i="4"/>
  <c r="F55" i="4" s="1"/>
  <c r="K55" i="4"/>
  <c r="E55" i="4" s="1"/>
  <c r="G191" i="12" l="1"/>
  <c r="B190" i="12"/>
  <c r="E62" i="12"/>
  <c r="C58" i="11"/>
  <c r="K58" i="11" s="1"/>
  <c r="J58" i="11"/>
  <c r="D58" i="11" s="1"/>
  <c r="F58" i="11" s="1"/>
  <c r="H60" i="11"/>
  <c r="B59" i="11"/>
  <c r="I59" i="11"/>
  <c r="D59" i="13"/>
  <c r="H480" i="14"/>
  <c r="H481" i="14" s="1"/>
  <c r="B479" i="14"/>
  <c r="I479" i="14"/>
  <c r="K159" i="4"/>
  <c r="D159" i="4" s="1"/>
  <c r="E159" i="4"/>
  <c r="F159" i="4" s="1"/>
  <c r="G95" i="15"/>
  <c r="B95" i="15"/>
  <c r="F96" i="15"/>
  <c r="B179" i="14"/>
  <c r="H180" i="14"/>
  <c r="I179" i="14"/>
  <c r="J478" i="14"/>
  <c r="C478" i="14"/>
  <c r="D177" i="14"/>
  <c r="G177" i="14"/>
  <c r="J160" i="4"/>
  <c r="C160" i="4"/>
  <c r="D56" i="4"/>
  <c r="F56" i="4" s="1"/>
  <c r="K56" i="4"/>
  <c r="E56" i="4" s="1"/>
  <c r="G66" i="12"/>
  <c r="H65" i="12"/>
  <c r="B65" i="12"/>
  <c r="E61" i="13"/>
  <c r="F60" i="13"/>
  <c r="C60" i="13" s="1"/>
  <c r="B60" i="13"/>
  <c r="C178" i="14"/>
  <c r="J178" i="14"/>
  <c r="J63" i="12"/>
  <c r="F63" i="12" s="1"/>
  <c r="H162" i="4"/>
  <c r="I161" i="4"/>
  <c r="B161" i="4"/>
  <c r="L476" i="14"/>
  <c r="F476" i="14"/>
  <c r="F57" i="16"/>
  <c r="E58" i="16"/>
  <c r="A57" i="16"/>
  <c r="D477" i="14"/>
  <c r="K477" i="14"/>
  <c r="G477" i="14"/>
  <c r="I64" i="12"/>
  <c r="D64" i="12" s="1"/>
  <c r="C64" i="12"/>
  <c r="J57" i="4"/>
  <c r="C57" i="4"/>
  <c r="B56" i="16"/>
  <c r="G56" i="16"/>
  <c r="C56" i="16" s="1"/>
  <c r="D56" i="16" s="1"/>
  <c r="H94" i="15"/>
  <c r="D94" i="15" s="1"/>
  <c r="C94" i="15"/>
  <c r="I58" i="4"/>
  <c r="H59" i="4"/>
  <c r="B58" i="4"/>
  <c r="B481" i="14" l="1"/>
  <c r="H482" i="14"/>
  <c r="B191" i="12"/>
  <c r="G192" i="12"/>
  <c r="B60" i="11"/>
  <c r="H61" i="11"/>
  <c r="I60" i="11"/>
  <c r="D60" i="13"/>
  <c r="J59" i="11"/>
  <c r="D59" i="11" s="1"/>
  <c r="F59" i="11" s="1"/>
  <c r="C59" i="11"/>
  <c r="K59" i="11" s="1"/>
  <c r="E59" i="11" s="1"/>
  <c r="E58" i="11"/>
  <c r="J58" i="4"/>
  <c r="C58" i="4"/>
  <c r="D478" i="14"/>
  <c r="K478" i="14"/>
  <c r="G478" i="14"/>
  <c r="J64" i="12"/>
  <c r="F64" i="12" s="1"/>
  <c r="B57" i="16"/>
  <c r="G57" i="16"/>
  <c r="C57" i="16" s="1"/>
  <c r="D57" i="16" s="1"/>
  <c r="C161" i="4"/>
  <c r="J161" i="4"/>
  <c r="G178" i="14"/>
  <c r="D178" i="14"/>
  <c r="E62" i="13"/>
  <c r="F61" i="13"/>
  <c r="C61" i="13" s="1"/>
  <c r="B61" i="13"/>
  <c r="D61" i="13" s="1"/>
  <c r="H181" i="14"/>
  <c r="I180" i="14"/>
  <c r="B180" i="14"/>
  <c r="H95" i="15"/>
  <c r="D95" i="15" s="1"/>
  <c r="C95" i="15"/>
  <c r="I59" i="4"/>
  <c r="H60" i="4"/>
  <c r="B59" i="4"/>
  <c r="B162" i="4"/>
  <c r="H163" i="4"/>
  <c r="I162" i="4"/>
  <c r="C479" i="14"/>
  <c r="J479" i="14"/>
  <c r="E63" i="12"/>
  <c r="C65" i="12"/>
  <c r="I65" i="12"/>
  <c r="D65" i="12" s="1"/>
  <c r="F97" i="15"/>
  <c r="G96" i="15"/>
  <c r="B96" i="15"/>
  <c r="D57" i="4"/>
  <c r="F57" i="4" s="1"/>
  <c r="K57" i="4"/>
  <c r="E57" i="4" s="1"/>
  <c r="L477" i="14"/>
  <c r="F477" i="14"/>
  <c r="F58" i="16"/>
  <c r="A58" i="16"/>
  <c r="E59" i="16"/>
  <c r="B66" i="12"/>
  <c r="G67" i="12"/>
  <c r="H66" i="12"/>
  <c r="E160" i="4"/>
  <c r="F160" i="4" s="1"/>
  <c r="K160" i="4"/>
  <c r="D160" i="4" s="1"/>
  <c r="J179" i="14"/>
  <c r="C179" i="14"/>
  <c r="B480" i="14"/>
  <c r="I480" i="14"/>
  <c r="I481" i="14" s="1"/>
  <c r="C481" i="14" l="1"/>
  <c r="H483" i="14"/>
  <c r="I482" i="14"/>
  <c r="B482" i="14"/>
  <c r="B192" i="12"/>
  <c r="G193" i="12"/>
  <c r="H62" i="11"/>
  <c r="B61" i="11"/>
  <c r="I61" i="11"/>
  <c r="C60" i="11"/>
  <c r="K60" i="11" s="1"/>
  <c r="E60" i="11" s="1"/>
  <c r="J60" i="11"/>
  <c r="D60" i="11" s="1"/>
  <c r="F60" i="11" s="1"/>
  <c r="C480" i="14"/>
  <c r="J480" i="14"/>
  <c r="J481" i="14" s="1"/>
  <c r="C66" i="12"/>
  <c r="I66" i="12"/>
  <c r="D66" i="12" s="1"/>
  <c r="B97" i="15"/>
  <c r="G97" i="15"/>
  <c r="F98" i="15"/>
  <c r="E63" i="13"/>
  <c r="F62" i="13"/>
  <c r="C62" i="13" s="1"/>
  <c r="B62" i="13"/>
  <c r="D62" i="13" s="1"/>
  <c r="B67" i="12"/>
  <c r="G68" i="12"/>
  <c r="H67" i="12"/>
  <c r="B58" i="16"/>
  <c r="G58" i="16"/>
  <c r="C58" i="16" s="1"/>
  <c r="D58" i="16" s="1"/>
  <c r="K479" i="14"/>
  <c r="G479" i="14"/>
  <c r="D479" i="14"/>
  <c r="B163" i="4"/>
  <c r="H164" i="4"/>
  <c r="I163" i="4"/>
  <c r="J59" i="4"/>
  <c r="C59" i="4"/>
  <c r="C180" i="14"/>
  <c r="J180" i="14"/>
  <c r="C162" i="4"/>
  <c r="J162" i="4"/>
  <c r="F478" i="14"/>
  <c r="L478" i="14"/>
  <c r="J65" i="12"/>
  <c r="F65" i="12" s="1"/>
  <c r="B181" i="14"/>
  <c r="H182" i="14"/>
  <c r="I181" i="14"/>
  <c r="I60" i="4"/>
  <c r="H61" i="4"/>
  <c r="B60" i="4"/>
  <c r="E64" i="12"/>
  <c r="G179" i="14"/>
  <c r="D179" i="14"/>
  <c r="F59" i="16"/>
  <c r="A59" i="16"/>
  <c r="E60" i="16"/>
  <c r="H96" i="15"/>
  <c r="D96" i="15" s="1"/>
  <c r="C96" i="15"/>
  <c r="K161" i="4"/>
  <c r="D161" i="4" s="1"/>
  <c r="E161" i="4"/>
  <c r="F161" i="4" s="1"/>
  <c r="D58" i="4"/>
  <c r="F58" i="4" s="1"/>
  <c r="K58" i="4"/>
  <c r="E58" i="4" s="1"/>
  <c r="C482" i="14" l="1"/>
  <c r="J482" i="14"/>
  <c r="D481" i="14"/>
  <c r="G481" i="14"/>
  <c r="H484" i="14"/>
  <c r="I483" i="14"/>
  <c r="B483" i="14"/>
  <c r="B193" i="12"/>
  <c r="G194" i="12"/>
  <c r="J66" i="12"/>
  <c r="F66" i="12" s="1"/>
  <c r="J61" i="11"/>
  <c r="D61" i="11" s="1"/>
  <c r="F61" i="11" s="1"/>
  <c r="C61" i="11"/>
  <c r="K61" i="11" s="1"/>
  <c r="E61" i="11" s="1"/>
  <c r="I62" i="11"/>
  <c r="H63" i="11"/>
  <c r="B62" i="11"/>
  <c r="G59" i="16"/>
  <c r="C59" i="16" s="1"/>
  <c r="B59" i="16"/>
  <c r="C181" i="14"/>
  <c r="J181" i="14"/>
  <c r="D180" i="14"/>
  <c r="G180" i="14"/>
  <c r="J163" i="4"/>
  <c r="C163" i="4"/>
  <c r="I67" i="12"/>
  <c r="D67" i="12" s="1"/>
  <c r="C67" i="12"/>
  <c r="B182" i="14"/>
  <c r="H183" i="14"/>
  <c r="I182" i="14"/>
  <c r="H165" i="4"/>
  <c r="I164" i="4"/>
  <c r="B164" i="4"/>
  <c r="F479" i="14"/>
  <c r="L479" i="14"/>
  <c r="G69" i="12"/>
  <c r="H68" i="12"/>
  <c r="B68" i="12"/>
  <c r="F99" i="15"/>
  <c r="G98" i="15"/>
  <c r="B98" i="15"/>
  <c r="F60" i="16"/>
  <c r="E61" i="16"/>
  <c r="A60" i="16"/>
  <c r="I61" i="4"/>
  <c r="H62" i="4"/>
  <c r="B61" i="4"/>
  <c r="K162" i="4"/>
  <c r="D162" i="4" s="1"/>
  <c r="E162" i="4"/>
  <c r="F162" i="4" s="1"/>
  <c r="H97" i="15"/>
  <c r="D97" i="15" s="1"/>
  <c r="C97" i="15"/>
  <c r="D480" i="14"/>
  <c r="K480" i="14"/>
  <c r="K481" i="14" s="1"/>
  <c r="G480" i="14"/>
  <c r="J60" i="4"/>
  <c r="C60" i="4"/>
  <c r="E65" i="12"/>
  <c r="D59" i="4"/>
  <c r="F59" i="4" s="1"/>
  <c r="K59" i="4"/>
  <c r="E59" i="4" s="1"/>
  <c r="E64" i="13"/>
  <c r="F63" i="13"/>
  <c r="C63" i="13" s="1"/>
  <c r="B63" i="13"/>
  <c r="F481" i="14" l="1"/>
  <c r="L481" i="14"/>
  <c r="I484" i="14"/>
  <c r="B484" i="14"/>
  <c r="H485" i="14"/>
  <c r="G482" i="14"/>
  <c r="D482" i="14"/>
  <c r="K482" i="14"/>
  <c r="J483" i="14"/>
  <c r="C483" i="14"/>
  <c r="G195" i="12"/>
  <c r="B194" i="12"/>
  <c r="E66" i="12"/>
  <c r="D59" i="16"/>
  <c r="H64" i="11"/>
  <c r="B63" i="11"/>
  <c r="I63" i="11"/>
  <c r="C62" i="11"/>
  <c r="K62" i="11" s="1"/>
  <c r="E62" i="11" s="1"/>
  <c r="J62" i="11"/>
  <c r="D62" i="11" s="1"/>
  <c r="F62" i="11" s="1"/>
  <c r="D60" i="4"/>
  <c r="F60" i="4" s="1"/>
  <c r="K60" i="4"/>
  <c r="E60" i="4" s="1"/>
  <c r="F100" i="15"/>
  <c r="G99" i="15"/>
  <c r="B99" i="15"/>
  <c r="K163" i="4"/>
  <c r="D163" i="4" s="1"/>
  <c r="E163" i="4"/>
  <c r="F163" i="4" s="1"/>
  <c r="D63" i="13"/>
  <c r="E62" i="16"/>
  <c r="F61" i="16"/>
  <c r="A61" i="16"/>
  <c r="J182" i="14"/>
  <c r="C182" i="14"/>
  <c r="J67" i="12"/>
  <c r="F67" i="12" s="1"/>
  <c r="L480" i="14"/>
  <c r="F480" i="14"/>
  <c r="I62" i="4"/>
  <c r="H63" i="4"/>
  <c r="B62" i="4"/>
  <c r="G60" i="16"/>
  <c r="C60" i="16" s="1"/>
  <c r="D60" i="16" s="1"/>
  <c r="B60" i="16"/>
  <c r="I68" i="12"/>
  <c r="D68" i="12" s="1"/>
  <c r="C68" i="12"/>
  <c r="H184" i="14"/>
  <c r="I183" i="14"/>
  <c r="B183" i="14"/>
  <c r="H166" i="4"/>
  <c r="I165" i="4"/>
  <c r="B165" i="4"/>
  <c r="E65" i="13"/>
  <c r="F64" i="13"/>
  <c r="C64" i="13" s="1"/>
  <c r="B64" i="13"/>
  <c r="J61" i="4"/>
  <c r="C61" i="4"/>
  <c r="H98" i="15"/>
  <c r="D98" i="15" s="1"/>
  <c r="C98" i="15"/>
  <c r="G70" i="12"/>
  <c r="H69" i="12"/>
  <c r="B69" i="12"/>
  <c r="J164" i="4"/>
  <c r="C164" i="4"/>
  <c r="G181" i="14"/>
  <c r="D181" i="14"/>
  <c r="L482" i="14" l="1"/>
  <c r="F482" i="14"/>
  <c r="D483" i="14"/>
  <c r="G483" i="14"/>
  <c r="K483" i="14"/>
  <c r="C484" i="14"/>
  <c r="J484" i="14"/>
  <c r="B485" i="14"/>
  <c r="H486" i="14"/>
  <c r="I485" i="14"/>
  <c r="B195" i="12"/>
  <c r="G196" i="12"/>
  <c r="J63" i="11"/>
  <c r="D63" i="11" s="1"/>
  <c r="F63" i="11" s="1"/>
  <c r="C63" i="11"/>
  <c r="K63" i="11" s="1"/>
  <c r="E63" i="11" s="1"/>
  <c r="J68" i="12"/>
  <c r="I64" i="11"/>
  <c r="H65" i="11"/>
  <c r="B64" i="11"/>
  <c r="B70" i="12"/>
  <c r="H70" i="12"/>
  <c r="G71" i="12"/>
  <c r="D61" i="4"/>
  <c r="F61" i="4" s="1"/>
  <c r="K61" i="4"/>
  <c r="E61" i="4" s="1"/>
  <c r="E66" i="13"/>
  <c r="F65" i="13"/>
  <c r="C65" i="13" s="1"/>
  <c r="B65" i="13"/>
  <c r="D65" i="13" s="1"/>
  <c r="I63" i="4"/>
  <c r="H64" i="4"/>
  <c r="B63" i="4"/>
  <c r="E63" i="16"/>
  <c r="A62" i="16"/>
  <c r="F62" i="16"/>
  <c r="H99" i="15"/>
  <c r="D99" i="15" s="1"/>
  <c r="C99" i="15"/>
  <c r="E164" i="4"/>
  <c r="F164" i="4" s="1"/>
  <c r="K164" i="4"/>
  <c r="D164" i="4" s="1"/>
  <c r="J183" i="14"/>
  <c r="C183" i="14"/>
  <c r="J62" i="4"/>
  <c r="C62" i="4"/>
  <c r="G182" i="14"/>
  <c r="D182" i="14"/>
  <c r="F101" i="15"/>
  <c r="G100" i="15"/>
  <c r="B100" i="15"/>
  <c r="D64" i="13"/>
  <c r="C165" i="4"/>
  <c r="J165" i="4"/>
  <c r="B184" i="14"/>
  <c r="I184" i="14"/>
  <c r="H185" i="14"/>
  <c r="C69" i="12"/>
  <c r="I69" i="12"/>
  <c r="D69" i="12" s="1"/>
  <c r="B166" i="4"/>
  <c r="H167" i="4"/>
  <c r="I166" i="4"/>
  <c r="E67" i="12"/>
  <c r="G61" i="16"/>
  <c r="C61" i="16" s="1"/>
  <c r="B61" i="16"/>
  <c r="F483" i="14" l="1"/>
  <c r="L483" i="14"/>
  <c r="C485" i="14"/>
  <c r="J485" i="14"/>
  <c r="D484" i="14"/>
  <c r="G484" i="14"/>
  <c r="K484" i="14"/>
  <c r="H487" i="14"/>
  <c r="I486" i="14"/>
  <c r="B486" i="14"/>
  <c r="B196" i="12"/>
  <c r="G197" i="12"/>
  <c r="E68" i="12"/>
  <c r="F68" i="12"/>
  <c r="D61" i="16"/>
  <c r="J69" i="12"/>
  <c r="H66" i="11"/>
  <c r="I65" i="11"/>
  <c r="B65" i="11"/>
  <c r="J64" i="11"/>
  <c r="D64" i="11" s="1"/>
  <c r="F64" i="11" s="1"/>
  <c r="C64" i="11"/>
  <c r="K64" i="11" s="1"/>
  <c r="E64" i="11" s="1"/>
  <c r="D183" i="14"/>
  <c r="G183" i="14"/>
  <c r="E64" i="16"/>
  <c r="A63" i="16"/>
  <c r="F63" i="16"/>
  <c r="I64" i="4"/>
  <c r="H65" i="4"/>
  <c r="B64" i="4"/>
  <c r="B71" i="12"/>
  <c r="G72" i="12"/>
  <c r="H71" i="12"/>
  <c r="B167" i="4"/>
  <c r="H168" i="4"/>
  <c r="I167" i="4"/>
  <c r="C184" i="14"/>
  <c r="J184" i="14"/>
  <c r="C166" i="4"/>
  <c r="J166" i="4"/>
  <c r="K165" i="4"/>
  <c r="D165" i="4" s="1"/>
  <c r="E165" i="4"/>
  <c r="F165" i="4" s="1"/>
  <c r="C100" i="15"/>
  <c r="H100" i="15"/>
  <c r="D100" i="15" s="1"/>
  <c r="J63" i="4"/>
  <c r="C63" i="4"/>
  <c r="E67" i="13"/>
  <c r="F66" i="13"/>
  <c r="C66" i="13" s="1"/>
  <c r="B66" i="13"/>
  <c r="C70" i="12"/>
  <c r="I70" i="12"/>
  <c r="D70" i="12" s="1"/>
  <c r="B185" i="14"/>
  <c r="H186" i="14"/>
  <c r="I185" i="14"/>
  <c r="F102" i="15"/>
  <c r="B101" i="15"/>
  <c r="G101" i="15"/>
  <c r="D62" i="4"/>
  <c r="F62" i="4" s="1"/>
  <c r="K62" i="4"/>
  <c r="E62" i="4" s="1"/>
  <c r="G62" i="16"/>
  <c r="C62" i="16" s="1"/>
  <c r="B62" i="16"/>
  <c r="F484" i="14" l="1"/>
  <c r="L484" i="14"/>
  <c r="J486" i="14"/>
  <c r="C486" i="14"/>
  <c r="I487" i="14"/>
  <c r="H488" i="14"/>
  <c r="B487" i="14"/>
  <c r="G485" i="14"/>
  <c r="K485" i="14"/>
  <c r="D485" i="14"/>
  <c r="B197" i="12"/>
  <c r="G198" i="12"/>
  <c r="E69" i="12"/>
  <c r="F69" i="12"/>
  <c r="D62" i="16"/>
  <c r="J65" i="11"/>
  <c r="D65" i="11" s="1"/>
  <c r="F65" i="11" s="1"/>
  <c r="C65" i="11"/>
  <c r="K65" i="11" s="1"/>
  <c r="E65" i="11" s="1"/>
  <c r="H67" i="11"/>
  <c r="B66" i="11"/>
  <c r="I66" i="11"/>
  <c r="F103" i="15"/>
  <c r="B102" i="15"/>
  <c r="G102" i="15"/>
  <c r="F67" i="13"/>
  <c r="C67" i="13" s="1"/>
  <c r="B67" i="13"/>
  <c r="E68" i="13"/>
  <c r="G184" i="14"/>
  <c r="D184" i="14"/>
  <c r="I71" i="12"/>
  <c r="D71" i="12" s="1"/>
  <c r="C71" i="12"/>
  <c r="I65" i="4"/>
  <c r="H66" i="4"/>
  <c r="B65" i="4"/>
  <c r="E65" i="16"/>
  <c r="A64" i="16"/>
  <c r="F64" i="16"/>
  <c r="J185" i="14"/>
  <c r="C185" i="14"/>
  <c r="J70" i="12"/>
  <c r="F70" i="12" s="1"/>
  <c r="K166" i="4"/>
  <c r="D166" i="4" s="1"/>
  <c r="E166" i="4"/>
  <c r="F166" i="4" s="1"/>
  <c r="J167" i="4"/>
  <c r="C167" i="4"/>
  <c r="G73" i="12"/>
  <c r="H72" i="12"/>
  <c r="B72" i="12"/>
  <c r="J64" i="4"/>
  <c r="C64" i="4"/>
  <c r="H101" i="15"/>
  <c r="D101" i="15" s="1"/>
  <c r="C101" i="15"/>
  <c r="H187" i="14"/>
  <c r="I186" i="14"/>
  <c r="B186" i="14"/>
  <c r="D66" i="13"/>
  <c r="D63" i="4"/>
  <c r="F63" i="4" s="1"/>
  <c r="K63" i="4"/>
  <c r="E63" i="4" s="1"/>
  <c r="H169" i="4"/>
  <c r="I168" i="4"/>
  <c r="B168" i="4"/>
  <c r="G63" i="16"/>
  <c r="C63" i="16" s="1"/>
  <c r="D63" i="16" s="1"/>
  <c r="B63" i="16"/>
  <c r="K486" i="14" l="1"/>
  <c r="D486" i="14"/>
  <c r="G486" i="14"/>
  <c r="H489" i="14"/>
  <c r="I488" i="14"/>
  <c r="B488" i="14"/>
  <c r="F485" i="14"/>
  <c r="L485" i="14"/>
  <c r="C487" i="14"/>
  <c r="J487" i="14"/>
  <c r="G199" i="12"/>
  <c r="B198" i="12"/>
  <c r="J71" i="12"/>
  <c r="F71" i="12" s="1"/>
  <c r="B67" i="11"/>
  <c r="H68" i="11"/>
  <c r="I67" i="11"/>
  <c r="C66" i="11"/>
  <c r="K66" i="11" s="1"/>
  <c r="E66" i="11" s="1"/>
  <c r="J66" i="11"/>
  <c r="D66" i="11" s="1"/>
  <c r="F66" i="11" s="1"/>
  <c r="H188" i="14"/>
  <c r="I187" i="14"/>
  <c r="B187" i="14"/>
  <c r="J168" i="4"/>
  <c r="C168" i="4"/>
  <c r="K167" i="4"/>
  <c r="D167" i="4" s="1"/>
  <c r="E167" i="4"/>
  <c r="F167" i="4" s="1"/>
  <c r="A65" i="16"/>
  <c r="E66" i="16"/>
  <c r="F65" i="16"/>
  <c r="H102" i="15"/>
  <c r="D102" i="15" s="1"/>
  <c r="C102" i="15"/>
  <c r="E70" i="12"/>
  <c r="H170" i="4"/>
  <c r="I169" i="4"/>
  <c r="B169" i="4"/>
  <c r="I72" i="12"/>
  <c r="D72" i="12" s="1"/>
  <c r="C72" i="12"/>
  <c r="G185" i="14"/>
  <c r="D185" i="14"/>
  <c r="E69" i="13"/>
  <c r="F68" i="13"/>
  <c r="C68" i="13" s="1"/>
  <c r="B68" i="13"/>
  <c r="D64" i="4"/>
  <c r="F64" i="4" s="1"/>
  <c r="K64" i="4"/>
  <c r="E64" i="4" s="1"/>
  <c r="J65" i="4"/>
  <c r="C65" i="4"/>
  <c r="J186" i="14"/>
  <c r="C186" i="14"/>
  <c r="G74" i="12"/>
  <c r="H73" i="12"/>
  <c r="B73" i="12"/>
  <c r="G64" i="16"/>
  <c r="C64" i="16" s="1"/>
  <c r="B64" i="16"/>
  <c r="I66" i="4"/>
  <c r="H67" i="4"/>
  <c r="B66" i="4"/>
  <c r="D67" i="13"/>
  <c r="B103" i="15"/>
  <c r="G103" i="15"/>
  <c r="F104" i="15"/>
  <c r="G487" i="14" l="1"/>
  <c r="K487" i="14"/>
  <c r="D487" i="14"/>
  <c r="C488" i="14"/>
  <c r="J488" i="14"/>
  <c r="B489" i="14"/>
  <c r="I489" i="14"/>
  <c r="H490" i="14"/>
  <c r="F486" i="14"/>
  <c r="L486" i="14"/>
  <c r="G200" i="12"/>
  <c r="B199" i="12"/>
  <c r="E71" i="12"/>
  <c r="D64" i="16"/>
  <c r="J72" i="12"/>
  <c r="F72" i="12" s="1"/>
  <c r="B68" i="11"/>
  <c r="H69" i="11"/>
  <c r="I68" i="11"/>
  <c r="J67" i="11"/>
  <c r="D67" i="11" s="1"/>
  <c r="F67" i="11" s="1"/>
  <c r="C67" i="11"/>
  <c r="K67" i="11" s="1"/>
  <c r="E67" i="11" s="1"/>
  <c r="H103" i="15"/>
  <c r="D103" i="15" s="1"/>
  <c r="C103" i="15"/>
  <c r="D186" i="14"/>
  <c r="G186" i="14"/>
  <c r="E70" i="13"/>
  <c r="F69" i="13"/>
  <c r="C69" i="13" s="1"/>
  <c r="B69" i="13"/>
  <c r="J66" i="4"/>
  <c r="C66" i="4"/>
  <c r="C73" i="12"/>
  <c r="I73" i="12"/>
  <c r="D73" i="12" s="1"/>
  <c r="B170" i="4"/>
  <c r="H171" i="4"/>
  <c r="I170" i="4"/>
  <c r="E168" i="4"/>
  <c r="F168" i="4" s="1"/>
  <c r="K168" i="4"/>
  <c r="D168" i="4" s="1"/>
  <c r="I67" i="4"/>
  <c r="H68" i="4"/>
  <c r="B67" i="4"/>
  <c r="B74" i="12"/>
  <c r="H74" i="12"/>
  <c r="G75" i="12"/>
  <c r="D68" i="13"/>
  <c r="G65" i="16"/>
  <c r="C65" i="16" s="1"/>
  <c r="B65" i="16"/>
  <c r="C187" i="14"/>
  <c r="J187" i="14"/>
  <c r="C169" i="4"/>
  <c r="J169" i="4"/>
  <c r="G104" i="15"/>
  <c r="F105" i="15"/>
  <c r="B104" i="15"/>
  <c r="D65" i="4"/>
  <c r="F65" i="4" s="1"/>
  <c r="K65" i="4"/>
  <c r="E65" i="4" s="1"/>
  <c r="F66" i="16"/>
  <c r="E67" i="16"/>
  <c r="A66" i="16"/>
  <c r="B188" i="14"/>
  <c r="H189" i="14"/>
  <c r="I188" i="14"/>
  <c r="I490" i="14" l="1"/>
  <c r="B490" i="14"/>
  <c r="H491" i="14"/>
  <c r="J489" i="14"/>
  <c r="C489" i="14"/>
  <c r="G488" i="14"/>
  <c r="K488" i="14"/>
  <c r="D488" i="14"/>
  <c r="F487" i="14"/>
  <c r="L487" i="14"/>
  <c r="B200" i="12"/>
  <c r="G201" i="12"/>
  <c r="E72" i="12"/>
  <c r="D65" i="16"/>
  <c r="J73" i="12"/>
  <c r="F73" i="12" s="1"/>
  <c r="J68" i="11"/>
  <c r="D68" i="11" s="1"/>
  <c r="F68" i="11" s="1"/>
  <c r="C68" i="11"/>
  <c r="K68" i="11" s="1"/>
  <c r="H70" i="11"/>
  <c r="B69" i="11"/>
  <c r="I69" i="11"/>
  <c r="C188" i="14"/>
  <c r="J188" i="14"/>
  <c r="F67" i="16"/>
  <c r="E68" i="16"/>
  <c r="A67" i="16"/>
  <c r="K169" i="4"/>
  <c r="D169" i="4" s="1"/>
  <c r="E169" i="4"/>
  <c r="F169" i="4" s="1"/>
  <c r="D187" i="14"/>
  <c r="G187" i="14"/>
  <c r="B75" i="12"/>
  <c r="G76" i="12"/>
  <c r="H75" i="12"/>
  <c r="J67" i="4"/>
  <c r="C67" i="4"/>
  <c r="D69" i="13"/>
  <c r="B189" i="14"/>
  <c r="H190" i="14"/>
  <c r="I189" i="14"/>
  <c r="B66" i="16"/>
  <c r="G66" i="16"/>
  <c r="C66" i="16" s="1"/>
  <c r="D66" i="16" s="1"/>
  <c r="C74" i="12"/>
  <c r="I74" i="12"/>
  <c r="D74" i="12" s="1"/>
  <c r="C170" i="4"/>
  <c r="J170" i="4"/>
  <c r="H104" i="15"/>
  <c r="D104" i="15" s="1"/>
  <c r="C104" i="15"/>
  <c r="I68" i="4"/>
  <c r="H69" i="4"/>
  <c r="B68" i="4"/>
  <c r="D66" i="4"/>
  <c r="F66" i="4" s="1"/>
  <c r="K66" i="4"/>
  <c r="E66" i="4" s="1"/>
  <c r="F106" i="15"/>
  <c r="G105" i="15"/>
  <c r="B105" i="15"/>
  <c r="B171" i="4"/>
  <c r="H172" i="4"/>
  <c r="I171" i="4"/>
  <c r="F70" i="13"/>
  <c r="C70" i="13" s="1"/>
  <c r="B70" i="13"/>
  <c r="D489" i="14" l="1"/>
  <c r="K489" i="14"/>
  <c r="G489" i="14"/>
  <c r="F488" i="14"/>
  <c r="L488" i="14"/>
  <c r="I491" i="14"/>
  <c r="B491" i="14"/>
  <c r="H492" i="14"/>
  <c r="C490" i="14"/>
  <c r="J490" i="14"/>
  <c r="B201" i="12"/>
  <c r="G202" i="12"/>
  <c r="E73" i="12"/>
  <c r="E68" i="11"/>
  <c r="C69" i="11"/>
  <c r="K69" i="11" s="1"/>
  <c r="J69" i="11"/>
  <c r="D69" i="11" s="1"/>
  <c r="F69" i="11" s="1"/>
  <c r="B70" i="11"/>
  <c r="H71" i="11"/>
  <c r="I70" i="11"/>
  <c r="H105" i="15"/>
  <c r="D105" i="15" s="1"/>
  <c r="C105" i="15"/>
  <c r="K170" i="4"/>
  <c r="D170" i="4" s="1"/>
  <c r="E170" i="4"/>
  <c r="F170" i="4" s="1"/>
  <c r="H70" i="4"/>
  <c r="I69" i="4"/>
  <c r="B69" i="4"/>
  <c r="H191" i="14"/>
  <c r="I190" i="14"/>
  <c r="B190" i="14"/>
  <c r="D67" i="4"/>
  <c r="F67" i="4" s="1"/>
  <c r="K67" i="4"/>
  <c r="E67" i="4" s="1"/>
  <c r="I75" i="12"/>
  <c r="D75" i="12" s="1"/>
  <c r="C75" i="12"/>
  <c r="F68" i="16"/>
  <c r="E69" i="16"/>
  <c r="A68" i="16"/>
  <c r="G77" i="12"/>
  <c r="H76" i="12"/>
  <c r="B76" i="12"/>
  <c r="B67" i="16"/>
  <c r="G67" i="16"/>
  <c r="C67" i="16" s="1"/>
  <c r="D67" i="16" s="1"/>
  <c r="H173" i="4"/>
  <c r="I172" i="4"/>
  <c r="B172" i="4"/>
  <c r="J171" i="4"/>
  <c r="C171" i="4"/>
  <c r="J68" i="4"/>
  <c r="C68" i="4"/>
  <c r="G188" i="14"/>
  <c r="D188" i="14"/>
  <c r="D70" i="13"/>
  <c r="F107" i="15"/>
  <c r="B106" i="15"/>
  <c r="G106" i="15"/>
  <c r="J74" i="12"/>
  <c r="F74" i="12" s="1"/>
  <c r="J189" i="14"/>
  <c r="C189" i="14"/>
  <c r="B492" i="14" l="1"/>
  <c r="H493" i="14"/>
  <c r="I492" i="14"/>
  <c r="D490" i="14"/>
  <c r="G490" i="14"/>
  <c r="K490" i="14"/>
  <c r="C491" i="14"/>
  <c r="J491" i="14"/>
  <c r="L489" i="14"/>
  <c r="F489" i="14"/>
  <c r="G203" i="12"/>
  <c r="B202" i="12"/>
  <c r="J75" i="12"/>
  <c r="C70" i="11"/>
  <c r="K70" i="11" s="1"/>
  <c r="E70" i="11" s="1"/>
  <c r="J70" i="11"/>
  <c r="D70" i="11" s="1"/>
  <c r="F70" i="11" s="1"/>
  <c r="E69" i="11"/>
  <c r="H72" i="11"/>
  <c r="I71" i="11"/>
  <c r="B71" i="11"/>
  <c r="H106" i="15"/>
  <c r="D106" i="15" s="1"/>
  <c r="C106" i="15"/>
  <c r="K171" i="4"/>
  <c r="D171" i="4" s="1"/>
  <c r="E171" i="4"/>
  <c r="F171" i="4" s="1"/>
  <c r="G78" i="12"/>
  <c r="H77" i="12"/>
  <c r="B77" i="12"/>
  <c r="G189" i="14"/>
  <c r="D189" i="14"/>
  <c r="B68" i="16"/>
  <c r="G68" i="16"/>
  <c r="C68" i="16" s="1"/>
  <c r="D68" i="16" s="1"/>
  <c r="E74" i="12"/>
  <c r="F108" i="15"/>
  <c r="B107" i="15"/>
  <c r="G107" i="15"/>
  <c r="D68" i="4"/>
  <c r="F68" i="4" s="1"/>
  <c r="K68" i="4"/>
  <c r="E68" i="4" s="1"/>
  <c r="J172" i="4"/>
  <c r="C172" i="4"/>
  <c r="J69" i="4"/>
  <c r="C69" i="4"/>
  <c r="F69" i="16"/>
  <c r="E70" i="16"/>
  <c r="A69" i="16"/>
  <c r="B191" i="14"/>
  <c r="H192" i="14"/>
  <c r="I191" i="14"/>
  <c r="H174" i="4"/>
  <c r="I173" i="4"/>
  <c r="B173" i="4"/>
  <c r="I76" i="12"/>
  <c r="D76" i="12" s="1"/>
  <c r="C76" i="12"/>
  <c r="J190" i="14"/>
  <c r="C190" i="14"/>
  <c r="I70" i="4"/>
  <c r="H71" i="4"/>
  <c r="B70" i="4"/>
  <c r="L490" i="14" l="1"/>
  <c r="F490" i="14"/>
  <c r="J492" i="14"/>
  <c r="C492" i="14"/>
  <c r="H494" i="14"/>
  <c r="I493" i="14"/>
  <c r="B493" i="14"/>
  <c r="D491" i="14"/>
  <c r="G491" i="14"/>
  <c r="K491" i="14"/>
  <c r="B203" i="12"/>
  <c r="G204" i="12"/>
  <c r="E75" i="12"/>
  <c r="F75" i="12"/>
  <c r="H73" i="11"/>
  <c r="I72" i="11"/>
  <c r="B72" i="11"/>
  <c r="J71" i="11"/>
  <c r="D71" i="11" s="1"/>
  <c r="F71" i="11" s="1"/>
  <c r="C71" i="11"/>
  <c r="K71" i="11" s="1"/>
  <c r="E71" i="11" s="1"/>
  <c r="C173" i="4"/>
  <c r="J173" i="4"/>
  <c r="I71" i="4"/>
  <c r="H72" i="4"/>
  <c r="B71" i="4"/>
  <c r="J76" i="12"/>
  <c r="F76" i="12" s="1"/>
  <c r="B174" i="4"/>
  <c r="H175" i="4"/>
  <c r="I174" i="4"/>
  <c r="C191" i="14"/>
  <c r="J191" i="14"/>
  <c r="F70" i="16"/>
  <c r="E71" i="16"/>
  <c r="A70" i="16"/>
  <c r="E172" i="4"/>
  <c r="F172" i="4" s="1"/>
  <c r="K172" i="4"/>
  <c r="D172" i="4" s="1"/>
  <c r="C77" i="12"/>
  <c r="I77" i="12"/>
  <c r="D77" i="12" s="1"/>
  <c r="D190" i="14"/>
  <c r="G190" i="14"/>
  <c r="D69" i="4"/>
  <c r="F69" i="4" s="1"/>
  <c r="K69" i="4"/>
  <c r="E69" i="4" s="1"/>
  <c r="F109" i="15"/>
  <c r="B108" i="15"/>
  <c r="G108" i="15"/>
  <c r="C70" i="4"/>
  <c r="J70" i="4"/>
  <c r="H193" i="14"/>
  <c r="I192" i="14"/>
  <c r="B192" i="14"/>
  <c r="B69" i="16"/>
  <c r="G69" i="16"/>
  <c r="C69" i="16" s="1"/>
  <c r="H107" i="15"/>
  <c r="D107" i="15" s="1"/>
  <c r="C107" i="15"/>
  <c r="B78" i="12"/>
  <c r="H78" i="12"/>
  <c r="G79" i="12"/>
  <c r="G492" i="14" l="1"/>
  <c r="D492" i="14"/>
  <c r="K492" i="14"/>
  <c r="L491" i="14"/>
  <c r="F491" i="14"/>
  <c r="J493" i="14"/>
  <c r="C493" i="14"/>
  <c r="I494" i="14"/>
  <c r="H495" i="14"/>
  <c r="B494" i="14"/>
  <c r="B204" i="12"/>
  <c r="G205" i="12"/>
  <c r="D69" i="16"/>
  <c r="J72" i="11"/>
  <c r="D72" i="11" s="1"/>
  <c r="F72" i="11" s="1"/>
  <c r="C72" i="11"/>
  <c r="K72" i="11" s="1"/>
  <c r="E72" i="11" s="1"/>
  <c r="H74" i="11"/>
  <c r="B73" i="11"/>
  <c r="I73" i="11"/>
  <c r="B70" i="16"/>
  <c r="G70" i="16"/>
  <c r="C70" i="16" s="1"/>
  <c r="D70" i="16" s="1"/>
  <c r="B175" i="4"/>
  <c r="H176" i="4"/>
  <c r="I175" i="4"/>
  <c r="I72" i="4"/>
  <c r="H73" i="4"/>
  <c r="B72" i="4"/>
  <c r="C78" i="12"/>
  <c r="I78" i="12"/>
  <c r="D78" i="12" s="1"/>
  <c r="B193" i="14"/>
  <c r="H194" i="14"/>
  <c r="I193" i="14"/>
  <c r="D70" i="4"/>
  <c r="F70" i="4" s="1"/>
  <c r="K70" i="4"/>
  <c r="E70" i="4" s="1"/>
  <c r="F110" i="15"/>
  <c r="B109" i="15"/>
  <c r="G109" i="15"/>
  <c r="G191" i="14"/>
  <c r="D191" i="14"/>
  <c r="C71" i="4"/>
  <c r="J71" i="4"/>
  <c r="K173" i="4"/>
  <c r="D173" i="4" s="1"/>
  <c r="E173" i="4"/>
  <c r="F173" i="4" s="1"/>
  <c r="E76" i="12"/>
  <c r="B79" i="12"/>
  <c r="G80" i="12"/>
  <c r="H79" i="12"/>
  <c r="J192" i="14"/>
  <c r="C192" i="14"/>
  <c r="H108" i="15"/>
  <c r="D108" i="15" s="1"/>
  <c r="C108" i="15"/>
  <c r="J77" i="12"/>
  <c r="F77" i="12" s="1"/>
  <c r="F71" i="16"/>
  <c r="A71" i="16"/>
  <c r="E72" i="16"/>
  <c r="C174" i="4"/>
  <c r="J174" i="4"/>
  <c r="F492" i="14" l="1"/>
  <c r="L492" i="14"/>
  <c r="D493" i="14"/>
  <c r="K493" i="14"/>
  <c r="G493" i="14"/>
  <c r="I495" i="14"/>
  <c r="H496" i="14"/>
  <c r="B495" i="14"/>
  <c r="C494" i="14"/>
  <c r="J494" i="14"/>
  <c r="B205" i="12"/>
  <c r="G206" i="12"/>
  <c r="H75" i="11"/>
  <c r="I74" i="11"/>
  <c r="B74" i="11"/>
  <c r="C73" i="11"/>
  <c r="K73" i="11" s="1"/>
  <c r="E73" i="11" s="1"/>
  <c r="J73" i="11"/>
  <c r="D73" i="11" s="1"/>
  <c r="F73" i="11" s="1"/>
  <c r="K174" i="4"/>
  <c r="D174" i="4" s="1"/>
  <c r="E174" i="4"/>
  <c r="F174" i="4" s="1"/>
  <c r="B71" i="16"/>
  <c r="G71" i="16"/>
  <c r="C71" i="16" s="1"/>
  <c r="D71" i="16" s="1"/>
  <c r="E77" i="12"/>
  <c r="D192" i="14"/>
  <c r="G192" i="14"/>
  <c r="C193" i="14"/>
  <c r="J193" i="14"/>
  <c r="J78" i="12"/>
  <c r="F78" i="12" s="1"/>
  <c r="H177" i="4"/>
  <c r="I176" i="4"/>
  <c r="B176" i="4"/>
  <c r="C72" i="4"/>
  <c r="J72" i="4"/>
  <c r="F72" i="16"/>
  <c r="E73" i="16"/>
  <c r="A72" i="16"/>
  <c r="I79" i="12"/>
  <c r="D79" i="12" s="1"/>
  <c r="C79" i="12"/>
  <c r="D71" i="4"/>
  <c r="F71" i="4" s="1"/>
  <c r="K71" i="4"/>
  <c r="E71" i="4" s="1"/>
  <c r="F111" i="15"/>
  <c r="B110" i="15"/>
  <c r="G110" i="15"/>
  <c r="H195" i="14"/>
  <c r="I194" i="14"/>
  <c r="B194" i="14"/>
  <c r="I73" i="4"/>
  <c r="H74" i="4"/>
  <c r="B73" i="4"/>
  <c r="G81" i="12"/>
  <c r="H80" i="12"/>
  <c r="B80" i="12"/>
  <c r="H109" i="15"/>
  <c r="D109" i="15" s="1"/>
  <c r="C109" i="15"/>
  <c r="J175" i="4"/>
  <c r="C175" i="4"/>
  <c r="B496" i="14" l="1"/>
  <c r="I496" i="14"/>
  <c r="H497" i="14"/>
  <c r="G494" i="14"/>
  <c r="K494" i="14"/>
  <c r="D494" i="14"/>
  <c r="C495" i="14"/>
  <c r="J495" i="14"/>
  <c r="F493" i="14"/>
  <c r="L493" i="14"/>
  <c r="G207" i="12"/>
  <c r="B206" i="12"/>
  <c r="J79" i="12"/>
  <c r="F79" i="12" s="1"/>
  <c r="C74" i="11"/>
  <c r="K74" i="11" s="1"/>
  <c r="J74" i="11"/>
  <c r="D74" i="11" s="1"/>
  <c r="F74" i="11" s="1"/>
  <c r="H76" i="11"/>
  <c r="I75" i="11"/>
  <c r="B75" i="11"/>
  <c r="I74" i="4"/>
  <c r="H75" i="4"/>
  <c r="B74" i="4"/>
  <c r="H110" i="15"/>
  <c r="D110" i="15" s="1"/>
  <c r="C110" i="15"/>
  <c r="F73" i="16"/>
  <c r="E74" i="16"/>
  <c r="A73" i="16"/>
  <c r="K175" i="4"/>
  <c r="D175" i="4" s="1"/>
  <c r="E175" i="4"/>
  <c r="F175" i="4" s="1"/>
  <c r="I80" i="12"/>
  <c r="D80" i="12" s="1"/>
  <c r="C80" i="12"/>
  <c r="C73" i="4"/>
  <c r="J73" i="4"/>
  <c r="J194" i="14"/>
  <c r="C194" i="14"/>
  <c r="F112" i="15"/>
  <c r="B111" i="15"/>
  <c r="G111" i="15"/>
  <c r="G72" i="16"/>
  <c r="C72" i="16" s="1"/>
  <c r="B72" i="16"/>
  <c r="J176" i="4"/>
  <c r="C176" i="4"/>
  <c r="G193" i="14"/>
  <c r="D193" i="14"/>
  <c r="E78" i="12"/>
  <c r="G82" i="12"/>
  <c r="H81" i="12"/>
  <c r="B81" i="12"/>
  <c r="B195" i="14"/>
  <c r="H196" i="14"/>
  <c r="I195" i="14"/>
  <c r="D72" i="4"/>
  <c r="F72" i="4" s="1"/>
  <c r="K72" i="4"/>
  <c r="E72" i="4" s="1"/>
  <c r="H178" i="4"/>
  <c r="I177" i="4"/>
  <c r="B177" i="4"/>
  <c r="D495" i="14" l="1"/>
  <c r="G495" i="14"/>
  <c r="K495" i="14"/>
  <c r="B497" i="14"/>
  <c r="I497" i="14"/>
  <c r="H498" i="14"/>
  <c r="J496" i="14"/>
  <c r="C496" i="14"/>
  <c r="L494" i="14"/>
  <c r="F494" i="14"/>
  <c r="B207" i="12"/>
  <c r="G208" i="12"/>
  <c r="E79" i="12"/>
  <c r="D72" i="16"/>
  <c r="B76" i="11"/>
  <c r="I76" i="11"/>
  <c r="H77" i="11"/>
  <c r="C75" i="11"/>
  <c r="K75" i="11" s="1"/>
  <c r="E75" i="11" s="1"/>
  <c r="J75" i="11"/>
  <c r="D75" i="11" s="1"/>
  <c r="F75" i="11" s="1"/>
  <c r="E74" i="11"/>
  <c r="H197" i="14"/>
  <c r="I196" i="14"/>
  <c r="B196" i="14"/>
  <c r="B82" i="12"/>
  <c r="H82" i="12"/>
  <c r="G83" i="12"/>
  <c r="H111" i="15"/>
  <c r="D111" i="15" s="1"/>
  <c r="C111" i="15"/>
  <c r="D194" i="14"/>
  <c r="G194" i="14"/>
  <c r="F74" i="16"/>
  <c r="E75" i="16"/>
  <c r="A74" i="16"/>
  <c r="B178" i="4"/>
  <c r="H179" i="4"/>
  <c r="I178" i="4"/>
  <c r="E176" i="4"/>
  <c r="F176" i="4" s="1"/>
  <c r="K176" i="4"/>
  <c r="D176" i="4" s="1"/>
  <c r="D73" i="4"/>
  <c r="F73" i="4" s="1"/>
  <c r="K73" i="4"/>
  <c r="E73" i="4" s="1"/>
  <c r="G73" i="16"/>
  <c r="C73" i="16" s="1"/>
  <c r="B73" i="16"/>
  <c r="C177" i="4"/>
  <c r="J177" i="4"/>
  <c r="F113" i="15"/>
  <c r="B112" i="15"/>
  <c r="G112" i="15"/>
  <c r="I75" i="4"/>
  <c r="H76" i="4"/>
  <c r="B75" i="4"/>
  <c r="C195" i="14"/>
  <c r="J195" i="14"/>
  <c r="C81" i="12"/>
  <c r="I81" i="12"/>
  <c r="D81" i="12" s="1"/>
  <c r="J80" i="12"/>
  <c r="F80" i="12" s="1"/>
  <c r="C74" i="4"/>
  <c r="J74" i="4"/>
  <c r="F495" i="14" l="1"/>
  <c r="L495" i="14"/>
  <c r="D496" i="14"/>
  <c r="G496" i="14"/>
  <c r="K496" i="14"/>
  <c r="H499" i="14"/>
  <c r="B498" i="14"/>
  <c r="I498" i="14"/>
  <c r="J497" i="14"/>
  <c r="C497" i="14"/>
  <c r="B208" i="12"/>
  <c r="G209" i="12"/>
  <c r="D73" i="16"/>
  <c r="J76" i="11"/>
  <c r="D76" i="11" s="1"/>
  <c r="F76" i="11" s="1"/>
  <c r="C76" i="11"/>
  <c r="K76" i="11" s="1"/>
  <c r="E76" i="11" s="1"/>
  <c r="B77" i="11"/>
  <c r="I77" i="11"/>
  <c r="H78" i="11"/>
  <c r="I76" i="4"/>
  <c r="H77" i="4"/>
  <c r="B76" i="4"/>
  <c r="B113" i="15"/>
  <c r="F114" i="15"/>
  <c r="G113" i="15"/>
  <c r="K177" i="4"/>
  <c r="D177" i="4" s="1"/>
  <c r="E177" i="4"/>
  <c r="F177" i="4" s="1"/>
  <c r="B179" i="4"/>
  <c r="H180" i="4"/>
  <c r="I179" i="4"/>
  <c r="G74" i="16"/>
  <c r="C74" i="16" s="1"/>
  <c r="D74" i="16" s="1"/>
  <c r="B74" i="16"/>
  <c r="E80" i="12"/>
  <c r="D74" i="4"/>
  <c r="F74" i="4" s="1"/>
  <c r="K74" i="4"/>
  <c r="E74" i="4" s="1"/>
  <c r="C75" i="4"/>
  <c r="J75" i="4"/>
  <c r="B83" i="12"/>
  <c r="G84" i="12"/>
  <c r="H83" i="12"/>
  <c r="J196" i="14"/>
  <c r="C196" i="14"/>
  <c r="G195" i="14"/>
  <c r="D195" i="14"/>
  <c r="C178" i="4"/>
  <c r="J178" i="4"/>
  <c r="F75" i="16"/>
  <c r="E76" i="16"/>
  <c r="A75" i="16"/>
  <c r="J81" i="12"/>
  <c r="F81" i="12" s="1"/>
  <c r="H112" i="15"/>
  <c r="D112" i="15" s="1"/>
  <c r="C112" i="15"/>
  <c r="C82" i="12"/>
  <c r="I82" i="12"/>
  <c r="D82" i="12" s="1"/>
  <c r="B197" i="14"/>
  <c r="H198" i="14"/>
  <c r="I197" i="14"/>
  <c r="F496" i="14" l="1"/>
  <c r="L496" i="14"/>
  <c r="C498" i="14"/>
  <c r="J498" i="14"/>
  <c r="B499" i="14"/>
  <c r="H500" i="14"/>
  <c r="I499" i="14"/>
  <c r="G497" i="14"/>
  <c r="D497" i="14"/>
  <c r="K497" i="14"/>
  <c r="G210" i="12"/>
  <c r="B209" i="12"/>
  <c r="J77" i="11"/>
  <c r="D77" i="11" s="1"/>
  <c r="F77" i="11" s="1"/>
  <c r="C77" i="11"/>
  <c r="K77" i="11" s="1"/>
  <c r="E77" i="11" s="1"/>
  <c r="B78" i="11"/>
  <c r="H79" i="11"/>
  <c r="I78" i="11"/>
  <c r="K178" i="4"/>
  <c r="D178" i="4" s="1"/>
  <c r="E178" i="4"/>
  <c r="F178" i="4" s="1"/>
  <c r="C197" i="14"/>
  <c r="J197" i="14"/>
  <c r="J82" i="12"/>
  <c r="F82" i="12" s="1"/>
  <c r="D196" i="14"/>
  <c r="G196" i="14"/>
  <c r="H181" i="4"/>
  <c r="I180" i="4"/>
  <c r="B180" i="4"/>
  <c r="H113" i="15"/>
  <c r="D113" i="15" s="1"/>
  <c r="C113" i="15"/>
  <c r="I77" i="4"/>
  <c r="H78" i="4"/>
  <c r="B77" i="4"/>
  <c r="E81" i="12"/>
  <c r="J179" i="4"/>
  <c r="C179" i="4"/>
  <c r="H199" i="14"/>
  <c r="I198" i="14"/>
  <c r="B198" i="14"/>
  <c r="F76" i="16"/>
  <c r="E77" i="16"/>
  <c r="A76" i="16"/>
  <c r="I83" i="12"/>
  <c r="D83" i="12" s="1"/>
  <c r="C83" i="12"/>
  <c r="G114" i="15"/>
  <c r="F115" i="15"/>
  <c r="B114" i="15"/>
  <c r="C76" i="4"/>
  <c r="J76" i="4"/>
  <c r="G75" i="16"/>
  <c r="C75" i="16" s="1"/>
  <c r="D75" i="16" s="1"/>
  <c r="B75" i="16"/>
  <c r="G85" i="12"/>
  <c r="H84" i="12"/>
  <c r="B84" i="12"/>
  <c r="D75" i="4"/>
  <c r="F75" i="4" s="1"/>
  <c r="K75" i="4"/>
  <c r="E75" i="4" s="1"/>
  <c r="G498" i="14" l="1"/>
  <c r="K498" i="14"/>
  <c r="D498" i="14"/>
  <c r="F497" i="14"/>
  <c r="L497" i="14"/>
  <c r="B500" i="14"/>
  <c r="H501" i="14"/>
  <c r="I500" i="14"/>
  <c r="J499" i="14"/>
  <c r="C499" i="14"/>
  <c r="G211" i="12"/>
  <c r="B210" i="12"/>
  <c r="J78" i="11"/>
  <c r="D78" i="11" s="1"/>
  <c r="F78" i="11" s="1"/>
  <c r="C78" i="11"/>
  <c r="K78" i="11" s="1"/>
  <c r="E78" i="11" s="1"/>
  <c r="J83" i="12"/>
  <c r="F83" i="12" s="1"/>
  <c r="I79" i="11"/>
  <c r="H80" i="11"/>
  <c r="B79" i="11"/>
  <c r="K179" i="4"/>
  <c r="D179" i="4" s="1"/>
  <c r="E179" i="4"/>
  <c r="F179" i="4" s="1"/>
  <c r="I78" i="4"/>
  <c r="H79" i="4"/>
  <c r="B78" i="4"/>
  <c r="G197" i="14"/>
  <c r="D197" i="14"/>
  <c r="G86" i="12"/>
  <c r="H85" i="12"/>
  <c r="B85" i="12"/>
  <c r="E82" i="12"/>
  <c r="G115" i="15"/>
  <c r="F116" i="15"/>
  <c r="B115" i="15"/>
  <c r="J198" i="14"/>
  <c r="C198" i="14"/>
  <c r="C77" i="4"/>
  <c r="J77" i="4"/>
  <c r="J180" i="4"/>
  <c r="C180" i="4"/>
  <c r="G76" i="16"/>
  <c r="C76" i="16" s="1"/>
  <c r="B76" i="16"/>
  <c r="I84" i="12"/>
  <c r="D84" i="12" s="1"/>
  <c r="C84" i="12"/>
  <c r="D76" i="4"/>
  <c r="F76" i="4" s="1"/>
  <c r="K76" i="4"/>
  <c r="E76" i="4" s="1"/>
  <c r="C114" i="15"/>
  <c r="H114" i="15"/>
  <c r="D114" i="15" s="1"/>
  <c r="F77" i="16"/>
  <c r="A77" i="16"/>
  <c r="E78" i="16"/>
  <c r="H200" i="14"/>
  <c r="I199" i="14"/>
  <c r="B199" i="14"/>
  <c r="H182" i="4"/>
  <c r="I181" i="4"/>
  <c r="B181" i="4"/>
  <c r="D499" i="14" l="1"/>
  <c r="G499" i="14"/>
  <c r="K499" i="14"/>
  <c r="C500" i="14"/>
  <c r="J500" i="14"/>
  <c r="I501" i="14"/>
  <c r="H502" i="14"/>
  <c r="B501" i="14"/>
  <c r="F498" i="14"/>
  <c r="L498" i="14"/>
  <c r="G212" i="12"/>
  <c r="B211" i="12"/>
  <c r="E83" i="12"/>
  <c r="D76" i="16"/>
  <c r="I80" i="11"/>
  <c r="H81" i="11"/>
  <c r="B80" i="11"/>
  <c r="J84" i="12"/>
  <c r="J79" i="11"/>
  <c r="D79" i="11" s="1"/>
  <c r="F79" i="11" s="1"/>
  <c r="C79" i="11"/>
  <c r="K79" i="11" s="1"/>
  <c r="E79" i="11" s="1"/>
  <c r="I79" i="4"/>
  <c r="H80" i="4"/>
  <c r="B79" i="4"/>
  <c r="C181" i="4"/>
  <c r="J181" i="4"/>
  <c r="C199" i="14"/>
  <c r="J199" i="14"/>
  <c r="G77" i="16"/>
  <c r="C77" i="16" s="1"/>
  <c r="B77" i="16"/>
  <c r="C115" i="15"/>
  <c r="H115" i="15"/>
  <c r="D115" i="15" s="1"/>
  <c r="C78" i="4"/>
  <c r="J78" i="4"/>
  <c r="B182" i="4"/>
  <c r="H183" i="4"/>
  <c r="I182" i="4"/>
  <c r="E180" i="4"/>
  <c r="F180" i="4" s="1"/>
  <c r="K180" i="4"/>
  <c r="D180" i="4" s="1"/>
  <c r="D198" i="14"/>
  <c r="G198" i="14"/>
  <c r="G116" i="15"/>
  <c r="F117" i="15"/>
  <c r="B116" i="15"/>
  <c r="B86" i="12"/>
  <c r="H86" i="12"/>
  <c r="G87" i="12"/>
  <c r="B200" i="14"/>
  <c r="H201" i="14"/>
  <c r="I200" i="14"/>
  <c r="E79" i="16"/>
  <c r="F78" i="16"/>
  <c r="A78" i="16"/>
  <c r="D77" i="4"/>
  <c r="F77" i="4" s="1"/>
  <c r="K77" i="4"/>
  <c r="E77" i="4" s="1"/>
  <c r="C85" i="12"/>
  <c r="I85" i="12"/>
  <c r="D85" i="12" s="1"/>
  <c r="L499" i="14" l="1"/>
  <c r="F499" i="14"/>
  <c r="J501" i="14"/>
  <c r="C501" i="14"/>
  <c r="B502" i="14"/>
  <c r="I502" i="14"/>
  <c r="H503" i="14"/>
  <c r="G500" i="14"/>
  <c r="D500" i="14"/>
  <c r="K500" i="14"/>
  <c r="B212" i="12"/>
  <c r="G213" i="12"/>
  <c r="E84" i="12"/>
  <c r="F84" i="12"/>
  <c r="D77" i="16"/>
  <c r="C80" i="11"/>
  <c r="K80" i="11" s="1"/>
  <c r="J80" i="11"/>
  <c r="D80" i="11" s="1"/>
  <c r="F80" i="11" s="1"/>
  <c r="B81" i="11"/>
  <c r="I81" i="11"/>
  <c r="H82" i="11"/>
  <c r="I80" i="4"/>
  <c r="H81" i="4"/>
  <c r="B80" i="4"/>
  <c r="A79" i="16"/>
  <c r="E80" i="16"/>
  <c r="F79" i="16"/>
  <c r="B87" i="12"/>
  <c r="G88" i="12"/>
  <c r="H87" i="12"/>
  <c r="G117" i="15"/>
  <c r="F118" i="15"/>
  <c r="B117" i="15"/>
  <c r="D78" i="4"/>
  <c r="F78" i="4" s="1"/>
  <c r="K78" i="4"/>
  <c r="E78" i="4" s="1"/>
  <c r="K181" i="4"/>
  <c r="D181" i="4" s="1"/>
  <c r="E181" i="4"/>
  <c r="F181" i="4" s="1"/>
  <c r="C79" i="4"/>
  <c r="J79" i="4"/>
  <c r="G78" i="16"/>
  <c r="C78" i="16" s="1"/>
  <c r="B78" i="16"/>
  <c r="B183" i="4"/>
  <c r="H184" i="4"/>
  <c r="I183" i="4"/>
  <c r="C200" i="14"/>
  <c r="J200" i="14"/>
  <c r="C86" i="12"/>
  <c r="I86" i="12"/>
  <c r="D86" i="12" s="1"/>
  <c r="C116" i="15"/>
  <c r="H116" i="15"/>
  <c r="D116" i="15" s="1"/>
  <c r="J85" i="12"/>
  <c r="F85" i="12" s="1"/>
  <c r="H202" i="14"/>
  <c r="I201" i="14"/>
  <c r="B201" i="14"/>
  <c r="C182" i="4"/>
  <c r="J182" i="4"/>
  <c r="D199" i="14"/>
  <c r="G199" i="14"/>
  <c r="H504" i="14" l="1"/>
  <c r="H505" i="14" s="1"/>
  <c r="I503" i="14"/>
  <c r="B503" i="14"/>
  <c r="G501" i="14"/>
  <c r="D501" i="14"/>
  <c r="K501" i="14"/>
  <c r="J502" i="14"/>
  <c r="C502" i="14"/>
  <c r="F500" i="14"/>
  <c r="L500" i="14"/>
  <c r="B213" i="12"/>
  <c r="G214" i="12"/>
  <c r="D78" i="16"/>
  <c r="C81" i="11"/>
  <c r="K81" i="11" s="1"/>
  <c r="J81" i="11"/>
  <c r="D81" i="11" s="1"/>
  <c r="F81" i="11" s="1"/>
  <c r="J86" i="12"/>
  <c r="F86" i="12" s="1"/>
  <c r="I82" i="11"/>
  <c r="H83" i="11"/>
  <c r="B82" i="11"/>
  <c r="E80" i="11"/>
  <c r="E85" i="12"/>
  <c r="G89" i="12"/>
  <c r="H88" i="12"/>
  <c r="B88" i="12"/>
  <c r="G118" i="15"/>
  <c r="F119" i="15"/>
  <c r="B118" i="15"/>
  <c r="J201" i="14"/>
  <c r="C201" i="14"/>
  <c r="J183" i="4"/>
  <c r="C183" i="4"/>
  <c r="D79" i="4"/>
  <c r="F79" i="4" s="1"/>
  <c r="K79" i="4"/>
  <c r="E79" i="4" s="1"/>
  <c r="C117" i="15"/>
  <c r="H117" i="15"/>
  <c r="D117" i="15" s="1"/>
  <c r="G79" i="16"/>
  <c r="C79" i="16" s="1"/>
  <c r="B79" i="16"/>
  <c r="I81" i="4"/>
  <c r="H82" i="4"/>
  <c r="B81" i="4"/>
  <c r="G200" i="14"/>
  <c r="D200" i="14"/>
  <c r="K182" i="4"/>
  <c r="D182" i="4" s="1"/>
  <c r="E182" i="4"/>
  <c r="F182" i="4" s="1"/>
  <c r="B202" i="14"/>
  <c r="H203" i="14"/>
  <c r="I202" i="14"/>
  <c r="H185" i="4"/>
  <c r="I184" i="4"/>
  <c r="B184" i="4"/>
  <c r="I87" i="12"/>
  <c r="D87" i="12" s="1"/>
  <c r="C87" i="12"/>
  <c r="E81" i="16"/>
  <c r="F80" i="16"/>
  <c r="A80" i="16"/>
  <c r="C80" i="4"/>
  <c r="J80" i="4"/>
  <c r="H506" i="14" l="1"/>
  <c r="B505" i="14"/>
  <c r="G502" i="14"/>
  <c r="K502" i="14"/>
  <c r="D502" i="14"/>
  <c r="F501" i="14"/>
  <c r="L501" i="14"/>
  <c r="C503" i="14"/>
  <c r="J503" i="14"/>
  <c r="B504" i="14"/>
  <c r="I504" i="14"/>
  <c r="I505" i="14" s="1"/>
  <c r="G215" i="12"/>
  <c r="B214" i="12"/>
  <c r="E86" i="12"/>
  <c r="D79" i="16"/>
  <c r="C82" i="11"/>
  <c r="K82" i="11" s="1"/>
  <c r="J82" i="11"/>
  <c r="D82" i="11" s="1"/>
  <c r="F82" i="11" s="1"/>
  <c r="J87" i="12"/>
  <c r="B83" i="11"/>
  <c r="H84" i="11"/>
  <c r="I83" i="11"/>
  <c r="E81" i="11"/>
  <c r="I88" i="12"/>
  <c r="D88" i="12" s="1"/>
  <c r="C88" i="12"/>
  <c r="G90" i="12"/>
  <c r="H89" i="12"/>
  <c r="B89" i="12"/>
  <c r="G80" i="16"/>
  <c r="C80" i="16" s="1"/>
  <c r="D80" i="16" s="1"/>
  <c r="B80" i="16"/>
  <c r="C202" i="14"/>
  <c r="J202" i="14"/>
  <c r="I82" i="4"/>
  <c r="H83" i="4"/>
  <c r="B82" i="4"/>
  <c r="G119" i="15"/>
  <c r="F120" i="15"/>
  <c r="F121" i="15" s="1"/>
  <c r="B119" i="15"/>
  <c r="H186" i="4"/>
  <c r="I185" i="4"/>
  <c r="B185" i="4"/>
  <c r="D80" i="4"/>
  <c r="F80" i="4" s="1"/>
  <c r="K80" i="4"/>
  <c r="E80" i="4" s="1"/>
  <c r="F81" i="16"/>
  <c r="E82" i="16"/>
  <c r="A81" i="16"/>
  <c r="J184" i="4"/>
  <c r="C184" i="4"/>
  <c r="B203" i="14"/>
  <c r="H204" i="14"/>
  <c r="I203" i="14"/>
  <c r="C81" i="4"/>
  <c r="J81" i="4"/>
  <c r="K183" i="4"/>
  <c r="D183" i="4" s="1"/>
  <c r="E183" i="4"/>
  <c r="F183" i="4" s="1"/>
  <c r="D201" i="14"/>
  <c r="G201" i="14"/>
  <c r="C118" i="15"/>
  <c r="H118" i="15"/>
  <c r="D118" i="15" s="1"/>
  <c r="C505" i="14" l="1"/>
  <c r="I506" i="14"/>
  <c r="H507" i="14"/>
  <c r="B506" i="14"/>
  <c r="K503" i="14"/>
  <c r="G503" i="14"/>
  <c r="D503" i="14"/>
  <c r="C504" i="14"/>
  <c r="J504" i="14"/>
  <c r="J505" i="14" s="1"/>
  <c r="F502" i="14"/>
  <c r="L502" i="14"/>
  <c r="G216" i="12"/>
  <c r="B215" i="12"/>
  <c r="E87" i="12"/>
  <c r="F87" i="12"/>
  <c r="B121" i="15"/>
  <c r="F122" i="15"/>
  <c r="C83" i="11"/>
  <c r="K83" i="11" s="1"/>
  <c r="J83" i="11"/>
  <c r="D83" i="11" s="1"/>
  <c r="F83" i="11" s="1"/>
  <c r="I84" i="11"/>
  <c r="H85" i="11"/>
  <c r="B84" i="11"/>
  <c r="E82" i="11"/>
  <c r="G81" i="16"/>
  <c r="C81" i="16" s="1"/>
  <c r="D81" i="16" s="1"/>
  <c r="B81" i="16"/>
  <c r="B186" i="4"/>
  <c r="H187" i="4"/>
  <c r="I186" i="4"/>
  <c r="E184" i="4"/>
  <c r="F184" i="4" s="1"/>
  <c r="K184" i="4"/>
  <c r="D184" i="4" s="1"/>
  <c r="I83" i="4"/>
  <c r="H84" i="4"/>
  <c r="B83" i="4"/>
  <c r="J203" i="14"/>
  <c r="C203" i="14"/>
  <c r="G120" i="15"/>
  <c r="G121" i="15" s="1"/>
  <c r="B120" i="15"/>
  <c r="C82" i="4"/>
  <c r="J82" i="4"/>
  <c r="C89" i="12"/>
  <c r="I89" i="12"/>
  <c r="D89" i="12" s="1"/>
  <c r="J88" i="12"/>
  <c r="F88" i="12" s="1"/>
  <c r="D81" i="4"/>
  <c r="F81" i="4" s="1"/>
  <c r="K81" i="4"/>
  <c r="E81" i="4" s="1"/>
  <c r="I204" i="14"/>
  <c r="B204" i="14"/>
  <c r="H205" i="14"/>
  <c r="F82" i="16"/>
  <c r="A82" i="16"/>
  <c r="E83" i="16"/>
  <c r="C185" i="4"/>
  <c r="J185" i="4"/>
  <c r="C119" i="15"/>
  <c r="H119" i="15"/>
  <c r="D119" i="15" s="1"/>
  <c r="G202" i="14"/>
  <c r="D202" i="14"/>
  <c r="B90" i="12"/>
  <c r="G91" i="12"/>
  <c r="H90" i="12"/>
  <c r="D505" i="14" l="1"/>
  <c r="G505" i="14"/>
  <c r="C506" i="14"/>
  <c r="J506" i="14"/>
  <c r="B507" i="14"/>
  <c r="I507" i="14"/>
  <c r="H508" i="14"/>
  <c r="D504" i="14"/>
  <c r="K504" i="14"/>
  <c r="K505" i="14" s="1"/>
  <c r="G504" i="14"/>
  <c r="F503" i="14"/>
  <c r="L503" i="14"/>
  <c r="B216" i="12"/>
  <c r="G217" i="12"/>
  <c r="C121" i="15"/>
  <c r="G122" i="15"/>
  <c r="F123" i="15"/>
  <c r="B122" i="15"/>
  <c r="I85" i="11"/>
  <c r="B85" i="11"/>
  <c r="H86" i="11"/>
  <c r="J84" i="11"/>
  <c r="D84" i="11" s="1"/>
  <c r="F84" i="11" s="1"/>
  <c r="C84" i="11"/>
  <c r="K84" i="11" s="1"/>
  <c r="E84" i="11" s="1"/>
  <c r="E83" i="11"/>
  <c r="D82" i="4"/>
  <c r="F82" i="4" s="1"/>
  <c r="K82" i="4"/>
  <c r="E82" i="4" s="1"/>
  <c r="G203" i="14"/>
  <c r="D203" i="14"/>
  <c r="C83" i="4"/>
  <c r="J83" i="4"/>
  <c r="C204" i="14"/>
  <c r="J204" i="14"/>
  <c r="E88" i="12"/>
  <c r="B91" i="12"/>
  <c r="G92" i="12"/>
  <c r="H91" i="12"/>
  <c r="K185" i="4"/>
  <c r="D185" i="4" s="1"/>
  <c r="E185" i="4"/>
  <c r="F185" i="4" s="1"/>
  <c r="G82" i="16"/>
  <c r="C82" i="16" s="1"/>
  <c r="D82" i="16" s="1"/>
  <c r="B82" i="16"/>
  <c r="C186" i="4"/>
  <c r="J186" i="4"/>
  <c r="E84" i="16"/>
  <c r="F83" i="16"/>
  <c r="A83" i="16"/>
  <c r="C90" i="12"/>
  <c r="I90" i="12"/>
  <c r="D90" i="12" s="1"/>
  <c r="B205" i="14"/>
  <c r="H206" i="14"/>
  <c r="I205" i="14"/>
  <c r="J89" i="12"/>
  <c r="F89" i="12" s="1"/>
  <c r="C120" i="15"/>
  <c r="H120" i="15"/>
  <c r="D120" i="15" s="1"/>
  <c r="I84" i="4"/>
  <c r="H85" i="4"/>
  <c r="B84" i="4"/>
  <c r="B187" i="4"/>
  <c r="H188" i="4"/>
  <c r="I187" i="4"/>
  <c r="F505" i="14" l="1"/>
  <c r="L505" i="14"/>
  <c r="B508" i="14"/>
  <c r="H509" i="14"/>
  <c r="I508" i="14"/>
  <c r="C507" i="14"/>
  <c r="J507" i="14"/>
  <c r="D506" i="14"/>
  <c r="G506" i="14"/>
  <c r="K506" i="14"/>
  <c r="L504" i="14"/>
  <c r="F504" i="14"/>
  <c r="B217" i="12"/>
  <c r="G218" i="12"/>
  <c r="G123" i="15"/>
  <c r="B123" i="15"/>
  <c r="F124" i="15"/>
  <c r="C122" i="15"/>
  <c r="H121" i="15"/>
  <c r="D121" i="15" s="1"/>
  <c r="B86" i="11"/>
  <c r="I86" i="11"/>
  <c r="H87" i="11"/>
  <c r="J85" i="11"/>
  <c r="D85" i="11" s="1"/>
  <c r="F85" i="11" s="1"/>
  <c r="C85" i="11"/>
  <c r="K85" i="11" s="1"/>
  <c r="E85" i="11" s="1"/>
  <c r="H86" i="4"/>
  <c r="I85" i="4"/>
  <c r="B85" i="4"/>
  <c r="H189" i="4"/>
  <c r="I188" i="4"/>
  <c r="B188" i="4"/>
  <c r="C84" i="4"/>
  <c r="J84" i="4"/>
  <c r="J205" i="14"/>
  <c r="C205" i="14"/>
  <c r="J90" i="12"/>
  <c r="F90" i="12" s="1"/>
  <c r="K186" i="4"/>
  <c r="D186" i="4" s="1"/>
  <c r="E186" i="4"/>
  <c r="F186" i="4" s="1"/>
  <c r="A84" i="16"/>
  <c r="E85" i="16"/>
  <c r="F84" i="16"/>
  <c r="H207" i="14"/>
  <c r="I206" i="14"/>
  <c r="B206" i="14"/>
  <c r="D83" i="4"/>
  <c r="F83" i="4" s="1"/>
  <c r="K83" i="4"/>
  <c r="E83" i="4" s="1"/>
  <c r="J187" i="4"/>
  <c r="C187" i="4"/>
  <c r="E89" i="12"/>
  <c r="G93" i="12"/>
  <c r="H92" i="12"/>
  <c r="B92" i="12"/>
  <c r="G83" i="16"/>
  <c r="C83" i="16" s="1"/>
  <c r="B83" i="16"/>
  <c r="I91" i="12"/>
  <c r="D91" i="12" s="1"/>
  <c r="C91" i="12"/>
  <c r="D204" i="14"/>
  <c r="G204" i="14"/>
  <c r="L506" i="14" l="1"/>
  <c r="F506" i="14"/>
  <c r="B509" i="14"/>
  <c r="H510" i="14"/>
  <c r="I509" i="14"/>
  <c r="D507" i="14"/>
  <c r="G507" i="14"/>
  <c r="K507" i="14"/>
  <c r="J508" i="14"/>
  <c r="C508" i="14"/>
  <c r="G219" i="12"/>
  <c r="B218" i="12"/>
  <c r="D83" i="16"/>
  <c r="H122" i="15"/>
  <c r="D122" i="15" s="1"/>
  <c r="G124" i="15"/>
  <c r="B124" i="15"/>
  <c r="F125" i="15"/>
  <c r="C123" i="15"/>
  <c r="J86" i="11"/>
  <c r="D86" i="11" s="1"/>
  <c r="F86" i="11" s="1"/>
  <c r="C86" i="11"/>
  <c r="K86" i="11" s="1"/>
  <c r="E86" i="11" s="1"/>
  <c r="H88" i="11"/>
  <c r="B87" i="11"/>
  <c r="I87" i="11"/>
  <c r="B207" i="14"/>
  <c r="H208" i="14"/>
  <c r="I207" i="14"/>
  <c r="G84" i="16"/>
  <c r="C84" i="16" s="1"/>
  <c r="D84" i="16" s="1"/>
  <c r="B84" i="16"/>
  <c r="D84" i="4"/>
  <c r="F84" i="4" s="1"/>
  <c r="K84" i="4"/>
  <c r="E84" i="4" s="1"/>
  <c r="H190" i="4"/>
  <c r="I189" i="4"/>
  <c r="B189" i="4"/>
  <c r="J91" i="12"/>
  <c r="F91" i="12" s="1"/>
  <c r="G94" i="12"/>
  <c r="H93" i="12"/>
  <c r="B93" i="12"/>
  <c r="K187" i="4"/>
  <c r="D187" i="4" s="1"/>
  <c r="E187" i="4"/>
  <c r="F187" i="4" s="1"/>
  <c r="F85" i="16"/>
  <c r="A85" i="16"/>
  <c r="E86" i="16"/>
  <c r="E90" i="12"/>
  <c r="I92" i="12"/>
  <c r="D92" i="12" s="1"/>
  <c r="C92" i="12"/>
  <c r="C85" i="4"/>
  <c r="J85" i="4"/>
  <c r="J206" i="14"/>
  <c r="C206" i="14"/>
  <c r="G205" i="14"/>
  <c r="D205" i="14"/>
  <c r="J188" i="4"/>
  <c r="C188" i="4"/>
  <c r="B86" i="4"/>
  <c r="H87" i="4"/>
  <c r="I86" i="4"/>
  <c r="L507" i="14" l="1"/>
  <c r="F507" i="14"/>
  <c r="B510" i="14"/>
  <c r="H511" i="14"/>
  <c r="I510" i="14"/>
  <c r="D508" i="14"/>
  <c r="K508" i="14"/>
  <c r="G508" i="14"/>
  <c r="C509" i="14"/>
  <c r="J509" i="14"/>
  <c r="B219" i="12"/>
  <c r="G220" i="12"/>
  <c r="H123" i="15"/>
  <c r="D123" i="15" s="1"/>
  <c r="G125" i="15"/>
  <c r="F126" i="15"/>
  <c r="B125" i="15"/>
  <c r="C124" i="15"/>
  <c r="H89" i="11"/>
  <c r="B88" i="11"/>
  <c r="I88" i="11"/>
  <c r="J92" i="12"/>
  <c r="F92" i="12" s="1"/>
  <c r="C87" i="11"/>
  <c r="K87" i="11" s="1"/>
  <c r="J87" i="11"/>
  <c r="D87" i="11" s="1"/>
  <c r="F87" i="11" s="1"/>
  <c r="B87" i="4"/>
  <c r="H88" i="4"/>
  <c r="I87" i="4"/>
  <c r="B190" i="4"/>
  <c r="H191" i="4"/>
  <c r="I190" i="4"/>
  <c r="B85" i="16"/>
  <c r="G85" i="16"/>
  <c r="C85" i="16" s="1"/>
  <c r="D85" i="16" s="1"/>
  <c r="E91" i="12"/>
  <c r="C207" i="14"/>
  <c r="J207" i="14"/>
  <c r="D85" i="4"/>
  <c r="F85" i="4" s="1"/>
  <c r="K85" i="4"/>
  <c r="E85" i="4" s="1"/>
  <c r="B94" i="12"/>
  <c r="G95" i="12"/>
  <c r="H94" i="12"/>
  <c r="H209" i="14"/>
  <c r="I208" i="14"/>
  <c r="B208" i="14"/>
  <c r="C86" i="4"/>
  <c r="J86" i="4"/>
  <c r="E188" i="4"/>
  <c r="F188" i="4" s="1"/>
  <c r="K188" i="4"/>
  <c r="D188" i="4" s="1"/>
  <c r="D206" i="14"/>
  <c r="G206" i="14"/>
  <c r="F86" i="16"/>
  <c r="A86" i="16"/>
  <c r="E87" i="16"/>
  <c r="C93" i="12"/>
  <c r="I93" i="12"/>
  <c r="D93" i="12" s="1"/>
  <c r="C189" i="4"/>
  <c r="J189" i="4"/>
  <c r="B511" i="14" l="1"/>
  <c r="I511" i="14"/>
  <c r="H512" i="14"/>
  <c r="G509" i="14"/>
  <c r="K509" i="14"/>
  <c r="D509" i="14"/>
  <c r="F508" i="14"/>
  <c r="L508" i="14"/>
  <c r="J510" i="14"/>
  <c r="C510" i="14"/>
  <c r="B220" i="12"/>
  <c r="G221" i="12"/>
  <c r="E92" i="12"/>
  <c r="H124" i="15"/>
  <c r="D124" i="15" s="1"/>
  <c r="F127" i="15"/>
  <c r="G126" i="15"/>
  <c r="B126" i="15"/>
  <c r="C125" i="15"/>
  <c r="C88" i="11"/>
  <c r="K88" i="11" s="1"/>
  <c r="J88" i="11"/>
  <c r="D88" i="11" s="1"/>
  <c r="F88" i="11" s="1"/>
  <c r="E87" i="11"/>
  <c r="H90" i="11"/>
  <c r="I89" i="11"/>
  <c r="B89" i="11"/>
  <c r="J93" i="12"/>
  <c r="F93" i="12" s="1"/>
  <c r="G86" i="16"/>
  <c r="C86" i="16" s="1"/>
  <c r="B86" i="16"/>
  <c r="K86" i="4"/>
  <c r="E86" i="4" s="1"/>
  <c r="D86" i="4"/>
  <c r="F86" i="4" s="1"/>
  <c r="H210" i="14"/>
  <c r="I209" i="14"/>
  <c r="B209" i="14"/>
  <c r="J87" i="4"/>
  <c r="C87" i="4"/>
  <c r="J208" i="14"/>
  <c r="C208" i="14"/>
  <c r="C94" i="12"/>
  <c r="I94" i="12"/>
  <c r="D94" i="12" s="1"/>
  <c r="C190" i="4"/>
  <c r="J190" i="4"/>
  <c r="H89" i="4"/>
  <c r="I88" i="4"/>
  <c r="B88" i="4"/>
  <c r="K189" i="4"/>
  <c r="D189" i="4" s="1"/>
  <c r="E189" i="4"/>
  <c r="F189" i="4" s="1"/>
  <c r="E88" i="16"/>
  <c r="F87" i="16"/>
  <c r="A87" i="16"/>
  <c r="B95" i="12"/>
  <c r="G96" i="12"/>
  <c r="H95" i="12"/>
  <c r="G207" i="14"/>
  <c r="D207" i="14"/>
  <c r="B191" i="4"/>
  <c r="H192" i="4"/>
  <c r="I191" i="4"/>
  <c r="B512" i="14" l="1"/>
  <c r="H513" i="14"/>
  <c r="I512" i="14"/>
  <c r="D510" i="14"/>
  <c r="G510" i="14"/>
  <c r="K510" i="14"/>
  <c r="J511" i="14"/>
  <c r="C511" i="14"/>
  <c r="F509" i="14"/>
  <c r="L509" i="14"/>
  <c r="B221" i="12"/>
  <c r="G222" i="12"/>
  <c r="D86" i="16"/>
  <c r="H125" i="15"/>
  <c r="D125" i="15" s="1"/>
  <c r="C126" i="15"/>
  <c r="F128" i="15"/>
  <c r="G127" i="15"/>
  <c r="B127" i="15"/>
  <c r="H91" i="11"/>
  <c r="I90" i="11"/>
  <c r="B90" i="11"/>
  <c r="J94" i="12"/>
  <c r="F94" i="12" s="1"/>
  <c r="C89" i="11"/>
  <c r="K89" i="11" s="1"/>
  <c r="J89" i="11"/>
  <c r="D89" i="11" s="1"/>
  <c r="F89" i="11" s="1"/>
  <c r="E88" i="11"/>
  <c r="K190" i="4"/>
  <c r="D190" i="4" s="1"/>
  <c r="E190" i="4"/>
  <c r="F190" i="4" s="1"/>
  <c r="C209" i="14"/>
  <c r="J209" i="14"/>
  <c r="G97" i="12"/>
  <c r="H96" i="12"/>
  <c r="B96" i="12"/>
  <c r="J191" i="4"/>
  <c r="C191" i="4"/>
  <c r="H193" i="4"/>
  <c r="I192" i="4"/>
  <c r="B192" i="4"/>
  <c r="G87" i="16"/>
  <c r="C87" i="16" s="1"/>
  <c r="B87" i="16"/>
  <c r="D208" i="14"/>
  <c r="G208" i="14"/>
  <c r="B210" i="14"/>
  <c r="H211" i="14"/>
  <c r="I210" i="14"/>
  <c r="H90" i="4"/>
  <c r="I89" i="4"/>
  <c r="B89" i="4"/>
  <c r="I95" i="12"/>
  <c r="D95" i="12" s="1"/>
  <c r="C95" i="12"/>
  <c r="A88" i="16"/>
  <c r="E89" i="16"/>
  <c r="F88" i="16"/>
  <c r="J88" i="4"/>
  <c r="C88" i="4"/>
  <c r="K87" i="4"/>
  <c r="E87" i="4" s="1"/>
  <c r="D87" i="4"/>
  <c r="F87" i="4" s="1"/>
  <c r="E93" i="12"/>
  <c r="L510" i="14" l="1"/>
  <c r="F510" i="14"/>
  <c r="B513" i="14"/>
  <c r="H514" i="14"/>
  <c r="I513" i="14"/>
  <c r="G511" i="14"/>
  <c r="K511" i="14"/>
  <c r="D511" i="14"/>
  <c r="J512" i="14"/>
  <c r="C512" i="14"/>
  <c r="G223" i="12"/>
  <c r="B222" i="12"/>
  <c r="E94" i="12"/>
  <c r="D87" i="16"/>
  <c r="H126" i="15"/>
  <c r="D126" i="15" s="1"/>
  <c r="F129" i="15"/>
  <c r="B128" i="15"/>
  <c r="G128" i="15"/>
  <c r="C127" i="15"/>
  <c r="J90" i="11"/>
  <c r="D90" i="11" s="1"/>
  <c r="F90" i="11" s="1"/>
  <c r="C90" i="11"/>
  <c r="K90" i="11" s="1"/>
  <c r="E90" i="11" s="1"/>
  <c r="E89" i="11"/>
  <c r="H92" i="11"/>
  <c r="I91" i="11"/>
  <c r="B91" i="11"/>
  <c r="D88" i="4"/>
  <c r="F88" i="4" s="1"/>
  <c r="K88" i="4"/>
  <c r="E88" i="4" s="1"/>
  <c r="K191" i="4"/>
  <c r="D191" i="4" s="1"/>
  <c r="E191" i="4"/>
  <c r="F191" i="4" s="1"/>
  <c r="D209" i="14"/>
  <c r="G209" i="14"/>
  <c r="G88" i="16"/>
  <c r="C88" i="16" s="1"/>
  <c r="D88" i="16" s="1"/>
  <c r="B88" i="16"/>
  <c r="J95" i="12"/>
  <c r="F95" i="12" s="1"/>
  <c r="C89" i="4"/>
  <c r="J89" i="4"/>
  <c r="B211" i="14"/>
  <c r="H212" i="14"/>
  <c r="I211" i="14"/>
  <c r="J192" i="4"/>
  <c r="C192" i="4"/>
  <c r="G98" i="12"/>
  <c r="H97" i="12"/>
  <c r="B97" i="12"/>
  <c r="C210" i="14"/>
  <c r="J210" i="14"/>
  <c r="F89" i="16"/>
  <c r="A89" i="16"/>
  <c r="E90" i="16"/>
  <c r="B90" i="4"/>
  <c r="I90" i="4"/>
  <c r="H194" i="4"/>
  <c r="I193" i="4"/>
  <c r="B193" i="4"/>
  <c r="I96" i="12"/>
  <c r="D96" i="12" s="1"/>
  <c r="C96" i="12"/>
  <c r="I514" i="14" l="1"/>
  <c r="B514" i="14"/>
  <c r="H515" i="14"/>
  <c r="F511" i="14"/>
  <c r="L511" i="14"/>
  <c r="K512" i="14"/>
  <c r="D512" i="14"/>
  <c r="G512" i="14"/>
  <c r="J513" i="14"/>
  <c r="C513" i="14"/>
  <c r="B223" i="12"/>
  <c r="G224" i="12"/>
  <c r="J96" i="12"/>
  <c r="F96" i="12" s="1"/>
  <c r="H127" i="15"/>
  <c r="D127" i="15" s="1"/>
  <c r="C128" i="15"/>
  <c r="F130" i="15"/>
  <c r="B129" i="15"/>
  <c r="G129" i="15"/>
  <c r="I92" i="11"/>
  <c r="B92" i="11"/>
  <c r="H93" i="11"/>
  <c r="J91" i="11"/>
  <c r="D91" i="11" s="1"/>
  <c r="F91" i="11" s="1"/>
  <c r="C91" i="11"/>
  <c r="K91" i="11" s="1"/>
  <c r="E91" i="11" s="1"/>
  <c r="F90" i="16"/>
  <c r="A90" i="16"/>
  <c r="E91" i="16"/>
  <c r="D89" i="4"/>
  <c r="F89" i="4" s="1"/>
  <c r="K89" i="4"/>
  <c r="E89" i="4" s="1"/>
  <c r="C193" i="4"/>
  <c r="J193" i="4"/>
  <c r="G210" i="14"/>
  <c r="D210" i="14"/>
  <c r="B194" i="4"/>
  <c r="H195" i="4"/>
  <c r="I194" i="4"/>
  <c r="C97" i="12"/>
  <c r="I97" i="12"/>
  <c r="D97" i="12" s="1"/>
  <c r="J211" i="14"/>
  <c r="C211" i="14"/>
  <c r="E96" i="12"/>
  <c r="E192" i="4"/>
  <c r="F192" i="4" s="1"/>
  <c r="K192" i="4"/>
  <c r="D192" i="4" s="1"/>
  <c r="C90" i="4"/>
  <c r="J90" i="4"/>
  <c r="B89" i="16"/>
  <c r="G89" i="16"/>
  <c r="C89" i="16" s="1"/>
  <c r="D89" i="16" s="1"/>
  <c r="B98" i="12"/>
  <c r="G99" i="12"/>
  <c r="H98" i="12"/>
  <c r="H213" i="14"/>
  <c r="I212" i="14"/>
  <c r="B212" i="14"/>
  <c r="E95" i="12"/>
  <c r="I515" i="14" l="1"/>
  <c r="H516" i="14"/>
  <c r="B515" i="14"/>
  <c r="F512" i="14"/>
  <c r="L512" i="14"/>
  <c r="D513" i="14"/>
  <c r="G513" i="14"/>
  <c r="K513" i="14"/>
  <c r="C514" i="14"/>
  <c r="J514" i="14"/>
  <c r="B224" i="12"/>
  <c r="G225" i="12"/>
  <c r="H128" i="15"/>
  <c r="D128" i="15" s="1"/>
  <c r="B130" i="15"/>
  <c r="F131" i="15"/>
  <c r="G130" i="15"/>
  <c r="C129" i="15"/>
  <c r="H129" i="15"/>
  <c r="D129" i="15" s="1"/>
  <c r="B93" i="11"/>
  <c r="I93" i="11"/>
  <c r="H94" i="11"/>
  <c r="J97" i="12"/>
  <c r="F97" i="12" s="1"/>
  <c r="J92" i="11"/>
  <c r="D92" i="11" s="1"/>
  <c r="F92" i="11" s="1"/>
  <c r="C92" i="11"/>
  <c r="K92" i="11" s="1"/>
  <c r="E92" i="11" s="1"/>
  <c r="C98" i="12"/>
  <c r="I98" i="12"/>
  <c r="D98" i="12" s="1"/>
  <c r="G211" i="14"/>
  <c r="D211" i="14"/>
  <c r="E92" i="16"/>
  <c r="F91" i="16"/>
  <c r="A91" i="16"/>
  <c r="B99" i="12"/>
  <c r="G100" i="12"/>
  <c r="H99" i="12"/>
  <c r="K90" i="4"/>
  <c r="E90" i="4" s="1"/>
  <c r="D90" i="4"/>
  <c r="F90" i="4" s="1"/>
  <c r="C194" i="4"/>
  <c r="J194" i="4"/>
  <c r="K193" i="4"/>
  <c r="D193" i="4" s="1"/>
  <c r="E193" i="4"/>
  <c r="F193" i="4" s="1"/>
  <c r="B213" i="14"/>
  <c r="H214" i="14"/>
  <c r="I213" i="14"/>
  <c r="J212" i="14"/>
  <c r="C212" i="14"/>
  <c r="E97" i="12"/>
  <c r="B195" i="4"/>
  <c r="H196" i="4"/>
  <c r="I195" i="4"/>
  <c r="G90" i="16"/>
  <c r="C90" i="16" s="1"/>
  <c r="D90" i="16" s="1"/>
  <c r="B90" i="16"/>
  <c r="C515" i="14" l="1"/>
  <c r="J515" i="14"/>
  <c r="G514" i="14"/>
  <c r="K514" i="14"/>
  <c r="D514" i="14"/>
  <c r="B516" i="14"/>
  <c r="I516" i="14"/>
  <c r="H517" i="14"/>
  <c r="F513" i="14"/>
  <c r="L513" i="14"/>
  <c r="G226" i="12"/>
  <c r="B225" i="12"/>
  <c r="C130" i="15"/>
  <c r="H130" i="15"/>
  <c r="D130" i="15" s="1"/>
  <c r="F132" i="15"/>
  <c r="G131" i="15"/>
  <c r="B131" i="15"/>
  <c r="H95" i="11"/>
  <c r="B94" i="11"/>
  <c r="I94" i="11"/>
  <c r="C93" i="11"/>
  <c r="K93" i="11" s="1"/>
  <c r="E93" i="11" s="1"/>
  <c r="J93" i="11"/>
  <c r="D93" i="11" s="1"/>
  <c r="F93" i="11" s="1"/>
  <c r="J195" i="4"/>
  <c r="C195" i="4"/>
  <c r="H215" i="14"/>
  <c r="I214" i="14"/>
  <c r="B214" i="14"/>
  <c r="K194" i="4"/>
  <c r="D194" i="4" s="1"/>
  <c r="E194" i="4"/>
  <c r="F194" i="4" s="1"/>
  <c r="I99" i="12"/>
  <c r="D99" i="12" s="1"/>
  <c r="C99" i="12"/>
  <c r="A92" i="16"/>
  <c r="E93" i="16"/>
  <c r="F92" i="16"/>
  <c r="H197" i="4"/>
  <c r="I196" i="4"/>
  <c r="B196" i="4"/>
  <c r="G101" i="12"/>
  <c r="H100" i="12"/>
  <c r="B100" i="12"/>
  <c r="D212" i="14"/>
  <c r="G212" i="14"/>
  <c r="C213" i="14"/>
  <c r="J213" i="14"/>
  <c r="G91" i="16"/>
  <c r="C91" i="16" s="1"/>
  <c r="D91" i="16" s="1"/>
  <c r="B91" i="16"/>
  <c r="J98" i="12"/>
  <c r="F98" i="12" s="1"/>
  <c r="B517" i="14" l="1"/>
  <c r="I517" i="14"/>
  <c r="H518" i="14"/>
  <c r="J516" i="14"/>
  <c r="C516" i="14"/>
  <c r="G515" i="14"/>
  <c r="D515" i="14"/>
  <c r="K515" i="14"/>
  <c r="F514" i="14"/>
  <c r="L514" i="14"/>
  <c r="G227" i="12"/>
  <c r="B226" i="12"/>
  <c r="H131" i="15"/>
  <c r="D131" i="15" s="1"/>
  <c r="C131" i="15"/>
  <c r="G132" i="15"/>
  <c r="F133" i="15"/>
  <c r="B132" i="15"/>
  <c r="C94" i="11"/>
  <c r="K94" i="11" s="1"/>
  <c r="J94" i="11"/>
  <c r="D94" i="11" s="1"/>
  <c r="F94" i="11" s="1"/>
  <c r="H96" i="11"/>
  <c r="I95" i="11"/>
  <c r="B95" i="11"/>
  <c r="G92" i="16"/>
  <c r="C92" i="16" s="1"/>
  <c r="D92" i="16" s="1"/>
  <c r="B92" i="16"/>
  <c r="J214" i="14"/>
  <c r="C214" i="14"/>
  <c r="F93" i="16"/>
  <c r="A93" i="16"/>
  <c r="E94" i="16"/>
  <c r="B215" i="14"/>
  <c r="H216" i="14"/>
  <c r="I215" i="14"/>
  <c r="E98" i="12"/>
  <c r="I100" i="12"/>
  <c r="D100" i="12" s="1"/>
  <c r="C100" i="12"/>
  <c r="J196" i="4"/>
  <c r="C196" i="4"/>
  <c r="G213" i="14"/>
  <c r="D213" i="14"/>
  <c r="G102" i="12"/>
  <c r="H101" i="12"/>
  <c r="B101" i="12"/>
  <c r="H198" i="4"/>
  <c r="I197" i="4"/>
  <c r="B197" i="4"/>
  <c r="J99" i="12"/>
  <c r="F99" i="12" s="1"/>
  <c r="K195" i="4"/>
  <c r="D195" i="4" s="1"/>
  <c r="E195" i="4"/>
  <c r="F195" i="4" s="1"/>
  <c r="H519" i="14" l="1"/>
  <c r="B518" i="14"/>
  <c r="I518" i="14"/>
  <c r="J517" i="14"/>
  <c r="C517" i="14"/>
  <c r="D516" i="14"/>
  <c r="K516" i="14"/>
  <c r="G516" i="14"/>
  <c r="F515" i="14"/>
  <c r="L515" i="14"/>
  <c r="B227" i="12"/>
  <c r="G228" i="12"/>
  <c r="C132" i="15"/>
  <c r="H132" i="15"/>
  <c r="D132" i="15" s="1"/>
  <c r="B133" i="15"/>
  <c r="F134" i="15"/>
  <c r="G133" i="15"/>
  <c r="I96" i="11"/>
  <c r="B96" i="11"/>
  <c r="H97" i="11"/>
  <c r="J95" i="11"/>
  <c r="D95" i="11" s="1"/>
  <c r="F95" i="11" s="1"/>
  <c r="C95" i="11"/>
  <c r="K95" i="11" s="1"/>
  <c r="E95" i="11" s="1"/>
  <c r="E94" i="11"/>
  <c r="C101" i="12"/>
  <c r="I101" i="12"/>
  <c r="D101" i="12" s="1"/>
  <c r="F94" i="16"/>
  <c r="A94" i="16"/>
  <c r="E95" i="16"/>
  <c r="E196" i="4"/>
  <c r="F196" i="4" s="1"/>
  <c r="K196" i="4"/>
  <c r="D196" i="4" s="1"/>
  <c r="B198" i="4"/>
  <c r="H199" i="4"/>
  <c r="I198" i="4"/>
  <c r="J100" i="12"/>
  <c r="F100" i="12" s="1"/>
  <c r="H217" i="14"/>
  <c r="I216" i="14"/>
  <c r="B216" i="14"/>
  <c r="B93" i="16"/>
  <c r="G93" i="16"/>
  <c r="C93" i="16" s="1"/>
  <c r="C197" i="4"/>
  <c r="J197" i="4"/>
  <c r="B102" i="12"/>
  <c r="G103" i="12"/>
  <c r="H102" i="12"/>
  <c r="E99" i="12"/>
  <c r="D214" i="14"/>
  <c r="G214" i="14"/>
  <c r="C215" i="14"/>
  <c r="J215" i="14"/>
  <c r="D517" i="14" l="1"/>
  <c r="G517" i="14"/>
  <c r="K517" i="14"/>
  <c r="F516" i="14"/>
  <c r="L516" i="14"/>
  <c r="C518" i="14"/>
  <c r="J518" i="14"/>
  <c r="B519" i="14"/>
  <c r="I519" i="14"/>
  <c r="H520" i="14"/>
  <c r="B228" i="12"/>
  <c r="G229" i="12"/>
  <c r="D93" i="16"/>
  <c r="G134" i="15"/>
  <c r="F135" i="15"/>
  <c r="B134" i="15"/>
  <c r="H133" i="15"/>
  <c r="D133" i="15" s="1"/>
  <c r="C133" i="15"/>
  <c r="I97" i="11"/>
  <c r="B97" i="11"/>
  <c r="H98" i="11"/>
  <c r="J96" i="11"/>
  <c r="D96" i="11" s="1"/>
  <c r="F96" i="11" s="1"/>
  <c r="C96" i="11"/>
  <c r="K96" i="11" s="1"/>
  <c r="E96" i="11" s="1"/>
  <c r="B103" i="12"/>
  <c r="G104" i="12"/>
  <c r="H103" i="12"/>
  <c r="B217" i="14"/>
  <c r="H218" i="14"/>
  <c r="I217" i="14"/>
  <c r="E100" i="12"/>
  <c r="K197" i="4"/>
  <c r="D197" i="4" s="1"/>
  <c r="E197" i="4"/>
  <c r="F197" i="4" s="1"/>
  <c r="C198" i="4"/>
  <c r="J198" i="4"/>
  <c r="G94" i="16"/>
  <c r="C94" i="16" s="1"/>
  <c r="D94" i="16" s="1"/>
  <c r="B94" i="16"/>
  <c r="G215" i="14"/>
  <c r="D215" i="14"/>
  <c r="C102" i="12"/>
  <c r="I102" i="12"/>
  <c r="D102" i="12" s="1"/>
  <c r="J216" i="14"/>
  <c r="C216" i="14"/>
  <c r="B199" i="4"/>
  <c r="H200" i="4"/>
  <c r="I199" i="4"/>
  <c r="E96" i="16"/>
  <c r="F95" i="16"/>
  <c r="A95" i="16"/>
  <c r="J101" i="12"/>
  <c r="F101" i="12" s="1"/>
  <c r="I520" i="14" l="1"/>
  <c r="B520" i="14"/>
  <c r="H521" i="14"/>
  <c r="F517" i="14"/>
  <c r="L517" i="14"/>
  <c r="J519" i="14"/>
  <c r="C519" i="14"/>
  <c r="G518" i="14"/>
  <c r="K518" i="14"/>
  <c r="D518" i="14"/>
  <c r="B229" i="12"/>
  <c r="G230" i="12"/>
  <c r="G135" i="15"/>
  <c r="F136" i="15"/>
  <c r="B135" i="15"/>
  <c r="H134" i="15"/>
  <c r="D134" i="15" s="1"/>
  <c r="C134" i="15"/>
  <c r="J97" i="11"/>
  <c r="D97" i="11" s="1"/>
  <c r="F97" i="11" s="1"/>
  <c r="C97" i="11"/>
  <c r="K97" i="11" s="1"/>
  <c r="E97" i="11" s="1"/>
  <c r="B98" i="11"/>
  <c r="I98" i="11"/>
  <c r="H99" i="11"/>
  <c r="C217" i="14"/>
  <c r="J217" i="14"/>
  <c r="G95" i="16"/>
  <c r="C95" i="16" s="1"/>
  <c r="B95" i="16"/>
  <c r="J102" i="12"/>
  <c r="F102" i="12" s="1"/>
  <c r="A96" i="16"/>
  <c r="E97" i="16"/>
  <c r="F96" i="16"/>
  <c r="I103" i="12"/>
  <c r="D103" i="12" s="1"/>
  <c r="C103" i="12"/>
  <c r="E101" i="12"/>
  <c r="J199" i="4"/>
  <c r="C199" i="4"/>
  <c r="D216" i="14"/>
  <c r="G216" i="14"/>
  <c r="H219" i="14"/>
  <c r="I218" i="14"/>
  <c r="B218" i="14"/>
  <c r="G105" i="12"/>
  <c r="H104" i="12"/>
  <c r="B104" i="12"/>
  <c r="H201" i="4"/>
  <c r="I200" i="4"/>
  <c r="B200" i="4"/>
  <c r="K198" i="4"/>
  <c r="D198" i="4" s="1"/>
  <c r="E198" i="4"/>
  <c r="F198" i="4" s="1"/>
  <c r="B521" i="14" l="1"/>
  <c r="H522" i="14"/>
  <c r="I521" i="14"/>
  <c r="G519" i="14"/>
  <c r="K519" i="14"/>
  <c r="D519" i="14"/>
  <c r="F518" i="14"/>
  <c r="L518" i="14"/>
  <c r="J520" i="14"/>
  <c r="C520" i="14"/>
  <c r="G231" i="12"/>
  <c r="B230" i="12"/>
  <c r="D95" i="16"/>
  <c r="F137" i="15"/>
  <c r="G136" i="15"/>
  <c r="B136" i="15"/>
  <c r="C135" i="15"/>
  <c r="H135" i="15"/>
  <c r="D135" i="15" s="1"/>
  <c r="C98" i="11"/>
  <c r="K98" i="11" s="1"/>
  <c r="E98" i="11" s="1"/>
  <c r="J98" i="11"/>
  <c r="D98" i="11" s="1"/>
  <c r="F98" i="11" s="1"/>
  <c r="H100" i="11"/>
  <c r="B99" i="11"/>
  <c r="I99" i="11"/>
  <c r="I104" i="12"/>
  <c r="D104" i="12" s="1"/>
  <c r="C104" i="12"/>
  <c r="B219" i="14"/>
  <c r="H220" i="14"/>
  <c r="I219" i="14"/>
  <c r="J200" i="4"/>
  <c r="C200" i="4"/>
  <c r="G106" i="12"/>
  <c r="H105" i="12"/>
  <c r="B105" i="12"/>
  <c r="J103" i="12"/>
  <c r="F103" i="12" s="1"/>
  <c r="K199" i="4"/>
  <c r="D199" i="4" s="1"/>
  <c r="E199" i="4"/>
  <c r="F199" i="4" s="1"/>
  <c r="J218" i="14"/>
  <c r="C218" i="14"/>
  <c r="G96" i="16"/>
  <c r="C96" i="16" s="1"/>
  <c r="B96" i="16"/>
  <c r="G217" i="14"/>
  <c r="D217" i="14"/>
  <c r="H202" i="4"/>
  <c r="I201" i="4"/>
  <c r="B201" i="4"/>
  <c r="F97" i="16"/>
  <c r="A97" i="16"/>
  <c r="E98" i="16"/>
  <c r="E102" i="12"/>
  <c r="J521" i="14" l="1"/>
  <c r="C521" i="14"/>
  <c r="G520" i="14"/>
  <c r="D520" i="14"/>
  <c r="K520" i="14"/>
  <c r="I522" i="14"/>
  <c r="H523" i="14"/>
  <c r="B522" i="14"/>
  <c r="L519" i="14"/>
  <c r="F519" i="14"/>
  <c r="G232" i="12"/>
  <c r="B231" i="12"/>
  <c r="J104" i="12"/>
  <c r="F104" i="12" s="1"/>
  <c r="D96" i="16"/>
  <c r="H136" i="15"/>
  <c r="D136" i="15" s="1"/>
  <c r="C136" i="15"/>
  <c r="G137" i="15"/>
  <c r="F138" i="15"/>
  <c r="B137" i="15"/>
  <c r="H101" i="11"/>
  <c r="I100" i="11"/>
  <c r="B100" i="11"/>
  <c r="J99" i="11"/>
  <c r="D99" i="11" s="1"/>
  <c r="F99" i="11" s="1"/>
  <c r="C99" i="11"/>
  <c r="K99" i="11" s="1"/>
  <c r="E99" i="11" s="1"/>
  <c r="B106" i="12"/>
  <c r="G107" i="12"/>
  <c r="H106" i="12"/>
  <c r="F98" i="16"/>
  <c r="A98" i="16"/>
  <c r="E99" i="16"/>
  <c r="C105" i="12"/>
  <c r="I105" i="12"/>
  <c r="D105" i="12" s="1"/>
  <c r="H221" i="14"/>
  <c r="I220" i="14"/>
  <c r="B220" i="14"/>
  <c r="B97" i="16"/>
  <c r="G97" i="16"/>
  <c r="C97" i="16" s="1"/>
  <c r="D97" i="16" s="1"/>
  <c r="C201" i="4"/>
  <c r="J201" i="4"/>
  <c r="D218" i="14"/>
  <c r="G218" i="14"/>
  <c r="E103" i="12"/>
  <c r="B202" i="4"/>
  <c r="H203" i="4"/>
  <c r="I202" i="4"/>
  <c r="E200" i="4"/>
  <c r="F200" i="4" s="1"/>
  <c r="K200" i="4"/>
  <c r="D200" i="4" s="1"/>
  <c r="C219" i="14"/>
  <c r="J219" i="14"/>
  <c r="L520" i="14" l="1"/>
  <c r="F520" i="14"/>
  <c r="K521" i="14"/>
  <c r="D521" i="14"/>
  <c r="G521" i="14"/>
  <c r="I523" i="14"/>
  <c r="H524" i="14"/>
  <c r="B523" i="14"/>
  <c r="C522" i="14"/>
  <c r="J522" i="14"/>
  <c r="E104" i="12"/>
  <c r="B232" i="12"/>
  <c r="G233" i="12"/>
  <c r="G138" i="15"/>
  <c r="B138" i="15"/>
  <c r="F139" i="15"/>
  <c r="H137" i="15"/>
  <c r="D137" i="15" s="1"/>
  <c r="C137" i="15"/>
  <c r="J100" i="11"/>
  <c r="D100" i="11" s="1"/>
  <c r="F100" i="11" s="1"/>
  <c r="C100" i="11"/>
  <c r="K100" i="11" s="1"/>
  <c r="E100" i="11" s="1"/>
  <c r="H102" i="11"/>
  <c r="I101" i="11"/>
  <c r="B101" i="11"/>
  <c r="C106" i="12"/>
  <c r="I106" i="12"/>
  <c r="D106" i="12" s="1"/>
  <c r="G219" i="14"/>
  <c r="D219" i="14"/>
  <c r="C202" i="4"/>
  <c r="J202" i="4"/>
  <c r="H222" i="14"/>
  <c r="I221" i="14"/>
  <c r="B221" i="14"/>
  <c r="J105" i="12"/>
  <c r="F105" i="12" s="1"/>
  <c r="G98" i="16"/>
  <c r="C98" i="16" s="1"/>
  <c r="B98" i="16"/>
  <c r="B203" i="4"/>
  <c r="H204" i="4"/>
  <c r="I203" i="4"/>
  <c r="E100" i="16"/>
  <c r="F99" i="16"/>
  <c r="A99" i="16"/>
  <c r="B107" i="12"/>
  <c r="G108" i="12"/>
  <c r="H107" i="12"/>
  <c r="K201" i="4"/>
  <c r="D201" i="4" s="1"/>
  <c r="E201" i="4"/>
  <c r="F201" i="4" s="1"/>
  <c r="J220" i="14"/>
  <c r="C220" i="14"/>
  <c r="G522" i="14" l="1"/>
  <c r="K522" i="14"/>
  <c r="D522" i="14"/>
  <c r="B524" i="14"/>
  <c r="H525" i="14"/>
  <c r="I524" i="14"/>
  <c r="L521" i="14"/>
  <c r="F521" i="14"/>
  <c r="C523" i="14"/>
  <c r="J523" i="14"/>
  <c r="G234" i="12"/>
  <c r="B233" i="12"/>
  <c r="D98" i="16"/>
  <c r="B139" i="15"/>
  <c r="G139" i="15"/>
  <c r="F140" i="15"/>
  <c r="C138" i="15"/>
  <c r="H138" i="15"/>
  <c r="D138" i="15" s="1"/>
  <c r="H103" i="11"/>
  <c r="I102" i="11"/>
  <c r="B102" i="11"/>
  <c r="C101" i="11"/>
  <c r="K101" i="11" s="1"/>
  <c r="E101" i="11" s="1"/>
  <c r="J101" i="11"/>
  <c r="D101" i="11" s="1"/>
  <c r="F101" i="11" s="1"/>
  <c r="C221" i="14"/>
  <c r="J221" i="14"/>
  <c r="I107" i="12"/>
  <c r="D107" i="12" s="1"/>
  <c r="C107" i="12"/>
  <c r="G99" i="16"/>
  <c r="C99" i="16" s="1"/>
  <c r="D99" i="16" s="1"/>
  <c r="B99" i="16"/>
  <c r="J203" i="4"/>
  <c r="C203" i="4"/>
  <c r="B222" i="14"/>
  <c r="H223" i="14"/>
  <c r="I222" i="14"/>
  <c r="K202" i="4"/>
  <c r="D202" i="4" s="1"/>
  <c r="E202" i="4"/>
  <c r="F202" i="4" s="1"/>
  <c r="D220" i="14"/>
  <c r="G220" i="14"/>
  <c r="G109" i="12"/>
  <c r="H108" i="12"/>
  <c r="B108" i="12"/>
  <c r="A100" i="16"/>
  <c r="E101" i="16"/>
  <c r="F100" i="16"/>
  <c r="H205" i="4"/>
  <c r="I204" i="4"/>
  <c r="B204" i="4"/>
  <c r="E105" i="12"/>
  <c r="J106" i="12"/>
  <c r="F106" i="12" s="1"/>
  <c r="B525" i="14" l="1"/>
  <c r="H526" i="14"/>
  <c r="I525" i="14"/>
  <c r="D523" i="14"/>
  <c r="G523" i="14"/>
  <c r="K523" i="14"/>
  <c r="J524" i="14"/>
  <c r="C524" i="14"/>
  <c r="F522" i="14"/>
  <c r="L522" i="14"/>
  <c r="G235" i="12"/>
  <c r="B234" i="12"/>
  <c r="F141" i="15"/>
  <c r="B140" i="15"/>
  <c r="G140" i="15"/>
  <c r="C139" i="15"/>
  <c r="H139" i="15"/>
  <c r="D139" i="15" s="1"/>
  <c r="J102" i="11"/>
  <c r="D102" i="11" s="1"/>
  <c r="F102" i="11" s="1"/>
  <c r="C102" i="11"/>
  <c r="K102" i="11" s="1"/>
  <c r="I103" i="11"/>
  <c r="B103" i="11"/>
  <c r="H104" i="11"/>
  <c r="D221" i="14"/>
  <c r="G221" i="14"/>
  <c r="F101" i="16"/>
  <c r="A101" i="16"/>
  <c r="E102" i="16"/>
  <c r="G110" i="12"/>
  <c r="H109" i="12"/>
  <c r="B109" i="12"/>
  <c r="H224" i="14"/>
  <c r="I223" i="14"/>
  <c r="B223" i="14"/>
  <c r="K203" i="4"/>
  <c r="D203" i="4" s="1"/>
  <c r="E203" i="4"/>
  <c r="F203" i="4" s="1"/>
  <c r="J204" i="4"/>
  <c r="C204" i="4"/>
  <c r="H206" i="4"/>
  <c r="I205" i="4"/>
  <c r="B205" i="4"/>
  <c r="E106" i="12"/>
  <c r="G100" i="16"/>
  <c r="C100" i="16" s="1"/>
  <c r="B100" i="16"/>
  <c r="I108" i="12"/>
  <c r="D108" i="12" s="1"/>
  <c r="C108" i="12"/>
  <c r="C222" i="14"/>
  <c r="J222" i="14"/>
  <c r="J107" i="12"/>
  <c r="F107" i="12" s="1"/>
  <c r="G524" i="14" l="1"/>
  <c r="D524" i="14"/>
  <c r="K524" i="14"/>
  <c r="J525" i="14"/>
  <c r="C525" i="14"/>
  <c r="L523" i="14"/>
  <c r="F523" i="14"/>
  <c r="H527" i="14"/>
  <c r="B526" i="14"/>
  <c r="I526" i="14"/>
  <c r="B235" i="12"/>
  <c r="G236" i="12"/>
  <c r="J108" i="12"/>
  <c r="F108" i="12" s="1"/>
  <c r="D100" i="16"/>
  <c r="C140" i="15"/>
  <c r="H140" i="15"/>
  <c r="D140" i="15" s="1"/>
  <c r="F142" i="15"/>
  <c r="G141" i="15"/>
  <c r="B141" i="15"/>
  <c r="I104" i="11"/>
  <c r="H105" i="11"/>
  <c r="B104" i="11"/>
  <c r="C103" i="11"/>
  <c r="K103" i="11" s="1"/>
  <c r="E103" i="11" s="1"/>
  <c r="J103" i="11"/>
  <c r="D103" i="11" s="1"/>
  <c r="F103" i="11" s="1"/>
  <c r="E102" i="11"/>
  <c r="B206" i="4"/>
  <c r="H207" i="4"/>
  <c r="I206" i="4"/>
  <c r="C109" i="12"/>
  <c r="I109" i="12"/>
  <c r="D109" i="12" s="1"/>
  <c r="B101" i="16"/>
  <c r="G101" i="16"/>
  <c r="C101" i="16" s="1"/>
  <c r="E107" i="12"/>
  <c r="J223" i="14"/>
  <c r="C223" i="14"/>
  <c r="B110" i="12"/>
  <c r="G111" i="12"/>
  <c r="H110" i="12"/>
  <c r="G222" i="14"/>
  <c r="D222" i="14"/>
  <c r="C205" i="4"/>
  <c r="J205" i="4"/>
  <c r="E204" i="4"/>
  <c r="F204" i="4" s="1"/>
  <c r="K204" i="4"/>
  <c r="D204" i="4" s="1"/>
  <c r="H225" i="14"/>
  <c r="B224" i="14"/>
  <c r="I224" i="14"/>
  <c r="F102" i="16"/>
  <c r="A102" i="16"/>
  <c r="E103" i="16"/>
  <c r="C526" i="14" l="1"/>
  <c r="J526" i="14"/>
  <c r="I527" i="14"/>
  <c r="H528" i="14"/>
  <c r="B527" i="14"/>
  <c r="G525" i="14"/>
  <c r="K525" i="14"/>
  <c r="D525" i="14"/>
  <c r="F524" i="14"/>
  <c r="L524" i="14"/>
  <c r="B236" i="12"/>
  <c r="G237" i="12"/>
  <c r="E108" i="12"/>
  <c r="J109" i="12"/>
  <c r="F109" i="12" s="1"/>
  <c r="D101" i="16"/>
  <c r="C141" i="15"/>
  <c r="H141" i="15"/>
  <c r="D141" i="15" s="1"/>
  <c r="F143" i="15"/>
  <c r="G142" i="15"/>
  <c r="B142" i="15"/>
  <c r="H106" i="11"/>
  <c r="B105" i="11"/>
  <c r="I105" i="11"/>
  <c r="J104" i="11"/>
  <c r="D104" i="11" s="1"/>
  <c r="F104" i="11" s="1"/>
  <c r="C104" i="11"/>
  <c r="K104" i="11" s="1"/>
  <c r="E104" i="16"/>
  <c r="F103" i="16"/>
  <c r="A103" i="16"/>
  <c r="K205" i="4"/>
  <c r="D205" i="4" s="1"/>
  <c r="E205" i="4"/>
  <c r="F205" i="4" s="1"/>
  <c r="C224" i="14"/>
  <c r="J224" i="14"/>
  <c r="B111" i="12"/>
  <c r="G112" i="12"/>
  <c r="H111" i="12"/>
  <c r="H226" i="14"/>
  <c r="B225" i="14"/>
  <c r="I225" i="14"/>
  <c r="C206" i="4"/>
  <c r="J206" i="4"/>
  <c r="E109" i="12"/>
  <c r="G102" i="16"/>
  <c r="C102" i="16" s="1"/>
  <c r="B102" i="16"/>
  <c r="C110" i="12"/>
  <c r="I110" i="12"/>
  <c r="D110" i="12" s="1"/>
  <c r="D223" i="14"/>
  <c r="G223" i="14"/>
  <c r="B207" i="4"/>
  <c r="H208" i="4"/>
  <c r="I207" i="4"/>
  <c r="H529" i="14" l="1"/>
  <c r="B528" i="14"/>
  <c r="I528" i="14"/>
  <c r="F525" i="14"/>
  <c r="L525" i="14"/>
  <c r="K526" i="14"/>
  <c r="D526" i="14"/>
  <c r="G526" i="14"/>
  <c r="C527" i="14"/>
  <c r="J527" i="14"/>
  <c r="B237" i="12"/>
  <c r="G238" i="12"/>
  <c r="D102" i="16"/>
  <c r="C142" i="15"/>
  <c r="H142" i="15"/>
  <c r="D142" i="15" s="1"/>
  <c r="G143" i="15"/>
  <c r="B143" i="15"/>
  <c r="F144" i="15"/>
  <c r="J105" i="11"/>
  <c r="D105" i="11" s="1"/>
  <c r="F105" i="11" s="1"/>
  <c r="C105" i="11"/>
  <c r="K105" i="11" s="1"/>
  <c r="E104" i="11"/>
  <c r="B106" i="11"/>
  <c r="H107" i="11"/>
  <c r="I106" i="11"/>
  <c r="H209" i="4"/>
  <c r="I208" i="4"/>
  <c r="B208" i="4"/>
  <c r="K206" i="4"/>
  <c r="D206" i="4" s="1"/>
  <c r="E206" i="4"/>
  <c r="F206" i="4" s="1"/>
  <c r="J207" i="4"/>
  <c r="C207" i="4"/>
  <c r="J110" i="12"/>
  <c r="F110" i="12" s="1"/>
  <c r="H227" i="14"/>
  <c r="B226" i="14"/>
  <c r="I226" i="14"/>
  <c r="G224" i="14"/>
  <c r="D224" i="14"/>
  <c r="I111" i="12"/>
  <c r="D111" i="12" s="1"/>
  <c r="C111" i="12"/>
  <c r="G103" i="16"/>
  <c r="C103" i="16" s="1"/>
  <c r="D103" i="16" s="1"/>
  <c r="B103" i="16"/>
  <c r="C225" i="14"/>
  <c r="J225" i="14"/>
  <c r="G113" i="12"/>
  <c r="H112" i="12"/>
  <c r="B112" i="12"/>
  <c r="A104" i="16"/>
  <c r="E105" i="16"/>
  <c r="F104" i="16"/>
  <c r="D527" i="14" l="1"/>
  <c r="G527" i="14"/>
  <c r="K527" i="14"/>
  <c r="L526" i="14"/>
  <c r="F526" i="14"/>
  <c r="C528" i="14"/>
  <c r="J528" i="14"/>
  <c r="B529" i="14"/>
  <c r="H530" i="14"/>
  <c r="I529" i="14"/>
  <c r="G239" i="12"/>
  <c r="B238" i="12"/>
  <c r="H143" i="15"/>
  <c r="D143" i="15" s="1"/>
  <c r="C143" i="15"/>
  <c r="B144" i="15"/>
  <c r="G144" i="15"/>
  <c r="J111" i="12"/>
  <c r="C106" i="11"/>
  <c r="K106" i="11" s="1"/>
  <c r="E106" i="11" s="1"/>
  <c r="J106" i="11"/>
  <c r="D106" i="11" s="1"/>
  <c r="F106" i="11" s="1"/>
  <c r="E105" i="11"/>
  <c r="I107" i="11"/>
  <c r="H108" i="11"/>
  <c r="B107" i="11"/>
  <c r="F105" i="16"/>
  <c r="A105" i="16"/>
  <c r="E106" i="16"/>
  <c r="G114" i="12"/>
  <c r="H113" i="12"/>
  <c r="B113" i="12"/>
  <c r="G104" i="16"/>
  <c r="C104" i="16" s="1"/>
  <c r="B104" i="16"/>
  <c r="I112" i="12"/>
  <c r="D112" i="12" s="1"/>
  <c r="C112" i="12"/>
  <c r="H228" i="14"/>
  <c r="B227" i="14"/>
  <c r="I227" i="14"/>
  <c r="E110" i="12"/>
  <c r="G225" i="14"/>
  <c r="D225" i="14"/>
  <c r="C226" i="14"/>
  <c r="J226" i="14"/>
  <c r="K207" i="4"/>
  <c r="D207" i="4" s="1"/>
  <c r="E207" i="4"/>
  <c r="F207" i="4" s="1"/>
  <c r="J208" i="4"/>
  <c r="C208" i="4"/>
  <c r="H210" i="4"/>
  <c r="I209" i="4"/>
  <c r="B209" i="4"/>
  <c r="D528" i="14" l="1"/>
  <c r="G528" i="14"/>
  <c r="K528" i="14"/>
  <c r="L527" i="14"/>
  <c r="F527" i="14"/>
  <c r="J529" i="14"/>
  <c r="C529" i="14"/>
  <c r="H531" i="14"/>
  <c r="B530" i="14"/>
  <c r="I530" i="14"/>
  <c r="G240" i="12"/>
  <c r="B239" i="12"/>
  <c r="E111" i="12"/>
  <c r="F111" i="12"/>
  <c r="D104" i="16"/>
  <c r="C144" i="15"/>
  <c r="H144" i="15"/>
  <c r="D144" i="15" s="1"/>
  <c r="B108" i="11"/>
  <c r="H109" i="11"/>
  <c r="I108" i="11"/>
  <c r="J107" i="11"/>
  <c r="D107" i="11" s="1"/>
  <c r="F107" i="11" s="1"/>
  <c r="C107" i="11"/>
  <c r="K107" i="11" s="1"/>
  <c r="E107" i="11" s="1"/>
  <c r="F106" i="16"/>
  <c r="A106" i="16"/>
  <c r="E107" i="16"/>
  <c r="C209" i="4"/>
  <c r="J209" i="4"/>
  <c r="B210" i="4"/>
  <c r="H211" i="4"/>
  <c r="I210" i="4"/>
  <c r="J112" i="12"/>
  <c r="F112" i="12" s="1"/>
  <c r="B114" i="12"/>
  <c r="G115" i="12"/>
  <c r="H114" i="12"/>
  <c r="C227" i="14"/>
  <c r="J227" i="14"/>
  <c r="G226" i="14"/>
  <c r="D226" i="14"/>
  <c r="E208" i="4"/>
  <c r="F208" i="4" s="1"/>
  <c r="K208" i="4"/>
  <c r="D208" i="4" s="1"/>
  <c r="H229" i="14"/>
  <c r="B228" i="14"/>
  <c r="I228" i="14"/>
  <c r="C113" i="12"/>
  <c r="I113" i="12"/>
  <c r="D113" i="12" s="1"/>
  <c r="B105" i="16"/>
  <c r="G105" i="16"/>
  <c r="C105" i="16" s="1"/>
  <c r="D105" i="16" s="1"/>
  <c r="F528" i="14" l="1"/>
  <c r="L528" i="14"/>
  <c r="C530" i="14"/>
  <c r="J530" i="14"/>
  <c r="D529" i="14"/>
  <c r="G529" i="14"/>
  <c r="K529" i="14"/>
  <c r="H532" i="14"/>
  <c r="I531" i="14"/>
  <c r="B531" i="14"/>
  <c r="B240" i="12"/>
  <c r="G241" i="12"/>
  <c r="J113" i="12"/>
  <c r="F113" i="12" s="1"/>
  <c r="C108" i="11"/>
  <c r="K108" i="11" s="1"/>
  <c r="E108" i="11" s="1"/>
  <c r="J108" i="11"/>
  <c r="D108" i="11" s="1"/>
  <c r="F108" i="11" s="1"/>
  <c r="B109" i="11"/>
  <c r="I109" i="11"/>
  <c r="H110" i="11"/>
  <c r="E112" i="12"/>
  <c r="C210" i="4"/>
  <c r="J210" i="4"/>
  <c r="C114" i="12"/>
  <c r="I114" i="12"/>
  <c r="D114" i="12" s="1"/>
  <c r="B211" i="4"/>
  <c r="H212" i="4"/>
  <c r="I211" i="4"/>
  <c r="E108" i="16"/>
  <c r="F107" i="16"/>
  <c r="A107" i="16"/>
  <c r="B115" i="12"/>
  <c r="G116" i="12"/>
  <c r="H115" i="12"/>
  <c r="C228" i="14"/>
  <c r="J228" i="14"/>
  <c r="G227" i="14"/>
  <c r="D227" i="14"/>
  <c r="H230" i="14"/>
  <c r="B229" i="14"/>
  <c r="I229" i="14"/>
  <c r="K209" i="4"/>
  <c r="D209" i="4" s="1"/>
  <c r="E209" i="4"/>
  <c r="F209" i="4" s="1"/>
  <c r="G106" i="16"/>
  <c r="C106" i="16" s="1"/>
  <c r="D106" i="16" s="1"/>
  <c r="B106" i="16"/>
  <c r="F529" i="14" l="1"/>
  <c r="L529" i="14"/>
  <c r="C531" i="14"/>
  <c r="J531" i="14"/>
  <c r="I532" i="14"/>
  <c r="B532" i="14"/>
  <c r="H533" i="14"/>
  <c r="D530" i="14"/>
  <c r="G530" i="14"/>
  <c r="K530" i="14"/>
  <c r="B241" i="12"/>
  <c r="G242" i="12"/>
  <c r="E113" i="12"/>
  <c r="H111" i="11"/>
  <c r="B110" i="11"/>
  <c r="I110" i="11"/>
  <c r="J109" i="11"/>
  <c r="D109" i="11" s="1"/>
  <c r="F109" i="11" s="1"/>
  <c r="C109" i="11"/>
  <c r="K109" i="11" s="1"/>
  <c r="E109" i="11" s="1"/>
  <c r="C229" i="14"/>
  <c r="J229" i="14"/>
  <c r="J211" i="4"/>
  <c r="C211" i="4"/>
  <c r="I115" i="12"/>
  <c r="D115" i="12" s="1"/>
  <c r="C115" i="12"/>
  <c r="H213" i="4"/>
  <c r="I212" i="4"/>
  <c r="B212" i="4"/>
  <c r="H231" i="14"/>
  <c r="B230" i="14"/>
  <c r="I230" i="14"/>
  <c r="G117" i="12"/>
  <c r="H116" i="12"/>
  <c r="B116" i="12"/>
  <c r="G107" i="16"/>
  <c r="C107" i="16" s="1"/>
  <c r="D107" i="16" s="1"/>
  <c r="B107" i="16"/>
  <c r="J114" i="12"/>
  <c r="F114" i="12" s="1"/>
  <c r="G228" i="14"/>
  <c r="D228" i="14"/>
  <c r="A108" i="16"/>
  <c r="E109" i="16"/>
  <c r="F108" i="16"/>
  <c r="K210" i="4"/>
  <c r="D210" i="4" s="1"/>
  <c r="E210" i="4"/>
  <c r="F210" i="4" s="1"/>
  <c r="L530" i="14" l="1"/>
  <c r="F530" i="14"/>
  <c r="J532" i="14"/>
  <c r="C532" i="14"/>
  <c r="B533" i="14"/>
  <c r="I533" i="14"/>
  <c r="H534" i="14"/>
  <c r="K531" i="14"/>
  <c r="D531" i="14"/>
  <c r="G531" i="14"/>
  <c r="G243" i="12"/>
  <c r="B242" i="12"/>
  <c r="C110" i="11"/>
  <c r="K110" i="11" s="1"/>
  <c r="E110" i="11" s="1"/>
  <c r="J110" i="11"/>
  <c r="D110" i="11" s="1"/>
  <c r="F110" i="11" s="1"/>
  <c r="B111" i="11"/>
  <c r="H112" i="11"/>
  <c r="I111" i="11"/>
  <c r="G118" i="12"/>
  <c r="H117" i="12"/>
  <c r="B117" i="12"/>
  <c r="E114" i="12"/>
  <c r="I116" i="12"/>
  <c r="D116" i="12" s="1"/>
  <c r="C116" i="12"/>
  <c r="H232" i="14"/>
  <c r="B231" i="14"/>
  <c r="I231" i="14"/>
  <c r="J115" i="12"/>
  <c r="F115" i="12" s="1"/>
  <c r="K211" i="4"/>
  <c r="D211" i="4" s="1"/>
  <c r="E211" i="4"/>
  <c r="F211" i="4" s="1"/>
  <c r="G108" i="16"/>
  <c r="C108" i="16" s="1"/>
  <c r="D108" i="16" s="1"/>
  <c r="B108" i="16"/>
  <c r="C230" i="14"/>
  <c r="J230" i="14"/>
  <c r="J212" i="4"/>
  <c r="C212" i="4"/>
  <c r="G229" i="14"/>
  <c r="D229" i="14"/>
  <c r="F109" i="16"/>
  <c r="A109" i="16"/>
  <c r="E110" i="16"/>
  <c r="H214" i="4"/>
  <c r="I213" i="4"/>
  <c r="B213" i="4"/>
  <c r="I534" i="14" l="1"/>
  <c r="H535" i="14"/>
  <c r="B534" i="14"/>
  <c r="G532" i="14"/>
  <c r="K532" i="14"/>
  <c r="D532" i="14"/>
  <c r="J533" i="14"/>
  <c r="C533" i="14"/>
  <c r="L531" i="14"/>
  <c r="F531" i="14"/>
  <c r="G244" i="12"/>
  <c r="B243" i="12"/>
  <c r="C111" i="11"/>
  <c r="K111" i="11" s="1"/>
  <c r="E111" i="11" s="1"/>
  <c r="J111" i="11"/>
  <c r="D111" i="11" s="1"/>
  <c r="F111" i="11" s="1"/>
  <c r="J116" i="12"/>
  <c r="F116" i="12" s="1"/>
  <c r="B112" i="11"/>
  <c r="H113" i="11"/>
  <c r="I112" i="11"/>
  <c r="B214" i="4"/>
  <c r="H215" i="4"/>
  <c r="I214" i="4"/>
  <c r="B109" i="16"/>
  <c r="G109" i="16"/>
  <c r="C109" i="16" s="1"/>
  <c r="D109" i="16" s="1"/>
  <c r="E212" i="4"/>
  <c r="F212" i="4" s="1"/>
  <c r="K212" i="4"/>
  <c r="D212" i="4" s="1"/>
  <c r="G230" i="14"/>
  <c r="D230" i="14"/>
  <c r="H233" i="14"/>
  <c r="B232" i="14"/>
  <c r="I232" i="14"/>
  <c r="E115" i="12"/>
  <c r="F110" i="16"/>
  <c r="A110" i="16"/>
  <c r="E111" i="16"/>
  <c r="C231" i="14"/>
  <c r="J231" i="14"/>
  <c r="C117" i="12"/>
  <c r="I117" i="12"/>
  <c r="D117" i="12" s="1"/>
  <c r="C213" i="4"/>
  <c r="J213" i="4"/>
  <c r="B118" i="12"/>
  <c r="G119" i="12"/>
  <c r="H118" i="12"/>
  <c r="I535" i="14" l="1"/>
  <c r="H536" i="14"/>
  <c r="B535" i="14"/>
  <c r="K533" i="14"/>
  <c r="G533" i="14"/>
  <c r="D533" i="14"/>
  <c r="F532" i="14"/>
  <c r="L532" i="14"/>
  <c r="C534" i="14"/>
  <c r="J534" i="14"/>
  <c r="B244" i="12"/>
  <c r="G245" i="12"/>
  <c r="E116" i="12"/>
  <c r="C112" i="11"/>
  <c r="K112" i="11" s="1"/>
  <c r="E112" i="11" s="1"/>
  <c r="J112" i="11"/>
  <c r="D112" i="11" s="1"/>
  <c r="F112" i="11" s="1"/>
  <c r="I113" i="11"/>
  <c r="H114" i="11"/>
  <c r="B113" i="11"/>
  <c r="C118" i="12"/>
  <c r="I118" i="12"/>
  <c r="D118" i="12" s="1"/>
  <c r="G231" i="14"/>
  <c r="D231" i="14"/>
  <c r="B119" i="12"/>
  <c r="G120" i="12"/>
  <c r="H119" i="12"/>
  <c r="B215" i="4"/>
  <c r="H216" i="4"/>
  <c r="I215" i="4"/>
  <c r="C232" i="14"/>
  <c r="J232" i="14"/>
  <c r="J117" i="12"/>
  <c r="F117" i="12" s="1"/>
  <c r="G110" i="16"/>
  <c r="C110" i="16" s="1"/>
  <c r="D110" i="16" s="1"/>
  <c r="B110" i="16"/>
  <c r="H234" i="14"/>
  <c r="B233" i="14"/>
  <c r="I233" i="14"/>
  <c r="C214" i="4"/>
  <c r="J214" i="4"/>
  <c r="E112" i="16"/>
  <c r="F111" i="16"/>
  <c r="A111" i="16"/>
  <c r="K213" i="4"/>
  <c r="D213" i="4" s="1"/>
  <c r="E213" i="4"/>
  <c r="F213" i="4" s="1"/>
  <c r="G534" i="14" l="1"/>
  <c r="K534" i="14"/>
  <c r="D534" i="14"/>
  <c r="H537" i="14"/>
  <c r="I536" i="14"/>
  <c r="B536" i="14"/>
  <c r="F533" i="14"/>
  <c r="L533" i="14"/>
  <c r="J535" i="14"/>
  <c r="C535" i="14"/>
  <c r="B245" i="12"/>
  <c r="G246" i="12"/>
  <c r="H115" i="11"/>
  <c r="B114" i="11"/>
  <c r="I114" i="11"/>
  <c r="C113" i="11"/>
  <c r="K113" i="11" s="1"/>
  <c r="E113" i="11" s="1"/>
  <c r="J113" i="11"/>
  <c r="D113" i="11" s="1"/>
  <c r="F113" i="11" s="1"/>
  <c r="A112" i="16"/>
  <c r="E113" i="16"/>
  <c r="F112" i="16"/>
  <c r="K214" i="4"/>
  <c r="D214" i="4" s="1"/>
  <c r="E214" i="4"/>
  <c r="F214" i="4" s="1"/>
  <c r="H235" i="14"/>
  <c r="B234" i="14"/>
  <c r="I234" i="14"/>
  <c r="E117" i="12"/>
  <c r="I119" i="12"/>
  <c r="D119" i="12" s="1"/>
  <c r="C119" i="12"/>
  <c r="G232" i="14"/>
  <c r="D232" i="14"/>
  <c r="G121" i="12"/>
  <c r="H120" i="12"/>
  <c r="B120" i="12"/>
  <c r="G111" i="16"/>
  <c r="C111" i="16" s="1"/>
  <c r="D111" i="16" s="1"/>
  <c r="B111" i="16"/>
  <c r="C233" i="14"/>
  <c r="J233" i="14"/>
  <c r="H217" i="4"/>
  <c r="I216" i="4"/>
  <c r="B216" i="4"/>
  <c r="J215" i="4"/>
  <c r="C215" i="4"/>
  <c r="J118" i="12"/>
  <c r="F118" i="12" s="1"/>
  <c r="F534" i="14" l="1"/>
  <c r="L534" i="14"/>
  <c r="H538" i="14"/>
  <c r="I537" i="14"/>
  <c r="B537" i="14"/>
  <c r="D535" i="14"/>
  <c r="G535" i="14"/>
  <c r="K535" i="14"/>
  <c r="C536" i="14"/>
  <c r="J536" i="14"/>
  <c r="G247" i="12"/>
  <c r="B246" i="12"/>
  <c r="J119" i="12"/>
  <c r="F119" i="12" s="1"/>
  <c r="J114" i="11"/>
  <c r="D114" i="11" s="1"/>
  <c r="F114" i="11" s="1"/>
  <c r="C114" i="11"/>
  <c r="K114" i="11" s="1"/>
  <c r="E114" i="11" s="1"/>
  <c r="H116" i="11"/>
  <c r="B115" i="11"/>
  <c r="I115" i="11"/>
  <c r="G233" i="14"/>
  <c r="D233" i="14"/>
  <c r="G112" i="16"/>
  <c r="C112" i="16" s="1"/>
  <c r="D112" i="16" s="1"/>
  <c r="B112" i="16"/>
  <c r="J234" i="14"/>
  <c r="C234" i="14"/>
  <c r="F113" i="16"/>
  <c r="A113" i="16"/>
  <c r="E114" i="16"/>
  <c r="E118" i="12"/>
  <c r="K215" i="4"/>
  <c r="D215" i="4" s="1"/>
  <c r="E215" i="4"/>
  <c r="F215" i="4" s="1"/>
  <c r="H218" i="4"/>
  <c r="I217" i="4"/>
  <c r="B217" i="4"/>
  <c r="B235" i="14"/>
  <c r="I235" i="14"/>
  <c r="H236" i="14"/>
  <c r="I120" i="12"/>
  <c r="D120" i="12" s="1"/>
  <c r="C120" i="12"/>
  <c r="J216" i="4"/>
  <c r="C216" i="4"/>
  <c r="G122" i="12"/>
  <c r="H121" i="12"/>
  <c r="B121" i="12"/>
  <c r="J537" i="14" l="1"/>
  <c r="C537" i="14"/>
  <c r="G536" i="14"/>
  <c r="K536" i="14"/>
  <c r="D536" i="14"/>
  <c r="L535" i="14"/>
  <c r="F535" i="14"/>
  <c r="B538" i="14"/>
  <c r="H539" i="14"/>
  <c r="I538" i="14"/>
  <c r="B247" i="12"/>
  <c r="G248" i="12"/>
  <c r="E119" i="12"/>
  <c r="C115" i="11"/>
  <c r="K115" i="11" s="1"/>
  <c r="E115" i="11" s="1"/>
  <c r="J115" i="11"/>
  <c r="D115" i="11" s="1"/>
  <c r="F115" i="11" s="1"/>
  <c r="I116" i="11"/>
  <c r="H117" i="11"/>
  <c r="B116" i="11"/>
  <c r="F114" i="16"/>
  <c r="A114" i="16"/>
  <c r="E115" i="16"/>
  <c r="G234" i="14"/>
  <c r="D234" i="14"/>
  <c r="E216" i="4"/>
  <c r="F216" i="4" s="1"/>
  <c r="K216" i="4"/>
  <c r="D216" i="4" s="1"/>
  <c r="B236" i="14"/>
  <c r="I236" i="14"/>
  <c r="H237" i="14"/>
  <c r="C121" i="12"/>
  <c r="I121" i="12"/>
  <c r="D121" i="12" s="1"/>
  <c r="J120" i="12"/>
  <c r="F120" i="12" s="1"/>
  <c r="J235" i="14"/>
  <c r="C235" i="14"/>
  <c r="C217" i="4"/>
  <c r="J217" i="4"/>
  <c r="B113" i="16"/>
  <c r="G113" i="16"/>
  <c r="C113" i="16" s="1"/>
  <c r="D113" i="16" s="1"/>
  <c r="B122" i="12"/>
  <c r="G123" i="12"/>
  <c r="H122" i="12"/>
  <c r="B218" i="4"/>
  <c r="H219" i="4"/>
  <c r="I218" i="4"/>
  <c r="F536" i="14" l="1"/>
  <c r="L536" i="14"/>
  <c r="C538" i="14"/>
  <c r="J538" i="14"/>
  <c r="I539" i="14"/>
  <c r="H540" i="14"/>
  <c r="B539" i="14"/>
  <c r="K537" i="14"/>
  <c r="D537" i="14"/>
  <c r="G537" i="14"/>
  <c r="B248" i="12"/>
  <c r="G249" i="12"/>
  <c r="B117" i="11"/>
  <c r="I117" i="11"/>
  <c r="H118" i="11"/>
  <c r="J116" i="11"/>
  <c r="D116" i="11" s="1"/>
  <c r="F116" i="11" s="1"/>
  <c r="C116" i="11"/>
  <c r="K116" i="11" s="1"/>
  <c r="B219" i="4"/>
  <c r="H220" i="4"/>
  <c r="I219" i="4"/>
  <c r="J121" i="12"/>
  <c r="F121" i="12" s="1"/>
  <c r="E116" i="16"/>
  <c r="F115" i="16"/>
  <c r="A115" i="16"/>
  <c r="B123" i="12"/>
  <c r="G124" i="12"/>
  <c r="H123" i="12"/>
  <c r="G235" i="14"/>
  <c r="D235" i="14"/>
  <c r="B237" i="14"/>
  <c r="I237" i="14"/>
  <c r="H238" i="14"/>
  <c r="C218" i="4"/>
  <c r="J218" i="4"/>
  <c r="C122" i="12"/>
  <c r="I122" i="12"/>
  <c r="D122" i="12" s="1"/>
  <c r="K217" i="4"/>
  <c r="D217" i="4" s="1"/>
  <c r="E217" i="4"/>
  <c r="F217" i="4" s="1"/>
  <c r="E120" i="12"/>
  <c r="J236" i="14"/>
  <c r="C236" i="14"/>
  <c r="G114" i="16"/>
  <c r="C114" i="16" s="1"/>
  <c r="D114" i="16" s="1"/>
  <c r="B114" i="16"/>
  <c r="H541" i="14" l="1"/>
  <c r="I540" i="14"/>
  <c r="B540" i="14"/>
  <c r="J539" i="14"/>
  <c r="C539" i="14"/>
  <c r="L537" i="14"/>
  <c r="F537" i="14"/>
  <c r="K538" i="14"/>
  <c r="D538" i="14"/>
  <c r="G538" i="14"/>
  <c r="G250" i="12"/>
  <c r="B249" i="12"/>
  <c r="H119" i="11"/>
  <c r="B118" i="11"/>
  <c r="I118" i="11"/>
  <c r="J122" i="12"/>
  <c r="J117" i="11"/>
  <c r="D117" i="11" s="1"/>
  <c r="F117" i="11" s="1"/>
  <c r="C117" i="11"/>
  <c r="K117" i="11" s="1"/>
  <c r="E117" i="11" s="1"/>
  <c r="E116" i="11"/>
  <c r="B238" i="14"/>
  <c r="I238" i="14"/>
  <c r="H239" i="14"/>
  <c r="G125" i="12"/>
  <c r="H124" i="12"/>
  <c r="B124" i="12"/>
  <c r="J219" i="4"/>
  <c r="C219" i="4"/>
  <c r="G236" i="14"/>
  <c r="D236" i="14"/>
  <c r="I123" i="12"/>
  <c r="D123" i="12" s="1"/>
  <c r="C123" i="12"/>
  <c r="J237" i="14"/>
  <c r="C237" i="14"/>
  <c r="G115" i="16"/>
  <c r="C115" i="16" s="1"/>
  <c r="D115" i="16" s="1"/>
  <c r="B115" i="16"/>
  <c r="H221" i="4"/>
  <c r="I220" i="4"/>
  <c r="B220" i="4"/>
  <c r="E121" i="12"/>
  <c r="K218" i="4"/>
  <c r="D218" i="4" s="1"/>
  <c r="E218" i="4"/>
  <c r="F218" i="4" s="1"/>
  <c r="A116" i="16"/>
  <c r="E117" i="16"/>
  <c r="F116" i="16"/>
  <c r="L538" i="14" l="1"/>
  <c r="F538" i="14"/>
  <c r="D539" i="14"/>
  <c r="K539" i="14"/>
  <c r="G539" i="14"/>
  <c r="B541" i="14"/>
  <c r="H542" i="14"/>
  <c r="I541" i="14"/>
  <c r="C540" i="14"/>
  <c r="J540" i="14"/>
  <c r="G251" i="12"/>
  <c r="B250" i="12"/>
  <c r="E122" i="12"/>
  <c r="F122" i="12"/>
  <c r="J123" i="12"/>
  <c r="F123" i="12" s="1"/>
  <c r="C118" i="11"/>
  <c r="K118" i="11" s="1"/>
  <c r="E118" i="11" s="1"/>
  <c r="J118" i="11"/>
  <c r="D118" i="11" s="1"/>
  <c r="F118" i="11" s="1"/>
  <c r="B119" i="11"/>
  <c r="H120" i="11"/>
  <c r="I119" i="11"/>
  <c r="G126" i="12"/>
  <c r="H125" i="12"/>
  <c r="B125" i="12"/>
  <c r="G116" i="16"/>
  <c r="C116" i="16" s="1"/>
  <c r="D116" i="16" s="1"/>
  <c r="B116" i="16"/>
  <c r="G237" i="14"/>
  <c r="D237" i="14"/>
  <c r="K219" i="4"/>
  <c r="D219" i="4" s="1"/>
  <c r="E219" i="4"/>
  <c r="F219" i="4" s="1"/>
  <c r="B239" i="14"/>
  <c r="I239" i="14"/>
  <c r="H240" i="14"/>
  <c r="F117" i="16"/>
  <c r="A117" i="16"/>
  <c r="E118" i="16"/>
  <c r="J220" i="4"/>
  <c r="C220" i="4"/>
  <c r="J238" i="14"/>
  <c r="C238" i="14"/>
  <c r="H222" i="4"/>
  <c r="I221" i="4"/>
  <c r="B221" i="4"/>
  <c r="I124" i="12"/>
  <c r="D124" i="12" s="1"/>
  <c r="C124" i="12"/>
  <c r="J541" i="14" l="1"/>
  <c r="C541" i="14"/>
  <c r="F539" i="14"/>
  <c r="L539" i="14"/>
  <c r="G540" i="14"/>
  <c r="K540" i="14"/>
  <c r="D540" i="14"/>
  <c r="B542" i="14"/>
  <c r="I542" i="14"/>
  <c r="H543" i="14"/>
  <c r="B251" i="12"/>
  <c r="G252" i="12"/>
  <c r="E123" i="12"/>
  <c r="J124" i="12"/>
  <c r="F124" i="12" s="1"/>
  <c r="C119" i="11"/>
  <c r="K119" i="11" s="1"/>
  <c r="E119" i="11" s="1"/>
  <c r="J119" i="11"/>
  <c r="D119" i="11" s="1"/>
  <c r="F119" i="11" s="1"/>
  <c r="B120" i="11"/>
  <c r="H121" i="11"/>
  <c r="I120" i="11"/>
  <c r="B222" i="4"/>
  <c r="H223" i="4"/>
  <c r="I222" i="4"/>
  <c r="E220" i="4"/>
  <c r="F220" i="4" s="1"/>
  <c r="K220" i="4"/>
  <c r="D220" i="4" s="1"/>
  <c r="J239" i="14"/>
  <c r="C239" i="14"/>
  <c r="C221" i="4"/>
  <c r="J221" i="4"/>
  <c r="B117" i="16"/>
  <c r="G117" i="16"/>
  <c r="C117" i="16" s="1"/>
  <c r="D117" i="16" s="1"/>
  <c r="B240" i="14"/>
  <c r="I240" i="14"/>
  <c r="H241" i="14"/>
  <c r="F118" i="16"/>
  <c r="A118" i="16"/>
  <c r="E119" i="16"/>
  <c r="C125" i="12"/>
  <c r="I125" i="12"/>
  <c r="D125" i="12" s="1"/>
  <c r="G238" i="14"/>
  <c r="D238" i="14"/>
  <c r="B126" i="12"/>
  <c r="G127" i="12"/>
  <c r="H126" i="12"/>
  <c r="L540" i="14" l="1"/>
  <c r="F540" i="14"/>
  <c r="B543" i="14"/>
  <c r="I543" i="14"/>
  <c r="H544" i="14"/>
  <c r="J542" i="14"/>
  <c r="C542" i="14"/>
  <c r="G541" i="14"/>
  <c r="K541" i="14"/>
  <c r="D541" i="14"/>
  <c r="B252" i="12"/>
  <c r="G253" i="12"/>
  <c r="E124" i="12"/>
  <c r="J120" i="11"/>
  <c r="D120" i="11" s="1"/>
  <c r="F120" i="11" s="1"/>
  <c r="C120" i="11"/>
  <c r="K120" i="11" s="1"/>
  <c r="E120" i="11" s="1"/>
  <c r="I121" i="11"/>
  <c r="H122" i="11"/>
  <c r="B121" i="11"/>
  <c r="C126" i="12"/>
  <c r="I126" i="12"/>
  <c r="D126" i="12" s="1"/>
  <c r="G239" i="14"/>
  <c r="D239" i="14"/>
  <c r="B127" i="12"/>
  <c r="G128" i="12"/>
  <c r="H127" i="12"/>
  <c r="J125" i="12"/>
  <c r="F125" i="12" s="1"/>
  <c r="G118" i="16"/>
  <c r="C118" i="16" s="1"/>
  <c r="B118" i="16"/>
  <c r="C222" i="4"/>
  <c r="J222" i="4"/>
  <c r="B241" i="14"/>
  <c r="I241" i="14"/>
  <c r="H242" i="14"/>
  <c r="B223" i="4"/>
  <c r="H224" i="4"/>
  <c r="I223" i="4"/>
  <c r="E120" i="16"/>
  <c r="F119" i="16"/>
  <c r="A119" i="16"/>
  <c r="J240" i="14"/>
  <c r="C240" i="14"/>
  <c r="K221" i="4"/>
  <c r="D221" i="4" s="1"/>
  <c r="E221" i="4"/>
  <c r="F221" i="4" s="1"/>
  <c r="C543" i="14" l="1"/>
  <c r="J543" i="14"/>
  <c r="K542" i="14"/>
  <c r="D542" i="14"/>
  <c r="G542" i="14"/>
  <c r="F541" i="14"/>
  <c r="L541" i="14"/>
  <c r="B544" i="14"/>
  <c r="H545" i="14"/>
  <c r="I544" i="14"/>
  <c r="B253" i="12"/>
  <c r="G254" i="12"/>
  <c r="D118" i="16"/>
  <c r="J121" i="11"/>
  <c r="D121" i="11" s="1"/>
  <c r="F121" i="11" s="1"/>
  <c r="C121" i="11"/>
  <c r="K121" i="11" s="1"/>
  <c r="B122" i="11"/>
  <c r="I122" i="11"/>
  <c r="H123" i="11"/>
  <c r="J223" i="4"/>
  <c r="C223" i="4"/>
  <c r="J241" i="14"/>
  <c r="C241" i="14"/>
  <c r="E125" i="12"/>
  <c r="I127" i="12"/>
  <c r="D127" i="12" s="1"/>
  <c r="C127" i="12"/>
  <c r="A120" i="16"/>
  <c r="E121" i="16"/>
  <c r="F120" i="16"/>
  <c r="G129" i="12"/>
  <c r="H128" i="12"/>
  <c r="B128" i="12"/>
  <c r="G119" i="16"/>
  <c r="C119" i="16" s="1"/>
  <c r="D119" i="16" s="1"/>
  <c r="B119" i="16"/>
  <c r="H225" i="4"/>
  <c r="I224" i="4"/>
  <c r="B224" i="4"/>
  <c r="G240" i="14"/>
  <c r="D240" i="14"/>
  <c r="B242" i="14"/>
  <c r="I242" i="14"/>
  <c r="H243" i="14"/>
  <c r="K222" i="4"/>
  <c r="D222" i="4" s="1"/>
  <c r="E222" i="4"/>
  <c r="F222" i="4" s="1"/>
  <c r="J126" i="12"/>
  <c r="F126" i="12" s="1"/>
  <c r="B545" i="14" l="1"/>
  <c r="I545" i="14"/>
  <c r="H546" i="14"/>
  <c r="L542" i="14"/>
  <c r="F542" i="14"/>
  <c r="K543" i="14"/>
  <c r="G543" i="14"/>
  <c r="D543" i="14"/>
  <c r="C544" i="14"/>
  <c r="J544" i="14"/>
  <c r="G255" i="12"/>
  <c r="B254" i="12"/>
  <c r="C122" i="11"/>
  <c r="K122" i="11" s="1"/>
  <c r="E122" i="11" s="1"/>
  <c r="J122" i="11"/>
  <c r="D122" i="11" s="1"/>
  <c r="F122" i="11" s="1"/>
  <c r="E121" i="11"/>
  <c r="H124" i="11"/>
  <c r="B123" i="11"/>
  <c r="I123" i="11"/>
  <c r="J224" i="4"/>
  <c r="C224" i="4"/>
  <c r="J127" i="12"/>
  <c r="F127" i="12" s="1"/>
  <c r="H226" i="4"/>
  <c r="I225" i="4"/>
  <c r="B225" i="4"/>
  <c r="G241" i="14"/>
  <c r="D241" i="14"/>
  <c r="E126" i="12"/>
  <c r="B243" i="14"/>
  <c r="I243" i="14"/>
  <c r="H244" i="14"/>
  <c r="G130" i="12"/>
  <c r="H129" i="12"/>
  <c r="B129" i="12"/>
  <c r="F121" i="16"/>
  <c r="A121" i="16"/>
  <c r="E122" i="16"/>
  <c r="I128" i="12"/>
  <c r="D128" i="12" s="1"/>
  <c r="C128" i="12"/>
  <c r="G120" i="16"/>
  <c r="C120" i="16" s="1"/>
  <c r="D120" i="16" s="1"/>
  <c r="B120" i="16"/>
  <c r="J242" i="14"/>
  <c r="C242" i="14"/>
  <c r="K223" i="4"/>
  <c r="D223" i="4" s="1"/>
  <c r="E223" i="4"/>
  <c r="F223" i="4" s="1"/>
  <c r="I546" i="14" l="1"/>
  <c r="H547" i="14"/>
  <c r="B546" i="14"/>
  <c r="G544" i="14"/>
  <c r="K544" i="14"/>
  <c r="D544" i="14"/>
  <c r="L543" i="14"/>
  <c r="F543" i="14"/>
  <c r="J545" i="14"/>
  <c r="C545" i="14"/>
  <c r="G256" i="12"/>
  <c r="B255" i="12"/>
  <c r="H125" i="11"/>
  <c r="I124" i="11"/>
  <c r="B124" i="11"/>
  <c r="J123" i="11"/>
  <c r="D123" i="11" s="1"/>
  <c r="F123" i="11" s="1"/>
  <c r="C123" i="11"/>
  <c r="K123" i="11" s="1"/>
  <c r="E123" i="11" s="1"/>
  <c r="J128" i="12"/>
  <c r="F128" i="12" s="1"/>
  <c r="B121" i="16"/>
  <c r="G121" i="16"/>
  <c r="C121" i="16" s="1"/>
  <c r="D121" i="16" s="1"/>
  <c r="J243" i="14"/>
  <c r="C243" i="14"/>
  <c r="B226" i="4"/>
  <c r="H227" i="4"/>
  <c r="I226" i="4"/>
  <c r="F122" i="16"/>
  <c r="A122" i="16"/>
  <c r="E123" i="16"/>
  <c r="C129" i="12"/>
  <c r="I129" i="12"/>
  <c r="D129" i="12" s="1"/>
  <c r="E224" i="4"/>
  <c r="F224" i="4" s="1"/>
  <c r="K224" i="4"/>
  <c r="D224" i="4" s="1"/>
  <c r="G242" i="14"/>
  <c r="D242" i="14"/>
  <c r="B130" i="12"/>
  <c r="G131" i="12"/>
  <c r="H130" i="12"/>
  <c r="B244" i="14"/>
  <c r="I244" i="14"/>
  <c r="H245" i="14"/>
  <c r="C225" i="4"/>
  <c r="J225" i="4"/>
  <c r="E127" i="12"/>
  <c r="D545" i="14" l="1"/>
  <c r="G545" i="14"/>
  <c r="K545" i="14"/>
  <c r="F544" i="14"/>
  <c r="L544" i="14"/>
  <c r="C546" i="14"/>
  <c r="J546" i="14"/>
  <c r="I547" i="14"/>
  <c r="H548" i="14"/>
  <c r="B547" i="14"/>
  <c r="B256" i="12"/>
  <c r="G257" i="12"/>
  <c r="C124" i="11"/>
  <c r="K124" i="11" s="1"/>
  <c r="E124" i="11" s="1"/>
  <c r="J124" i="11"/>
  <c r="D124" i="11" s="1"/>
  <c r="F124" i="11" s="1"/>
  <c r="I125" i="11"/>
  <c r="B125" i="11"/>
  <c r="H126" i="11"/>
  <c r="G243" i="14"/>
  <c r="D243" i="14"/>
  <c r="C130" i="12"/>
  <c r="I130" i="12"/>
  <c r="D130" i="12" s="1"/>
  <c r="B131" i="12"/>
  <c r="G132" i="12"/>
  <c r="H131" i="12"/>
  <c r="J244" i="14"/>
  <c r="C244" i="14"/>
  <c r="J129" i="12"/>
  <c r="F129" i="12" s="1"/>
  <c r="B227" i="4"/>
  <c r="H228" i="4"/>
  <c r="I227" i="4"/>
  <c r="E128" i="12"/>
  <c r="B245" i="14"/>
  <c r="I245" i="14"/>
  <c r="H246" i="14"/>
  <c r="G122" i="16"/>
  <c r="C122" i="16" s="1"/>
  <c r="D122" i="16" s="1"/>
  <c r="B122" i="16"/>
  <c r="C226" i="4"/>
  <c r="J226" i="4"/>
  <c r="K225" i="4"/>
  <c r="D225" i="4" s="1"/>
  <c r="E225" i="4"/>
  <c r="F225" i="4" s="1"/>
  <c r="E124" i="16"/>
  <c r="F123" i="16"/>
  <c r="A123" i="16"/>
  <c r="D546" i="14" l="1"/>
  <c r="G546" i="14"/>
  <c r="K546" i="14"/>
  <c r="L545" i="14"/>
  <c r="F545" i="14"/>
  <c r="H549" i="14"/>
  <c r="I548" i="14"/>
  <c r="B548" i="14"/>
  <c r="J547" i="14"/>
  <c r="C547" i="14"/>
  <c r="B257" i="12"/>
  <c r="G258" i="12"/>
  <c r="I126" i="11"/>
  <c r="B126" i="11"/>
  <c r="H127" i="11"/>
  <c r="J130" i="12"/>
  <c r="F130" i="12" s="1"/>
  <c r="J125" i="11"/>
  <c r="D125" i="11" s="1"/>
  <c r="F125" i="11" s="1"/>
  <c r="C125" i="11"/>
  <c r="K125" i="11" s="1"/>
  <c r="E125" i="11" s="1"/>
  <c r="G123" i="16"/>
  <c r="C123" i="16" s="1"/>
  <c r="B123" i="16"/>
  <c r="I131" i="12"/>
  <c r="D131" i="12" s="1"/>
  <c r="C131" i="12"/>
  <c r="H229" i="4"/>
  <c r="I228" i="4"/>
  <c r="B228" i="4"/>
  <c r="G244" i="14"/>
  <c r="D244" i="14"/>
  <c r="K226" i="4"/>
  <c r="D226" i="4" s="1"/>
  <c r="E226" i="4"/>
  <c r="F226" i="4" s="1"/>
  <c r="B246" i="14"/>
  <c r="I246" i="14"/>
  <c r="H247" i="14"/>
  <c r="E129" i="12"/>
  <c r="G133" i="12"/>
  <c r="H132" i="12"/>
  <c r="B132" i="12"/>
  <c r="E130" i="12"/>
  <c r="A124" i="16"/>
  <c r="E125" i="16"/>
  <c r="F124" i="16"/>
  <c r="J245" i="14"/>
  <c r="C245" i="14"/>
  <c r="J227" i="4"/>
  <c r="C227" i="4"/>
  <c r="C548" i="14" l="1"/>
  <c r="J548" i="14"/>
  <c r="L546" i="14"/>
  <c r="F546" i="14"/>
  <c r="B549" i="14"/>
  <c r="H550" i="14"/>
  <c r="I549" i="14"/>
  <c r="K547" i="14"/>
  <c r="D547" i="14"/>
  <c r="G547" i="14"/>
  <c r="B258" i="12"/>
  <c r="D123" i="16"/>
  <c r="I127" i="11"/>
  <c r="B127" i="11"/>
  <c r="H128" i="11"/>
  <c r="J126" i="11"/>
  <c r="D126" i="11" s="1"/>
  <c r="F126" i="11" s="1"/>
  <c r="C126" i="11"/>
  <c r="K126" i="11" s="1"/>
  <c r="E126" i="11" s="1"/>
  <c r="G124" i="16"/>
  <c r="C124" i="16" s="1"/>
  <c r="B124" i="16"/>
  <c r="J131" i="12"/>
  <c r="F131" i="12" s="1"/>
  <c r="F125" i="16"/>
  <c r="A125" i="16"/>
  <c r="E126" i="16"/>
  <c r="I132" i="12"/>
  <c r="D132" i="12" s="1"/>
  <c r="C132" i="12"/>
  <c r="B247" i="14"/>
  <c r="I247" i="14"/>
  <c r="H248" i="14"/>
  <c r="J228" i="4"/>
  <c r="C228" i="4"/>
  <c r="K227" i="4"/>
  <c r="D227" i="4" s="1"/>
  <c r="E227" i="4"/>
  <c r="F227" i="4" s="1"/>
  <c r="G245" i="14"/>
  <c r="D245" i="14"/>
  <c r="G134" i="12"/>
  <c r="H133" i="12"/>
  <c r="B133" i="12"/>
  <c r="J246" i="14"/>
  <c r="C246" i="14"/>
  <c r="H230" i="4"/>
  <c r="I229" i="4"/>
  <c r="B229" i="4"/>
  <c r="F547" i="14" l="1"/>
  <c r="L547" i="14"/>
  <c r="J549" i="14"/>
  <c r="C549" i="14"/>
  <c r="I550" i="14"/>
  <c r="H551" i="14"/>
  <c r="B550" i="14"/>
  <c r="D548" i="14"/>
  <c r="G548" i="14"/>
  <c r="K548" i="14"/>
  <c r="J132" i="12"/>
  <c r="D124" i="16"/>
  <c r="J127" i="11"/>
  <c r="D127" i="11" s="1"/>
  <c r="F127" i="11" s="1"/>
  <c r="C127" i="11"/>
  <c r="K127" i="11" s="1"/>
  <c r="I128" i="11"/>
  <c r="B128" i="11"/>
  <c r="H129" i="11"/>
  <c r="B230" i="4"/>
  <c r="H231" i="4"/>
  <c r="I230" i="4"/>
  <c r="C133" i="12"/>
  <c r="I133" i="12"/>
  <c r="D133" i="12" s="1"/>
  <c r="B134" i="12"/>
  <c r="G135" i="12"/>
  <c r="H134" i="12"/>
  <c r="B248" i="14"/>
  <c r="I248" i="14"/>
  <c r="H249" i="14"/>
  <c r="E131" i="12"/>
  <c r="G246" i="14"/>
  <c r="D246" i="14"/>
  <c r="J247" i="14"/>
  <c r="C247" i="14"/>
  <c r="F126" i="16"/>
  <c r="A126" i="16"/>
  <c r="E127" i="16"/>
  <c r="C229" i="4"/>
  <c r="J229" i="4"/>
  <c r="E228" i="4"/>
  <c r="F228" i="4" s="1"/>
  <c r="K228" i="4"/>
  <c r="D228" i="4" s="1"/>
  <c r="B125" i="16"/>
  <c r="G125" i="16"/>
  <c r="C125" i="16" s="1"/>
  <c r="L548" i="14" l="1"/>
  <c r="F548" i="14"/>
  <c r="B551" i="14"/>
  <c r="I551" i="14"/>
  <c r="H552" i="14"/>
  <c r="D549" i="14"/>
  <c r="G549" i="14"/>
  <c r="K549" i="14"/>
  <c r="C550" i="14"/>
  <c r="J550" i="14"/>
  <c r="E132" i="12"/>
  <c r="F132" i="12"/>
  <c r="J133" i="12"/>
  <c r="D125" i="16"/>
  <c r="H130" i="11"/>
  <c r="I129" i="11"/>
  <c r="B129" i="11"/>
  <c r="J128" i="11"/>
  <c r="D128" i="11" s="1"/>
  <c r="F128" i="11" s="1"/>
  <c r="C128" i="11"/>
  <c r="K128" i="11" s="1"/>
  <c r="E128" i="11" s="1"/>
  <c r="E127" i="11"/>
  <c r="J248" i="14"/>
  <c r="C248" i="14"/>
  <c r="C134" i="12"/>
  <c r="I134" i="12"/>
  <c r="D134" i="12" s="1"/>
  <c r="K229" i="4"/>
  <c r="D229" i="4" s="1"/>
  <c r="E229" i="4"/>
  <c r="F229" i="4" s="1"/>
  <c r="G126" i="16"/>
  <c r="C126" i="16" s="1"/>
  <c r="D126" i="16" s="1"/>
  <c r="B126" i="16"/>
  <c r="B135" i="12"/>
  <c r="G136" i="12"/>
  <c r="H135" i="12"/>
  <c r="C230" i="4"/>
  <c r="J230" i="4"/>
  <c r="B231" i="4"/>
  <c r="H232" i="4"/>
  <c r="I231" i="4"/>
  <c r="E128" i="16"/>
  <c r="F127" i="16"/>
  <c r="A127" i="16"/>
  <c r="G247" i="14"/>
  <c r="D247" i="14"/>
  <c r="B249" i="14"/>
  <c r="I249" i="14"/>
  <c r="H250" i="14"/>
  <c r="F549" i="14" l="1"/>
  <c r="L549" i="14"/>
  <c r="J551" i="14"/>
  <c r="C551" i="14"/>
  <c r="B552" i="14"/>
  <c r="I552" i="14"/>
  <c r="G550" i="14"/>
  <c r="D550" i="14"/>
  <c r="K550" i="14"/>
  <c r="E133" i="12"/>
  <c r="F133" i="12"/>
  <c r="I130" i="11"/>
  <c r="H131" i="11"/>
  <c r="B130" i="11"/>
  <c r="J129" i="11"/>
  <c r="D129" i="11" s="1"/>
  <c r="F129" i="11" s="1"/>
  <c r="C129" i="11"/>
  <c r="K129" i="11" s="1"/>
  <c r="J249" i="14"/>
  <c r="C249" i="14"/>
  <c r="A128" i="16"/>
  <c r="E129" i="16"/>
  <c r="F128" i="16"/>
  <c r="B250" i="14"/>
  <c r="I250" i="14"/>
  <c r="H251" i="14"/>
  <c r="J231" i="4"/>
  <c r="C231" i="4"/>
  <c r="H233" i="4"/>
  <c r="I232" i="4"/>
  <c r="B232" i="4"/>
  <c r="I135" i="12"/>
  <c r="D135" i="12" s="1"/>
  <c r="C135" i="12"/>
  <c r="G127" i="16"/>
  <c r="C127" i="16" s="1"/>
  <c r="D127" i="16" s="1"/>
  <c r="B127" i="16"/>
  <c r="G248" i="14"/>
  <c r="D248" i="14"/>
  <c r="H136" i="12"/>
  <c r="B136" i="12"/>
  <c r="G137" i="12"/>
  <c r="K230" i="4"/>
  <c r="D230" i="4" s="1"/>
  <c r="E230" i="4"/>
  <c r="F230" i="4" s="1"/>
  <c r="J134" i="12"/>
  <c r="F134" i="12" s="1"/>
  <c r="G551" i="14" l="1"/>
  <c r="K551" i="14"/>
  <c r="D551" i="14"/>
  <c r="L550" i="14"/>
  <c r="F550" i="14"/>
  <c r="C552" i="14"/>
  <c r="J552" i="14"/>
  <c r="C130" i="11"/>
  <c r="K130" i="11" s="1"/>
  <c r="E130" i="11" s="1"/>
  <c r="J130" i="11"/>
  <c r="D130" i="11" s="1"/>
  <c r="F130" i="11" s="1"/>
  <c r="E129" i="11"/>
  <c r="B131" i="11"/>
  <c r="I131" i="11"/>
  <c r="H132" i="11"/>
  <c r="J135" i="12"/>
  <c r="F135" i="12" s="1"/>
  <c r="H234" i="4"/>
  <c r="I233" i="4"/>
  <c r="B233" i="4"/>
  <c r="J250" i="14"/>
  <c r="C250" i="14"/>
  <c r="G128" i="16"/>
  <c r="C128" i="16" s="1"/>
  <c r="B128" i="16"/>
  <c r="E134" i="12"/>
  <c r="B137" i="12"/>
  <c r="G138" i="12"/>
  <c r="H137" i="12"/>
  <c r="K231" i="4"/>
  <c r="D231" i="4" s="1"/>
  <c r="E231" i="4"/>
  <c r="F231" i="4" s="1"/>
  <c r="C136" i="12"/>
  <c r="I136" i="12"/>
  <c r="D136" i="12" s="1"/>
  <c r="J232" i="4"/>
  <c r="C232" i="4"/>
  <c r="B251" i="14"/>
  <c r="I251" i="14"/>
  <c r="H252" i="14"/>
  <c r="F129" i="16"/>
  <c r="A129" i="16"/>
  <c r="E130" i="16"/>
  <c r="G249" i="14"/>
  <c r="D249" i="14"/>
  <c r="G552" i="14" l="1"/>
  <c r="K552" i="14"/>
  <c r="D552" i="14"/>
  <c r="F551" i="14"/>
  <c r="L551" i="14"/>
  <c r="J136" i="12"/>
  <c r="F136" i="12" s="1"/>
  <c r="D128" i="16"/>
  <c r="J131" i="11"/>
  <c r="D131" i="11" s="1"/>
  <c r="F131" i="11" s="1"/>
  <c r="C131" i="11"/>
  <c r="K131" i="11" s="1"/>
  <c r="H133" i="11"/>
  <c r="B132" i="11"/>
  <c r="I132" i="11"/>
  <c r="B129" i="16"/>
  <c r="G129" i="16"/>
  <c r="C129" i="16" s="1"/>
  <c r="D129" i="16" s="1"/>
  <c r="H138" i="12"/>
  <c r="H139" i="12" s="1"/>
  <c r="B138" i="12"/>
  <c r="F130" i="16"/>
  <c r="A130" i="16"/>
  <c r="E131" i="16"/>
  <c r="J251" i="14"/>
  <c r="C251" i="14"/>
  <c r="G250" i="14"/>
  <c r="D250" i="14"/>
  <c r="E135" i="12"/>
  <c r="I137" i="12"/>
  <c r="D137" i="12" s="1"/>
  <c r="C137" i="12"/>
  <c r="C233" i="4"/>
  <c r="J233" i="4"/>
  <c r="B252" i="14"/>
  <c r="I252" i="14"/>
  <c r="H253" i="14"/>
  <c r="E232" i="4"/>
  <c r="F232" i="4" s="1"/>
  <c r="K232" i="4"/>
  <c r="D232" i="4" s="1"/>
  <c r="B234" i="4"/>
  <c r="H235" i="4"/>
  <c r="I234" i="4"/>
  <c r="F552" i="14" l="1"/>
  <c r="L552" i="14"/>
  <c r="C139" i="12"/>
  <c r="H140" i="12"/>
  <c r="E136" i="12"/>
  <c r="J132" i="11"/>
  <c r="D132" i="11" s="1"/>
  <c r="F132" i="11" s="1"/>
  <c r="C132" i="11"/>
  <c r="K132" i="11" s="1"/>
  <c r="E132" i="11" s="1"/>
  <c r="J137" i="12"/>
  <c r="H134" i="11"/>
  <c r="B133" i="11"/>
  <c r="I133" i="11"/>
  <c r="E131" i="11"/>
  <c r="K233" i="4"/>
  <c r="D233" i="4" s="1"/>
  <c r="E233" i="4"/>
  <c r="F233" i="4" s="1"/>
  <c r="B235" i="4"/>
  <c r="H236" i="4"/>
  <c r="I235" i="4"/>
  <c r="B253" i="14"/>
  <c r="I253" i="14"/>
  <c r="H254" i="14"/>
  <c r="E132" i="16"/>
  <c r="F131" i="16"/>
  <c r="A131" i="16"/>
  <c r="I138" i="12"/>
  <c r="D138" i="12" s="1"/>
  <c r="C138" i="12"/>
  <c r="G130" i="16"/>
  <c r="C130" i="16" s="1"/>
  <c r="D130" i="16" s="1"/>
  <c r="B130" i="16"/>
  <c r="J252" i="14"/>
  <c r="C252" i="14"/>
  <c r="C234" i="4"/>
  <c r="J234" i="4"/>
  <c r="G251" i="14"/>
  <c r="D251" i="14"/>
  <c r="C140" i="12" l="1"/>
  <c r="H141" i="12"/>
  <c r="I139" i="12"/>
  <c r="D139" i="12" s="1"/>
  <c r="J139" i="12" s="1"/>
  <c r="E137" i="12"/>
  <c r="F137" i="12"/>
  <c r="J138" i="12"/>
  <c r="C133" i="11"/>
  <c r="K133" i="11" s="1"/>
  <c r="J133" i="11"/>
  <c r="D133" i="11" s="1"/>
  <c r="F133" i="11" s="1"/>
  <c r="I134" i="11"/>
  <c r="H135" i="11"/>
  <c r="B134" i="11"/>
  <c r="K234" i="4"/>
  <c r="D234" i="4" s="1"/>
  <c r="E234" i="4"/>
  <c r="F234" i="4" s="1"/>
  <c r="G252" i="14"/>
  <c r="D252" i="14"/>
  <c r="B254" i="14"/>
  <c r="I254" i="14"/>
  <c r="H255" i="14"/>
  <c r="H237" i="4"/>
  <c r="I236" i="4"/>
  <c r="B236" i="4"/>
  <c r="G131" i="16"/>
  <c r="C131" i="16" s="1"/>
  <c r="D131" i="16" s="1"/>
  <c r="B131" i="16"/>
  <c r="J253" i="14"/>
  <c r="C253" i="14"/>
  <c r="A132" i="16"/>
  <c r="E133" i="16"/>
  <c r="F132" i="16"/>
  <c r="J235" i="4"/>
  <c r="C235" i="4"/>
  <c r="F139" i="12" l="1"/>
  <c r="E139" i="12"/>
  <c r="H142" i="12"/>
  <c r="C141" i="12"/>
  <c r="I140" i="12"/>
  <c r="D140" i="12" s="1"/>
  <c r="J140" i="12" s="1"/>
  <c r="E138" i="12"/>
  <c r="F138" i="12"/>
  <c r="I135" i="11"/>
  <c r="H136" i="11"/>
  <c r="B135" i="11"/>
  <c r="C134" i="11"/>
  <c r="K134" i="11" s="1"/>
  <c r="J134" i="11"/>
  <c r="D134" i="11" s="1"/>
  <c r="F134" i="11" s="1"/>
  <c r="E133" i="11"/>
  <c r="G253" i="14"/>
  <c r="D253" i="14"/>
  <c r="F133" i="16"/>
  <c r="A133" i="16"/>
  <c r="E134" i="16"/>
  <c r="H238" i="4"/>
  <c r="I237" i="4"/>
  <c r="B237" i="4"/>
  <c r="K235" i="4"/>
  <c r="D235" i="4" s="1"/>
  <c r="E235" i="4"/>
  <c r="F235" i="4" s="1"/>
  <c r="J254" i="14"/>
  <c r="C254" i="14"/>
  <c r="B255" i="14"/>
  <c r="I255" i="14"/>
  <c r="H256" i="14"/>
  <c r="G132" i="16"/>
  <c r="C132" i="16" s="1"/>
  <c r="B132" i="16"/>
  <c r="J236" i="4"/>
  <c r="C236" i="4"/>
  <c r="E140" i="12" l="1"/>
  <c r="F140" i="12"/>
  <c r="I142" i="12"/>
  <c r="D142" i="12" s="1"/>
  <c r="H143" i="12"/>
  <c r="C142" i="12"/>
  <c r="I141" i="12"/>
  <c r="D141" i="12" s="1"/>
  <c r="J141" i="12"/>
  <c r="D132" i="16"/>
  <c r="E134" i="11"/>
  <c r="I136" i="11"/>
  <c r="H137" i="11"/>
  <c r="B136" i="11"/>
  <c r="J135" i="11"/>
  <c r="D135" i="11" s="1"/>
  <c r="F135" i="11" s="1"/>
  <c r="C135" i="11"/>
  <c r="K135" i="11" s="1"/>
  <c r="B256" i="14"/>
  <c r="I256" i="14"/>
  <c r="H257" i="14"/>
  <c r="G254" i="14"/>
  <c r="D254" i="14"/>
  <c r="J255" i="14"/>
  <c r="C255" i="14"/>
  <c r="E236" i="4"/>
  <c r="F236" i="4" s="1"/>
  <c r="K236" i="4"/>
  <c r="D236" i="4" s="1"/>
  <c r="C237" i="4"/>
  <c r="J237" i="4"/>
  <c r="B133" i="16"/>
  <c r="G133" i="16"/>
  <c r="C133" i="16" s="1"/>
  <c r="D133" i="16" s="1"/>
  <c r="B238" i="4"/>
  <c r="H239" i="4"/>
  <c r="I238" i="4"/>
  <c r="F134" i="16"/>
  <c r="A134" i="16"/>
  <c r="E135" i="16"/>
  <c r="C143" i="12" l="1"/>
  <c r="H144" i="12"/>
  <c r="I143" i="12"/>
  <c r="D143" i="12" s="1"/>
  <c r="E141" i="12"/>
  <c r="F141" i="12"/>
  <c r="J142" i="12"/>
  <c r="I137" i="11"/>
  <c r="H138" i="11"/>
  <c r="B137" i="11"/>
  <c r="E135" i="11"/>
  <c r="J136" i="11"/>
  <c r="D136" i="11" s="1"/>
  <c r="F136" i="11" s="1"/>
  <c r="C136" i="11"/>
  <c r="K136" i="11" s="1"/>
  <c r="E136" i="11" s="1"/>
  <c r="G134" i="16"/>
  <c r="C134" i="16" s="1"/>
  <c r="B134" i="16"/>
  <c r="E136" i="16"/>
  <c r="F135" i="16"/>
  <c r="A135" i="16"/>
  <c r="B239" i="4"/>
  <c r="H240" i="4"/>
  <c r="I239" i="4"/>
  <c r="K237" i="4"/>
  <c r="D237" i="4" s="1"/>
  <c r="E237" i="4"/>
  <c r="F237" i="4" s="1"/>
  <c r="J256" i="14"/>
  <c r="C256" i="14"/>
  <c r="C238" i="4"/>
  <c r="J238" i="4"/>
  <c r="G255" i="14"/>
  <c r="D255" i="14"/>
  <c r="B257" i="14"/>
  <c r="I257" i="14"/>
  <c r="H258" i="14"/>
  <c r="E142" i="12" l="1"/>
  <c r="F142" i="12"/>
  <c r="H145" i="12"/>
  <c r="C144" i="12"/>
  <c r="I144" i="12"/>
  <c r="D144" i="12" s="1"/>
  <c r="J143" i="12"/>
  <c r="D134" i="16"/>
  <c r="B138" i="11"/>
  <c r="H139" i="11"/>
  <c r="I138" i="11"/>
  <c r="C137" i="11"/>
  <c r="K137" i="11" s="1"/>
  <c r="E137" i="11" s="1"/>
  <c r="J137" i="11"/>
  <c r="D137" i="11" s="1"/>
  <c r="F137" i="11" s="1"/>
  <c r="H241" i="4"/>
  <c r="I240" i="4"/>
  <c r="B240" i="4"/>
  <c r="B258" i="14"/>
  <c r="I258" i="14"/>
  <c r="H259" i="14"/>
  <c r="J257" i="14"/>
  <c r="C257" i="14"/>
  <c r="K238" i="4"/>
  <c r="D238" i="4" s="1"/>
  <c r="E238" i="4"/>
  <c r="F238" i="4" s="1"/>
  <c r="G256" i="14"/>
  <c r="D256" i="14"/>
  <c r="J239" i="4"/>
  <c r="C239" i="4"/>
  <c r="G135" i="16"/>
  <c r="C135" i="16" s="1"/>
  <c r="B135" i="16"/>
  <c r="A136" i="16"/>
  <c r="E137" i="16"/>
  <c r="F136" i="16"/>
  <c r="H146" i="12" l="1"/>
  <c r="I145" i="12"/>
  <c r="D145" i="12" s="1"/>
  <c r="C145" i="12"/>
  <c r="J145" i="12" s="1"/>
  <c r="J144" i="12"/>
  <c r="F143" i="12"/>
  <c r="E143" i="12"/>
  <c r="D135" i="16"/>
  <c r="J138" i="11"/>
  <c r="D138" i="11" s="1"/>
  <c r="F138" i="11" s="1"/>
  <c r="C138" i="11"/>
  <c r="K138" i="11" s="1"/>
  <c r="E138" i="11" s="1"/>
  <c r="H140" i="11"/>
  <c r="B139" i="11"/>
  <c r="I139" i="11"/>
  <c r="G136" i="16"/>
  <c r="C136" i="16" s="1"/>
  <c r="B136" i="16"/>
  <c r="K239" i="4"/>
  <c r="D239" i="4" s="1"/>
  <c r="E239" i="4"/>
  <c r="F239" i="4" s="1"/>
  <c r="J258" i="14"/>
  <c r="C258" i="14"/>
  <c r="H242" i="4"/>
  <c r="I241" i="4"/>
  <c r="B241" i="4"/>
  <c r="G257" i="14"/>
  <c r="D257" i="14"/>
  <c r="F137" i="16"/>
  <c r="A137" i="16"/>
  <c r="E138" i="16"/>
  <c r="B259" i="14"/>
  <c r="I259" i="14"/>
  <c r="H260" i="14"/>
  <c r="J240" i="4"/>
  <c r="C240" i="4"/>
  <c r="E145" i="12" l="1"/>
  <c r="F145" i="12"/>
  <c r="E144" i="12"/>
  <c r="F144" i="12"/>
  <c r="C146" i="12"/>
  <c r="H147" i="12"/>
  <c r="I146" i="12"/>
  <c r="D146" i="12" s="1"/>
  <c r="D136" i="16"/>
  <c r="B140" i="11"/>
  <c r="H141" i="11"/>
  <c r="I140" i="11"/>
  <c r="C139" i="11"/>
  <c r="K139" i="11" s="1"/>
  <c r="E139" i="11" s="1"/>
  <c r="J139" i="11"/>
  <c r="D139" i="11" s="1"/>
  <c r="F139" i="11" s="1"/>
  <c r="B260" i="14"/>
  <c r="I260" i="14"/>
  <c r="H261" i="14"/>
  <c r="H262" i="14" s="1"/>
  <c r="B137" i="16"/>
  <c r="G137" i="16"/>
  <c r="C137" i="16" s="1"/>
  <c r="D137" i="16" s="1"/>
  <c r="C241" i="4"/>
  <c r="J241" i="4"/>
  <c r="J259" i="14"/>
  <c r="C259" i="14"/>
  <c r="B242" i="4"/>
  <c r="H243" i="4"/>
  <c r="I242" i="4"/>
  <c r="F138" i="16"/>
  <c r="A138" i="16"/>
  <c r="E139" i="16"/>
  <c r="E240" i="4"/>
  <c r="F240" i="4" s="1"/>
  <c r="K240" i="4"/>
  <c r="D240" i="4" s="1"/>
  <c r="G258" i="14"/>
  <c r="D258" i="14"/>
  <c r="B262" i="14" l="1"/>
  <c r="H263" i="14"/>
  <c r="H148" i="12"/>
  <c r="C147" i="12"/>
  <c r="I147" i="12"/>
  <c r="D147" i="12" s="1"/>
  <c r="J146" i="12"/>
  <c r="J140" i="11"/>
  <c r="D140" i="11" s="1"/>
  <c r="F140" i="11" s="1"/>
  <c r="C140" i="11"/>
  <c r="K140" i="11" s="1"/>
  <c r="B141" i="11"/>
  <c r="H142" i="11"/>
  <c r="I141" i="11"/>
  <c r="J260" i="14"/>
  <c r="C260" i="14"/>
  <c r="E140" i="16"/>
  <c r="F139" i="16"/>
  <c r="A139" i="16"/>
  <c r="C242" i="4"/>
  <c r="J242" i="4"/>
  <c r="G138" i="16"/>
  <c r="C138" i="16" s="1"/>
  <c r="B138" i="16"/>
  <c r="B243" i="4"/>
  <c r="H244" i="4"/>
  <c r="I243" i="4"/>
  <c r="G259" i="14"/>
  <c r="D259" i="14"/>
  <c r="K241" i="4"/>
  <c r="D241" i="4" s="1"/>
  <c r="E241" i="4"/>
  <c r="F241" i="4" s="1"/>
  <c r="B261" i="14"/>
  <c r="I261" i="14"/>
  <c r="I262" i="14" s="1"/>
  <c r="C262" i="14" l="1"/>
  <c r="B263" i="14"/>
  <c r="H264" i="14"/>
  <c r="I263" i="14"/>
  <c r="E146" i="12"/>
  <c r="F146" i="12"/>
  <c r="J147" i="12"/>
  <c r="C148" i="12"/>
  <c r="I148" i="12"/>
  <c r="D148" i="12" s="1"/>
  <c r="H149" i="12"/>
  <c r="D138" i="16"/>
  <c r="H143" i="11"/>
  <c r="I142" i="11"/>
  <c r="B142" i="11"/>
  <c r="J141" i="11"/>
  <c r="D141" i="11" s="1"/>
  <c r="F141" i="11" s="1"/>
  <c r="C141" i="11"/>
  <c r="K141" i="11" s="1"/>
  <c r="E140" i="11"/>
  <c r="H245" i="4"/>
  <c r="I244" i="4"/>
  <c r="B244" i="4"/>
  <c r="G139" i="16"/>
  <c r="C139" i="16" s="1"/>
  <c r="B139" i="16"/>
  <c r="J261" i="14"/>
  <c r="J262" i="14" s="1"/>
  <c r="C261" i="14"/>
  <c r="J243" i="4"/>
  <c r="C243" i="4"/>
  <c r="K242" i="4"/>
  <c r="D242" i="4" s="1"/>
  <c r="E242" i="4"/>
  <c r="F242" i="4" s="1"/>
  <c r="A140" i="16"/>
  <c r="E141" i="16"/>
  <c r="F140" i="16"/>
  <c r="G260" i="14"/>
  <c r="D260" i="14"/>
  <c r="G262" i="14" l="1"/>
  <c r="D262" i="14"/>
  <c r="B264" i="14"/>
  <c r="H265" i="14"/>
  <c r="I264" i="14"/>
  <c r="J263" i="14"/>
  <c r="C263" i="14"/>
  <c r="E147" i="12"/>
  <c r="F147" i="12"/>
  <c r="J148" i="12"/>
  <c r="H150" i="12"/>
  <c r="I149" i="12"/>
  <c r="D149" i="12" s="1"/>
  <c r="C149" i="12"/>
  <c r="J149" i="12" s="1"/>
  <c r="D139" i="16"/>
  <c r="C142" i="11"/>
  <c r="K142" i="11" s="1"/>
  <c r="E142" i="11" s="1"/>
  <c r="J142" i="11"/>
  <c r="D142" i="11" s="1"/>
  <c r="F142" i="11" s="1"/>
  <c r="E141" i="11"/>
  <c r="I143" i="11"/>
  <c r="B143" i="11"/>
  <c r="H144" i="11"/>
  <c r="K243" i="4"/>
  <c r="D243" i="4" s="1"/>
  <c r="E243" i="4"/>
  <c r="F243" i="4" s="1"/>
  <c r="G140" i="16"/>
  <c r="C140" i="16" s="1"/>
  <c r="D140" i="16" s="1"/>
  <c r="B140" i="16"/>
  <c r="G261" i="14"/>
  <c r="D261" i="14"/>
  <c r="H246" i="4"/>
  <c r="I245" i="4"/>
  <c r="B245" i="4"/>
  <c r="F141" i="16"/>
  <c r="A141" i="16"/>
  <c r="E142" i="16"/>
  <c r="J244" i="4"/>
  <c r="C244" i="4"/>
  <c r="D263" i="14" l="1"/>
  <c r="G263" i="14"/>
  <c r="J264" i="14"/>
  <c r="C264" i="14"/>
  <c r="B265" i="14"/>
  <c r="H266" i="14"/>
  <c r="I265" i="14"/>
  <c r="F148" i="12"/>
  <c r="E148" i="12"/>
  <c r="I150" i="12"/>
  <c r="D150" i="12" s="1"/>
  <c r="H151" i="12"/>
  <c r="C150" i="12"/>
  <c r="E149" i="12"/>
  <c r="F149" i="12"/>
  <c r="C143" i="11"/>
  <c r="K143" i="11" s="1"/>
  <c r="E143" i="11" s="1"/>
  <c r="J143" i="11"/>
  <c r="D143" i="11" s="1"/>
  <c r="F143" i="11" s="1"/>
  <c r="I144" i="11"/>
  <c r="B144" i="11"/>
  <c r="H145" i="11"/>
  <c r="B141" i="16"/>
  <c r="G141" i="16"/>
  <c r="C141" i="16" s="1"/>
  <c r="D141" i="16" s="1"/>
  <c r="E244" i="4"/>
  <c r="F244" i="4" s="1"/>
  <c r="K244" i="4"/>
  <c r="D244" i="4" s="1"/>
  <c r="F142" i="16"/>
  <c r="A142" i="16"/>
  <c r="E143" i="16"/>
  <c r="J245" i="4"/>
  <c r="C245" i="4"/>
  <c r="H247" i="4"/>
  <c r="I246" i="4"/>
  <c r="B246" i="4"/>
  <c r="C265" i="14" l="1"/>
  <c r="J265" i="14"/>
  <c r="G264" i="14"/>
  <c r="D264" i="14"/>
  <c r="B266" i="14"/>
  <c r="H267" i="14"/>
  <c r="I266" i="14"/>
  <c r="J150" i="12"/>
  <c r="C151" i="12"/>
  <c r="J151" i="12" s="1"/>
  <c r="H152" i="12"/>
  <c r="I151" i="12"/>
  <c r="D151" i="12" s="1"/>
  <c r="J144" i="11"/>
  <c r="D144" i="11" s="1"/>
  <c r="F144" i="11" s="1"/>
  <c r="C144" i="11"/>
  <c r="K144" i="11" s="1"/>
  <c r="E144" i="11" s="1"/>
  <c r="H146" i="11"/>
  <c r="I145" i="11"/>
  <c r="B145" i="11"/>
  <c r="G142" i="16"/>
  <c r="C142" i="16" s="1"/>
  <c r="D142" i="16" s="1"/>
  <c r="B142" i="16"/>
  <c r="C246" i="4"/>
  <c r="J246" i="4"/>
  <c r="K245" i="4"/>
  <c r="D245" i="4" s="1"/>
  <c r="E245" i="4"/>
  <c r="F245" i="4" s="1"/>
  <c r="H248" i="4"/>
  <c r="B247" i="4"/>
  <c r="I247" i="4"/>
  <c r="E144" i="16"/>
  <c r="F143" i="16"/>
  <c r="A143" i="16"/>
  <c r="J266" i="14" l="1"/>
  <c r="C266" i="14"/>
  <c r="B267" i="14"/>
  <c r="H268" i="14"/>
  <c r="I267" i="14"/>
  <c r="D265" i="14"/>
  <c r="G265" i="14"/>
  <c r="H153" i="12"/>
  <c r="C152" i="12"/>
  <c r="I152" i="12"/>
  <c r="D152" i="12" s="1"/>
  <c r="E151" i="12"/>
  <c r="F151" i="12"/>
  <c r="F150" i="12"/>
  <c r="E150" i="12"/>
  <c r="J145" i="11"/>
  <c r="D145" i="11" s="1"/>
  <c r="F145" i="11" s="1"/>
  <c r="C145" i="11"/>
  <c r="K145" i="11" s="1"/>
  <c r="B146" i="11"/>
  <c r="I146" i="11"/>
  <c r="H147" i="11"/>
  <c r="G143" i="16"/>
  <c r="C143" i="16" s="1"/>
  <c r="B143" i="16"/>
  <c r="A144" i="16"/>
  <c r="E145" i="16"/>
  <c r="F144" i="16"/>
  <c r="B248" i="4"/>
  <c r="H249" i="4"/>
  <c r="I248" i="4"/>
  <c r="C247" i="4"/>
  <c r="J247" i="4"/>
  <c r="K246" i="4"/>
  <c r="D246" i="4" s="1"/>
  <c r="E246" i="4"/>
  <c r="F246" i="4" s="1"/>
  <c r="C267" i="14" l="1"/>
  <c r="J267" i="14"/>
  <c r="G266" i="14"/>
  <c r="D266" i="14"/>
  <c r="B268" i="14"/>
  <c r="H269" i="14"/>
  <c r="I268" i="14"/>
  <c r="J152" i="12"/>
  <c r="H154" i="12"/>
  <c r="I153" i="12"/>
  <c r="D153" i="12" s="1"/>
  <c r="C153" i="12"/>
  <c r="D143" i="16"/>
  <c r="C146" i="11"/>
  <c r="K146" i="11" s="1"/>
  <c r="J146" i="11"/>
  <c r="D146" i="11" s="1"/>
  <c r="F146" i="11" s="1"/>
  <c r="E145" i="11"/>
  <c r="H148" i="11"/>
  <c r="B147" i="11"/>
  <c r="I147" i="11"/>
  <c r="F145" i="16"/>
  <c r="A145" i="16"/>
  <c r="E146" i="16"/>
  <c r="J248" i="4"/>
  <c r="C248" i="4"/>
  <c r="H250" i="4"/>
  <c r="I249" i="4"/>
  <c r="B249" i="4"/>
  <c r="K247" i="4"/>
  <c r="D247" i="4" s="1"/>
  <c r="E247" i="4"/>
  <c r="F247" i="4" s="1"/>
  <c r="G144" i="16"/>
  <c r="C144" i="16" s="1"/>
  <c r="B144" i="16"/>
  <c r="J268" i="14" l="1"/>
  <c r="C268" i="14"/>
  <c r="B269" i="14"/>
  <c r="H270" i="14"/>
  <c r="I269" i="14"/>
  <c r="G267" i="14"/>
  <c r="D267" i="14"/>
  <c r="J153" i="12"/>
  <c r="C154" i="12"/>
  <c r="J154" i="12" s="1"/>
  <c r="H155" i="12"/>
  <c r="I154" i="12"/>
  <c r="D154" i="12" s="1"/>
  <c r="E152" i="12"/>
  <c r="F152" i="12"/>
  <c r="D144" i="16"/>
  <c r="B148" i="11"/>
  <c r="H149" i="11"/>
  <c r="I148" i="11"/>
  <c r="J147" i="11"/>
  <c r="D147" i="11" s="1"/>
  <c r="F147" i="11" s="1"/>
  <c r="C147" i="11"/>
  <c r="K147" i="11" s="1"/>
  <c r="E146" i="11"/>
  <c r="J249" i="4"/>
  <c r="C249" i="4"/>
  <c r="H251" i="4"/>
  <c r="I250" i="4"/>
  <c r="B250" i="4"/>
  <c r="F146" i="16"/>
  <c r="A146" i="16"/>
  <c r="E147" i="16"/>
  <c r="K248" i="4"/>
  <c r="D248" i="4" s="1"/>
  <c r="E248" i="4"/>
  <c r="F248" i="4" s="1"/>
  <c r="B145" i="16"/>
  <c r="G145" i="16"/>
  <c r="C145" i="16" s="1"/>
  <c r="D145" i="16" s="1"/>
  <c r="C269" i="14" l="1"/>
  <c r="J269" i="14"/>
  <c r="D268" i="14"/>
  <c r="G268" i="14"/>
  <c r="B270" i="14"/>
  <c r="H271" i="14"/>
  <c r="I270" i="14"/>
  <c r="I155" i="12"/>
  <c r="D155" i="12" s="1"/>
  <c r="H156" i="12"/>
  <c r="C155" i="12"/>
  <c r="J155" i="12" s="1"/>
  <c r="F154" i="12"/>
  <c r="E154" i="12"/>
  <c r="E153" i="12"/>
  <c r="F153" i="12"/>
  <c r="B149" i="11"/>
  <c r="I149" i="11"/>
  <c r="H150" i="11"/>
  <c r="J148" i="11"/>
  <c r="D148" i="11" s="1"/>
  <c r="F148" i="11" s="1"/>
  <c r="C148" i="11"/>
  <c r="K148" i="11" s="1"/>
  <c r="E148" i="11" s="1"/>
  <c r="E147" i="11"/>
  <c r="G146" i="16"/>
  <c r="C146" i="16" s="1"/>
  <c r="B146" i="16"/>
  <c r="E148" i="16"/>
  <c r="F147" i="16"/>
  <c r="A147" i="16"/>
  <c r="C250" i="4"/>
  <c r="J250" i="4"/>
  <c r="E249" i="4"/>
  <c r="F249" i="4" s="1"/>
  <c r="K249" i="4"/>
  <c r="D249" i="4" s="1"/>
  <c r="B251" i="4"/>
  <c r="H252" i="4"/>
  <c r="I251" i="4"/>
  <c r="C270" i="14" l="1"/>
  <c r="J270" i="14"/>
  <c r="B271" i="14"/>
  <c r="H272" i="14"/>
  <c r="I271" i="14"/>
  <c r="G269" i="14"/>
  <c r="D269" i="14"/>
  <c r="E155" i="12"/>
  <c r="F155" i="12"/>
  <c r="C156" i="12"/>
  <c r="J156" i="12" s="1"/>
  <c r="I156" i="12"/>
  <c r="D156" i="12" s="1"/>
  <c r="H157" i="12"/>
  <c r="D146" i="16"/>
  <c r="I150" i="11"/>
  <c r="B150" i="11"/>
  <c r="H151" i="11"/>
  <c r="J149" i="11"/>
  <c r="D149" i="11" s="1"/>
  <c r="F149" i="11" s="1"/>
  <c r="C149" i="11"/>
  <c r="K149" i="11" s="1"/>
  <c r="E149" i="11" s="1"/>
  <c r="C251" i="4"/>
  <c r="J251" i="4"/>
  <c r="K250" i="4"/>
  <c r="D250" i="4" s="1"/>
  <c r="E250" i="4"/>
  <c r="F250" i="4" s="1"/>
  <c r="A148" i="16"/>
  <c r="E149" i="16"/>
  <c r="F148" i="16"/>
  <c r="B252" i="4"/>
  <c r="H253" i="4"/>
  <c r="I252" i="4"/>
  <c r="G147" i="16"/>
  <c r="C147" i="16" s="1"/>
  <c r="D147" i="16" s="1"/>
  <c r="B147" i="16"/>
  <c r="B272" i="14" l="1"/>
  <c r="H273" i="14"/>
  <c r="I272" i="14"/>
  <c r="C271" i="14"/>
  <c r="J271" i="14"/>
  <c r="D270" i="14"/>
  <c r="G270" i="14"/>
  <c r="F156" i="12"/>
  <c r="E156" i="12"/>
  <c r="H158" i="12"/>
  <c r="I157" i="12"/>
  <c r="D157" i="12" s="1"/>
  <c r="C157" i="12"/>
  <c r="J157" i="12" s="1"/>
  <c r="J150" i="11"/>
  <c r="D150" i="11" s="1"/>
  <c r="F150" i="11" s="1"/>
  <c r="C150" i="11"/>
  <c r="K150" i="11" s="1"/>
  <c r="E150" i="11" s="1"/>
  <c r="B151" i="11"/>
  <c r="H152" i="11"/>
  <c r="I151" i="11"/>
  <c r="J252" i="4"/>
  <c r="C252" i="4"/>
  <c r="H254" i="4"/>
  <c r="I253" i="4"/>
  <c r="B253" i="4"/>
  <c r="G148" i="16"/>
  <c r="C148" i="16" s="1"/>
  <c r="D148" i="16" s="1"/>
  <c r="B148" i="16"/>
  <c r="F149" i="16"/>
  <c r="A149" i="16"/>
  <c r="E150" i="16"/>
  <c r="K251" i="4"/>
  <c r="D251" i="4" s="1"/>
  <c r="E251" i="4"/>
  <c r="F251" i="4" s="1"/>
  <c r="C272" i="14" l="1"/>
  <c r="J272" i="14"/>
  <c r="B273" i="14"/>
  <c r="H274" i="14"/>
  <c r="I273" i="14"/>
  <c r="D271" i="14"/>
  <c r="G271" i="14"/>
  <c r="F157" i="12"/>
  <c r="E157" i="12"/>
  <c r="H159" i="12"/>
  <c r="I158" i="12"/>
  <c r="D158" i="12" s="1"/>
  <c r="C158" i="12"/>
  <c r="J158" i="12" s="1"/>
  <c r="C151" i="11"/>
  <c r="K151" i="11" s="1"/>
  <c r="J151" i="11"/>
  <c r="D151" i="11" s="1"/>
  <c r="F151" i="11" s="1"/>
  <c r="B152" i="11"/>
  <c r="H153" i="11"/>
  <c r="I152" i="11"/>
  <c r="B149" i="16"/>
  <c r="G149" i="16"/>
  <c r="C149" i="16" s="1"/>
  <c r="D149" i="16" s="1"/>
  <c r="K252" i="4"/>
  <c r="D252" i="4" s="1"/>
  <c r="E252" i="4"/>
  <c r="F252" i="4" s="1"/>
  <c r="F150" i="16"/>
  <c r="A150" i="16"/>
  <c r="E151" i="16"/>
  <c r="J253" i="4"/>
  <c r="C253" i="4"/>
  <c r="H255" i="4"/>
  <c r="I254" i="4"/>
  <c r="B254" i="4"/>
  <c r="C273" i="14" l="1"/>
  <c r="J273" i="14"/>
  <c r="B274" i="14"/>
  <c r="H275" i="14"/>
  <c r="I274" i="14"/>
  <c r="G272" i="14"/>
  <c r="D272" i="14"/>
  <c r="F158" i="12"/>
  <c r="E158" i="12"/>
  <c r="H160" i="12"/>
  <c r="C159" i="12"/>
  <c r="I159" i="12"/>
  <c r="D159" i="12" s="1"/>
  <c r="B153" i="11"/>
  <c r="H154" i="11"/>
  <c r="I153" i="11"/>
  <c r="C152" i="11"/>
  <c r="K152" i="11" s="1"/>
  <c r="E152" i="11" s="1"/>
  <c r="J152" i="11"/>
  <c r="D152" i="11" s="1"/>
  <c r="F152" i="11" s="1"/>
  <c r="E151" i="11"/>
  <c r="B255" i="4"/>
  <c r="I255" i="4"/>
  <c r="H256" i="4"/>
  <c r="E152" i="16"/>
  <c r="F151" i="16"/>
  <c r="A151" i="16"/>
  <c r="E253" i="4"/>
  <c r="F253" i="4" s="1"/>
  <c r="K253" i="4"/>
  <c r="D253" i="4" s="1"/>
  <c r="G150" i="16"/>
  <c r="C150" i="16" s="1"/>
  <c r="B150" i="16"/>
  <c r="C254" i="4"/>
  <c r="J254" i="4"/>
  <c r="B275" i="14" l="1"/>
  <c r="H276" i="14"/>
  <c r="I275" i="14"/>
  <c r="G273" i="14"/>
  <c r="D273" i="14"/>
  <c r="J274" i="14"/>
  <c r="C274" i="14"/>
  <c r="J159" i="12"/>
  <c r="H161" i="12"/>
  <c r="I160" i="12"/>
  <c r="D160" i="12" s="1"/>
  <c r="C160" i="12"/>
  <c r="D150" i="16"/>
  <c r="J153" i="11"/>
  <c r="D153" i="11" s="1"/>
  <c r="F153" i="11" s="1"/>
  <c r="C153" i="11"/>
  <c r="K153" i="11" s="1"/>
  <c r="B154" i="11"/>
  <c r="H155" i="11"/>
  <c r="I154" i="11"/>
  <c r="G151" i="16"/>
  <c r="C151" i="16" s="1"/>
  <c r="D151" i="16" s="1"/>
  <c r="B151" i="16"/>
  <c r="C255" i="4"/>
  <c r="J255" i="4"/>
  <c r="K254" i="4"/>
  <c r="D254" i="4" s="1"/>
  <c r="E254" i="4"/>
  <c r="F254" i="4" s="1"/>
  <c r="A152" i="16"/>
  <c r="E153" i="16"/>
  <c r="F152" i="16"/>
  <c r="B256" i="4"/>
  <c r="H257" i="4"/>
  <c r="I256" i="4"/>
  <c r="C275" i="14" l="1"/>
  <c r="J275" i="14"/>
  <c r="D274" i="14"/>
  <c r="G274" i="14"/>
  <c r="B276" i="14"/>
  <c r="H277" i="14"/>
  <c r="I276" i="14"/>
  <c r="J160" i="12"/>
  <c r="H162" i="12"/>
  <c r="I161" i="12"/>
  <c r="D161" i="12" s="1"/>
  <c r="C161" i="12"/>
  <c r="E159" i="12"/>
  <c r="F159" i="12"/>
  <c r="J154" i="11"/>
  <c r="D154" i="11" s="1"/>
  <c r="F154" i="11" s="1"/>
  <c r="C154" i="11"/>
  <c r="K154" i="11" s="1"/>
  <c r="I155" i="11"/>
  <c r="H156" i="11"/>
  <c r="B155" i="11"/>
  <c r="E153" i="11"/>
  <c r="K255" i="4"/>
  <c r="D255" i="4" s="1"/>
  <c r="E255" i="4"/>
  <c r="F255" i="4" s="1"/>
  <c r="G152" i="16"/>
  <c r="C152" i="16" s="1"/>
  <c r="B152" i="16"/>
  <c r="H258" i="4"/>
  <c r="I257" i="4"/>
  <c r="B257" i="4"/>
  <c r="J256" i="4"/>
  <c r="C256" i="4"/>
  <c r="F153" i="16"/>
  <c r="A153" i="16"/>
  <c r="E154" i="16"/>
  <c r="J276" i="14" l="1"/>
  <c r="C276" i="14"/>
  <c r="B277" i="14"/>
  <c r="H278" i="14"/>
  <c r="I277" i="14"/>
  <c r="D275" i="14"/>
  <c r="G275" i="14"/>
  <c r="J161" i="12"/>
  <c r="H163" i="12"/>
  <c r="I162" i="12"/>
  <c r="D162" i="12" s="1"/>
  <c r="C162" i="12"/>
  <c r="E160" i="12"/>
  <c r="F160" i="12"/>
  <c r="D152" i="16"/>
  <c r="I156" i="11"/>
  <c r="H157" i="11"/>
  <c r="B156" i="11"/>
  <c r="C155" i="11"/>
  <c r="K155" i="11" s="1"/>
  <c r="J155" i="11"/>
  <c r="D155" i="11" s="1"/>
  <c r="F155" i="11" s="1"/>
  <c r="E154" i="11"/>
  <c r="F154" i="16"/>
  <c r="A154" i="16"/>
  <c r="E155" i="16"/>
  <c r="H259" i="4"/>
  <c r="I258" i="4"/>
  <c r="B258" i="4"/>
  <c r="K256" i="4"/>
  <c r="D256" i="4" s="1"/>
  <c r="E256" i="4"/>
  <c r="F256" i="4" s="1"/>
  <c r="B153" i="16"/>
  <c r="G153" i="16"/>
  <c r="C153" i="16" s="1"/>
  <c r="D153" i="16" s="1"/>
  <c r="J257" i="4"/>
  <c r="C257" i="4"/>
  <c r="J277" i="14" l="1"/>
  <c r="C277" i="14"/>
  <c r="G276" i="14"/>
  <c r="D276" i="14"/>
  <c r="B278" i="14"/>
  <c r="H279" i="14"/>
  <c r="I278" i="14"/>
  <c r="H164" i="12"/>
  <c r="C163" i="12"/>
  <c r="I163" i="12"/>
  <c r="D163" i="12" s="1"/>
  <c r="J162" i="12"/>
  <c r="F161" i="12"/>
  <c r="E161" i="12"/>
  <c r="J156" i="11"/>
  <c r="D156" i="11" s="1"/>
  <c r="F156" i="11" s="1"/>
  <c r="C156" i="11"/>
  <c r="K156" i="11" s="1"/>
  <c r="E156" i="11" s="1"/>
  <c r="E155" i="11"/>
  <c r="H158" i="11"/>
  <c r="I157" i="11"/>
  <c r="B157" i="11"/>
  <c r="G154" i="16"/>
  <c r="C154" i="16" s="1"/>
  <c r="D154" i="16" s="1"/>
  <c r="B154" i="16"/>
  <c r="E257" i="4"/>
  <c r="F257" i="4" s="1"/>
  <c r="K257" i="4"/>
  <c r="D257" i="4" s="1"/>
  <c r="B259" i="4"/>
  <c r="I259" i="4"/>
  <c r="H260" i="4"/>
  <c r="C258" i="4"/>
  <c r="J258" i="4"/>
  <c r="E156" i="16"/>
  <c r="F155" i="16"/>
  <c r="A155" i="16"/>
  <c r="D277" i="14" l="1"/>
  <c r="G277" i="14"/>
  <c r="C278" i="14"/>
  <c r="J278" i="14"/>
  <c r="B279" i="14"/>
  <c r="H280" i="14"/>
  <c r="I279" i="14"/>
  <c r="J163" i="12"/>
  <c r="E162" i="12"/>
  <c r="F162" i="12"/>
  <c r="C164" i="12"/>
  <c r="H165" i="12"/>
  <c r="I164" i="12"/>
  <c r="D164" i="12" s="1"/>
  <c r="B158" i="11"/>
  <c r="H159" i="11"/>
  <c r="I158" i="11"/>
  <c r="C157" i="11"/>
  <c r="K157" i="11" s="1"/>
  <c r="J157" i="11"/>
  <c r="D157" i="11" s="1"/>
  <c r="F157" i="11" s="1"/>
  <c r="A156" i="16"/>
  <c r="E157" i="16"/>
  <c r="F156" i="16"/>
  <c r="C259" i="4"/>
  <c r="J259" i="4"/>
  <c r="G155" i="16"/>
  <c r="C155" i="16" s="1"/>
  <c r="D155" i="16" s="1"/>
  <c r="B155" i="16"/>
  <c r="K258" i="4"/>
  <c r="D258" i="4" s="1"/>
  <c r="E258" i="4"/>
  <c r="F258" i="4" s="1"/>
  <c r="B260" i="4"/>
  <c r="H261" i="4"/>
  <c r="I260" i="4"/>
  <c r="B280" i="14" l="1"/>
  <c r="H281" i="14"/>
  <c r="I280" i="14"/>
  <c r="G278" i="14"/>
  <c r="D278" i="14"/>
  <c r="C279" i="14"/>
  <c r="J279" i="14"/>
  <c r="J164" i="12"/>
  <c r="C165" i="12"/>
  <c r="J165" i="12" s="1"/>
  <c r="H166" i="12"/>
  <c r="I165" i="12"/>
  <c r="D165" i="12" s="1"/>
  <c r="F163" i="12"/>
  <c r="E163" i="12"/>
  <c r="E157" i="11"/>
  <c r="C158" i="11"/>
  <c r="K158" i="11" s="1"/>
  <c r="E158" i="11" s="1"/>
  <c r="J158" i="11"/>
  <c r="D158" i="11" s="1"/>
  <c r="F158" i="11" s="1"/>
  <c r="H160" i="11"/>
  <c r="B159" i="11"/>
  <c r="I159" i="11"/>
  <c r="J260" i="4"/>
  <c r="C260" i="4"/>
  <c r="G156" i="16"/>
  <c r="C156" i="16" s="1"/>
  <c r="B156" i="16"/>
  <c r="H262" i="4"/>
  <c r="I261" i="4"/>
  <c r="B261" i="4"/>
  <c r="K259" i="4"/>
  <c r="D259" i="4" s="1"/>
  <c r="E259" i="4"/>
  <c r="F259" i="4" s="1"/>
  <c r="F157" i="16"/>
  <c r="A157" i="16"/>
  <c r="E158" i="16"/>
  <c r="C280" i="14" l="1"/>
  <c r="J280" i="14"/>
  <c r="G279" i="14"/>
  <c r="D279" i="14"/>
  <c r="B281" i="14"/>
  <c r="H282" i="14"/>
  <c r="I281" i="14"/>
  <c r="C166" i="12"/>
  <c r="I166" i="12"/>
  <c r="D166" i="12" s="1"/>
  <c r="H167" i="12"/>
  <c r="E165" i="12"/>
  <c r="F165" i="12"/>
  <c r="F164" i="12"/>
  <c r="E164" i="12"/>
  <c r="D156" i="16"/>
  <c r="B160" i="11"/>
  <c r="H161" i="11"/>
  <c r="I160" i="11"/>
  <c r="C159" i="11"/>
  <c r="K159" i="11" s="1"/>
  <c r="J159" i="11"/>
  <c r="D159" i="11" s="1"/>
  <c r="F159" i="11" s="1"/>
  <c r="F158" i="16"/>
  <c r="A158" i="16"/>
  <c r="E159" i="16"/>
  <c r="H263" i="4"/>
  <c r="I262" i="4"/>
  <c r="B262" i="4"/>
  <c r="K260" i="4"/>
  <c r="D260" i="4" s="1"/>
  <c r="E260" i="4"/>
  <c r="F260" i="4" s="1"/>
  <c r="B157" i="16"/>
  <c r="G157" i="16"/>
  <c r="C157" i="16" s="1"/>
  <c r="D157" i="16" s="1"/>
  <c r="J261" i="4"/>
  <c r="C261" i="4"/>
  <c r="C281" i="14" l="1"/>
  <c r="J281" i="14"/>
  <c r="B282" i="14"/>
  <c r="H283" i="14"/>
  <c r="I282" i="14"/>
  <c r="G280" i="14"/>
  <c r="D280" i="14"/>
  <c r="I167" i="12"/>
  <c r="D167" i="12" s="1"/>
  <c r="C167" i="12"/>
  <c r="J167" i="12" s="1"/>
  <c r="H168" i="12"/>
  <c r="J166" i="12"/>
  <c r="E159" i="11"/>
  <c r="J160" i="11"/>
  <c r="D160" i="11" s="1"/>
  <c r="F160" i="11" s="1"/>
  <c r="C160" i="11"/>
  <c r="K160" i="11" s="1"/>
  <c r="E160" i="11" s="1"/>
  <c r="I161" i="11"/>
  <c r="B161" i="11"/>
  <c r="H162" i="11"/>
  <c r="E160" i="16"/>
  <c r="F159" i="16"/>
  <c r="A159" i="16"/>
  <c r="E261" i="4"/>
  <c r="F261" i="4" s="1"/>
  <c r="K261" i="4"/>
  <c r="D261" i="4" s="1"/>
  <c r="B263" i="4"/>
  <c r="H264" i="4"/>
  <c r="I263" i="4"/>
  <c r="C262" i="4"/>
  <c r="J262" i="4"/>
  <c r="G158" i="16"/>
  <c r="C158" i="16" s="1"/>
  <c r="B158" i="16"/>
  <c r="B283" i="14" l="1"/>
  <c r="I283" i="14"/>
  <c r="H284" i="14"/>
  <c r="J282" i="14"/>
  <c r="C282" i="14"/>
  <c r="D281" i="14"/>
  <c r="G281" i="14"/>
  <c r="F166" i="12"/>
  <c r="E166" i="12"/>
  <c r="H169" i="12"/>
  <c r="C168" i="12"/>
  <c r="I168" i="12"/>
  <c r="D168" i="12" s="1"/>
  <c r="E167" i="12"/>
  <c r="F167" i="12"/>
  <c r="D158" i="16"/>
  <c r="J161" i="11"/>
  <c r="D161" i="11" s="1"/>
  <c r="F161" i="11" s="1"/>
  <c r="C161" i="11"/>
  <c r="K161" i="11" s="1"/>
  <c r="B162" i="11"/>
  <c r="I162" i="11"/>
  <c r="H163" i="11"/>
  <c r="K262" i="4"/>
  <c r="D262" i="4" s="1"/>
  <c r="E262" i="4"/>
  <c r="F262" i="4" s="1"/>
  <c r="G159" i="16"/>
  <c r="C159" i="16" s="1"/>
  <c r="B159" i="16"/>
  <c r="A160" i="16"/>
  <c r="E161" i="16"/>
  <c r="F160" i="16"/>
  <c r="B264" i="4"/>
  <c r="H265" i="4"/>
  <c r="I264" i="4"/>
  <c r="C263" i="4"/>
  <c r="J263" i="4"/>
  <c r="G282" i="14" l="1"/>
  <c r="D282" i="14"/>
  <c r="H285" i="14"/>
  <c r="I284" i="14"/>
  <c r="B284" i="14"/>
  <c r="J283" i="14"/>
  <c r="C283" i="14"/>
  <c r="J168" i="12"/>
  <c r="C169" i="12"/>
  <c r="H170" i="12"/>
  <c r="I169" i="12"/>
  <c r="D169" i="12" s="1"/>
  <c r="D159" i="16"/>
  <c r="B163" i="11"/>
  <c r="H164" i="11"/>
  <c r="I163" i="11"/>
  <c r="C162" i="11"/>
  <c r="K162" i="11" s="1"/>
  <c r="E162" i="11" s="1"/>
  <c r="J162" i="11"/>
  <c r="D162" i="11" s="1"/>
  <c r="F162" i="11" s="1"/>
  <c r="E161" i="11"/>
  <c r="J264" i="4"/>
  <c r="C264" i="4"/>
  <c r="K263" i="4"/>
  <c r="D263" i="4" s="1"/>
  <c r="E263" i="4"/>
  <c r="F263" i="4" s="1"/>
  <c r="H266" i="4"/>
  <c r="I265" i="4"/>
  <c r="B265" i="4"/>
  <c r="G160" i="16"/>
  <c r="C160" i="16" s="1"/>
  <c r="B160" i="16"/>
  <c r="F161" i="16"/>
  <c r="A161" i="16"/>
  <c r="E162" i="16"/>
  <c r="G283" i="14" l="1"/>
  <c r="D283" i="14"/>
  <c r="C284" i="14"/>
  <c r="J284" i="14"/>
  <c r="H286" i="14"/>
  <c r="I285" i="14"/>
  <c r="B285" i="14"/>
  <c r="H171" i="12"/>
  <c r="C170" i="12"/>
  <c r="I170" i="12"/>
  <c r="D170" i="12" s="1"/>
  <c r="J169" i="12"/>
  <c r="F168" i="12"/>
  <c r="E168" i="12"/>
  <c r="D160" i="16"/>
  <c r="J163" i="11"/>
  <c r="D163" i="11" s="1"/>
  <c r="F163" i="11" s="1"/>
  <c r="C163" i="11"/>
  <c r="K163" i="11" s="1"/>
  <c r="B164" i="11"/>
  <c r="H165" i="11"/>
  <c r="I164" i="11"/>
  <c r="B161" i="16"/>
  <c r="G161" i="16"/>
  <c r="C161" i="16" s="1"/>
  <c r="D161" i="16" s="1"/>
  <c r="K264" i="4"/>
  <c r="D264" i="4" s="1"/>
  <c r="E264" i="4"/>
  <c r="F264" i="4" s="1"/>
  <c r="F162" i="16"/>
  <c r="A162" i="16"/>
  <c r="E163" i="16"/>
  <c r="J265" i="4"/>
  <c r="C265" i="4"/>
  <c r="H267" i="4"/>
  <c r="I266" i="4"/>
  <c r="B266" i="4"/>
  <c r="J285" i="14" l="1"/>
  <c r="C285" i="14"/>
  <c r="H287" i="14"/>
  <c r="B286" i="14"/>
  <c r="I286" i="14"/>
  <c r="G284" i="14"/>
  <c r="D284" i="14"/>
  <c r="E169" i="12"/>
  <c r="F169" i="12"/>
  <c r="J170" i="12"/>
  <c r="H172" i="12"/>
  <c r="C171" i="12"/>
  <c r="J171" i="12" s="1"/>
  <c r="I171" i="12"/>
  <c r="D171" i="12" s="1"/>
  <c r="J164" i="11"/>
  <c r="D164" i="11" s="1"/>
  <c r="F164" i="11" s="1"/>
  <c r="C164" i="11"/>
  <c r="K164" i="11" s="1"/>
  <c r="E164" i="11" s="1"/>
  <c r="I165" i="11"/>
  <c r="B165" i="11"/>
  <c r="H166" i="11"/>
  <c r="E163" i="11"/>
  <c r="B267" i="4"/>
  <c r="H268" i="4"/>
  <c r="I267" i="4"/>
  <c r="E265" i="4"/>
  <c r="F265" i="4" s="1"/>
  <c r="K265" i="4"/>
  <c r="D265" i="4" s="1"/>
  <c r="E164" i="16"/>
  <c r="F163" i="16"/>
  <c r="A163" i="16"/>
  <c r="C266" i="4"/>
  <c r="J266" i="4"/>
  <c r="G162" i="16"/>
  <c r="C162" i="16" s="1"/>
  <c r="B162" i="16"/>
  <c r="J286" i="14" l="1"/>
  <c r="C286" i="14"/>
  <c r="D285" i="14"/>
  <c r="G285" i="14"/>
  <c r="B287" i="14"/>
  <c r="I287" i="14"/>
  <c r="H288" i="14"/>
  <c r="F171" i="12"/>
  <c r="E171" i="12"/>
  <c r="H173" i="12"/>
  <c r="C172" i="12"/>
  <c r="I172" i="12"/>
  <c r="D172" i="12" s="1"/>
  <c r="E170" i="12"/>
  <c r="F170" i="12"/>
  <c r="D162" i="16"/>
  <c r="C165" i="11"/>
  <c r="K165" i="11" s="1"/>
  <c r="E165" i="11" s="1"/>
  <c r="J165" i="11"/>
  <c r="D165" i="11" s="1"/>
  <c r="F165" i="11" s="1"/>
  <c r="H167" i="11"/>
  <c r="B166" i="11"/>
  <c r="I166" i="11"/>
  <c r="K266" i="4"/>
  <c r="D266" i="4" s="1"/>
  <c r="E266" i="4"/>
  <c r="F266" i="4" s="1"/>
  <c r="B268" i="4"/>
  <c r="H269" i="4"/>
  <c r="I268" i="4"/>
  <c r="A164" i="16"/>
  <c r="E165" i="16"/>
  <c r="F164" i="16"/>
  <c r="G163" i="16"/>
  <c r="C163" i="16" s="1"/>
  <c r="D163" i="16" s="1"/>
  <c r="B163" i="16"/>
  <c r="C267" i="4"/>
  <c r="J267" i="4"/>
  <c r="I288" i="14" l="1"/>
  <c r="B288" i="14"/>
  <c r="H289" i="14"/>
  <c r="D286" i="14"/>
  <c r="G286" i="14"/>
  <c r="J287" i="14"/>
  <c r="C287" i="14"/>
  <c r="J172" i="12"/>
  <c r="H174" i="12"/>
  <c r="I173" i="12"/>
  <c r="D173" i="12" s="1"/>
  <c r="C173" i="12"/>
  <c r="J166" i="11"/>
  <c r="D166" i="11" s="1"/>
  <c r="F166" i="11" s="1"/>
  <c r="C166" i="11"/>
  <c r="K166" i="11" s="1"/>
  <c r="B167" i="11"/>
  <c r="I167" i="11"/>
  <c r="H168" i="11"/>
  <c r="K267" i="4"/>
  <c r="D267" i="4" s="1"/>
  <c r="E267" i="4"/>
  <c r="F267" i="4" s="1"/>
  <c r="J268" i="4"/>
  <c r="C268" i="4"/>
  <c r="G164" i="16"/>
  <c r="C164" i="16" s="1"/>
  <c r="D164" i="16" s="1"/>
  <c r="B164" i="16"/>
  <c r="H270" i="4"/>
  <c r="I269" i="4"/>
  <c r="B269" i="4"/>
  <c r="F165" i="16"/>
  <c r="A165" i="16"/>
  <c r="E166" i="16"/>
  <c r="I289" i="14" l="1"/>
  <c r="H290" i="14"/>
  <c r="B289" i="14"/>
  <c r="G287" i="14"/>
  <c r="D287" i="14"/>
  <c r="C288" i="14"/>
  <c r="J288" i="14"/>
  <c r="J173" i="12"/>
  <c r="H175" i="12"/>
  <c r="C174" i="12"/>
  <c r="J174" i="12" s="1"/>
  <c r="I174" i="12"/>
  <c r="D174" i="12" s="1"/>
  <c r="E172" i="12"/>
  <c r="F172" i="12"/>
  <c r="C167" i="11"/>
  <c r="K167" i="11" s="1"/>
  <c r="E167" i="11" s="1"/>
  <c r="J167" i="11"/>
  <c r="D167" i="11" s="1"/>
  <c r="F167" i="11" s="1"/>
  <c r="E166" i="11"/>
  <c r="I168" i="11"/>
  <c r="B168" i="11"/>
  <c r="H169" i="11"/>
  <c r="B165" i="16"/>
  <c r="G165" i="16"/>
  <c r="C165" i="16" s="1"/>
  <c r="D165" i="16" s="1"/>
  <c r="H271" i="4"/>
  <c r="I270" i="4"/>
  <c r="B270" i="4"/>
  <c r="K268" i="4"/>
  <c r="D268" i="4" s="1"/>
  <c r="E268" i="4"/>
  <c r="F268" i="4" s="1"/>
  <c r="F166" i="16"/>
  <c r="A166" i="16"/>
  <c r="E167" i="16"/>
  <c r="J269" i="4"/>
  <c r="C269" i="4"/>
  <c r="D288" i="14" l="1"/>
  <c r="G288" i="14"/>
  <c r="B290" i="14"/>
  <c r="H291" i="14"/>
  <c r="I290" i="14"/>
  <c r="J289" i="14"/>
  <c r="C289" i="14"/>
  <c r="E173" i="12"/>
  <c r="F173" i="12"/>
  <c r="F174" i="12"/>
  <c r="E174" i="12"/>
  <c r="C175" i="12"/>
  <c r="H176" i="12"/>
  <c r="I175" i="12"/>
  <c r="D175" i="12" s="1"/>
  <c r="J168" i="11"/>
  <c r="D168" i="11" s="1"/>
  <c r="F168" i="11" s="1"/>
  <c r="C168" i="11"/>
  <c r="K168" i="11" s="1"/>
  <c r="E168" i="11" s="1"/>
  <c r="H170" i="11"/>
  <c r="B169" i="11"/>
  <c r="I169" i="11"/>
  <c r="E269" i="4"/>
  <c r="F269" i="4" s="1"/>
  <c r="K269" i="4"/>
  <c r="D269" i="4" s="1"/>
  <c r="G166" i="16"/>
  <c r="C166" i="16" s="1"/>
  <c r="D166" i="16" s="1"/>
  <c r="B166" i="16"/>
  <c r="C270" i="4"/>
  <c r="J270" i="4"/>
  <c r="E168" i="16"/>
  <c r="F167" i="16"/>
  <c r="A167" i="16"/>
  <c r="B271" i="4"/>
  <c r="I271" i="4"/>
  <c r="H272" i="4"/>
  <c r="J290" i="14" l="1"/>
  <c r="C290" i="14"/>
  <c r="H292" i="14"/>
  <c r="B291" i="14"/>
  <c r="I291" i="14"/>
  <c r="D289" i="14"/>
  <c r="G289" i="14"/>
  <c r="J175" i="12"/>
  <c r="I176" i="12"/>
  <c r="D176" i="12" s="1"/>
  <c r="H177" i="12"/>
  <c r="C176" i="12"/>
  <c r="J176" i="12" s="1"/>
  <c r="B170" i="11"/>
  <c r="H171" i="11"/>
  <c r="I170" i="11"/>
  <c r="C169" i="11"/>
  <c r="K169" i="11" s="1"/>
  <c r="E169" i="11" s="1"/>
  <c r="J169" i="11"/>
  <c r="D169" i="11" s="1"/>
  <c r="F169" i="11" s="1"/>
  <c r="K270" i="4"/>
  <c r="D270" i="4" s="1"/>
  <c r="E270" i="4"/>
  <c r="F270" i="4" s="1"/>
  <c r="B272" i="4"/>
  <c r="H273" i="4"/>
  <c r="I272" i="4"/>
  <c r="F168" i="16"/>
  <c r="A168" i="16"/>
  <c r="E169" i="16"/>
  <c r="C271" i="4"/>
  <c r="J271" i="4"/>
  <c r="G167" i="16"/>
  <c r="C167" i="16" s="1"/>
  <c r="D167" i="16" s="1"/>
  <c r="B167" i="16"/>
  <c r="B292" i="14" l="1"/>
  <c r="H293" i="14"/>
  <c r="I292" i="14"/>
  <c r="C291" i="14"/>
  <c r="J291" i="14"/>
  <c r="G290" i="14"/>
  <c r="D290" i="14"/>
  <c r="F176" i="12"/>
  <c r="E176" i="12"/>
  <c r="C177" i="12"/>
  <c r="J177" i="12" s="1"/>
  <c r="H178" i="12"/>
  <c r="I177" i="12"/>
  <c r="D177" i="12" s="1"/>
  <c r="E175" i="12"/>
  <c r="F175" i="12"/>
  <c r="C170" i="11"/>
  <c r="K170" i="11" s="1"/>
  <c r="E170" i="11" s="1"/>
  <c r="J170" i="11"/>
  <c r="D170" i="11" s="1"/>
  <c r="F170" i="11" s="1"/>
  <c r="H172" i="11"/>
  <c r="B171" i="11"/>
  <c r="I171" i="11"/>
  <c r="K271" i="4"/>
  <c r="D271" i="4" s="1"/>
  <c r="E271" i="4"/>
  <c r="F271" i="4" s="1"/>
  <c r="B168" i="16"/>
  <c r="G168" i="16"/>
  <c r="C168" i="16" s="1"/>
  <c r="D168" i="16" s="1"/>
  <c r="F169" i="16"/>
  <c r="A169" i="16"/>
  <c r="E170" i="16"/>
  <c r="J272" i="4"/>
  <c r="C272" i="4"/>
  <c r="H274" i="4"/>
  <c r="I273" i="4"/>
  <c r="B273" i="4"/>
  <c r="D291" i="14" l="1"/>
  <c r="G291" i="14"/>
  <c r="J292" i="14"/>
  <c r="C292" i="14"/>
  <c r="B293" i="14"/>
  <c r="I293" i="14"/>
  <c r="H294" i="14"/>
  <c r="C178" i="12"/>
  <c r="I178" i="12"/>
  <c r="D178" i="12" s="1"/>
  <c r="H179" i="12"/>
  <c r="E177" i="12"/>
  <c r="F177" i="12"/>
  <c r="I172" i="11"/>
  <c r="B172" i="11"/>
  <c r="H173" i="11"/>
  <c r="C171" i="11"/>
  <c r="K171" i="11" s="1"/>
  <c r="E171" i="11" s="1"/>
  <c r="J171" i="11"/>
  <c r="D171" i="11" s="1"/>
  <c r="F171" i="11" s="1"/>
  <c r="J273" i="4"/>
  <c r="C273" i="4"/>
  <c r="G169" i="16"/>
  <c r="C169" i="16" s="1"/>
  <c r="B169" i="16"/>
  <c r="H275" i="4"/>
  <c r="I274" i="4"/>
  <c r="B274" i="4"/>
  <c r="K272" i="4"/>
  <c r="D272" i="4" s="1"/>
  <c r="E272" i="4"/>
  <c r="F272" i="4" s="1"/>
  <c r="E171" i="16"/>
  <c r="F170" i="16"/>
  <c r="A170" i="16"/>
  <c r="H295" i="14" l="1"/>
  <c r="I294" i="14"/>
  <c r="B294" i="14"/>
  <c r="G292" i="14"/>
  <c r="D292" i="14"/>
  <c r="J293" i="14"/>
  <c r="C293" i="14"/>
  <c r="I179" i="12"/>
  <c r="D179" i="12" s="1"/>
  <c r="H180" i="12"/>
  <c r="C179" i="12"/>
  <c r="J179" i="12" s="1"/>
  <c r="J178" i="12"/>
  <c r="D169" i="16"/>
  <c r="I173" i="11"/>
  <c r="B173" i="11"/>
  <c r="H174" i="11"/>
  <c r="J172" i="11"/>
  <c r="D172" i="11" s="1"/>
  <c r="F172" i="11" s="1"/>
  <c r="C172" i="11"/>
  <c r="K172" i="11" s="1"/>
  <c r="A171" i="16"/>
  <c r="E172" i="16"/>
  <c r="F171" i="16"/>
  <c r="C274" i="4"/>
  <c r="J274" i="4"/>
  <c r="G170" i="16"/>
  <c r="C170" i="16" s="1"/>
  <c r="D170" i="16" s="1"/>
  <c r="B170" i="16"/>
  <c r="B275" i="4"/>
  <c r="I275" i="4"/>
  <c r="H276" i="4"/>
  <c r="E273" i="4"/>
  <c r="F273" i="4" s="1"/>
  <c r="K273" i="4"/>
  <c r="D273" i="4" s="1"/>
  <c r="B295" i="14" l="1"/>
  <c r="I295" i="14"/>
  <c r="H296" i="14"/>
  <c r="G293" i="14"/>
  <c r="D293" i="14"/>
  <c r="J294" i="14"/>
  <c r="C294" i="14"/>
  <c r="I180" i="12"/>
  <c r="D180" i="12" s="1"/>
  <c r="C180" i="12"/>
  <c r="J180" i="12" s="1"/>
  <c r="H181" i="12"/>
  <c r="E178" i="12"/>
  <c r="F178" i="12"/>
  <c r="E179" i="12"/>
  <c r="F179" i="12"/>
  <c r="B174" i="11"/>
  <c r="H175" i="11"/>
  <c r="I174" i="11"/>
  <c r="E172" i="11"/>
  <c r="C173" i="11"/>
  <c r="K173" i="11" s="1"/>
  <c r="E173" i="11" s="1"/>
  <c r="J173" i="11"/>
  <c r="D173" i="11" s="1"/>
  <c r="F173" i="11" s="1"/>
  <c r="C275" i="4"/>
  <c r="J275" i="4"/>
  <c r="K274" i="4"/>
  <c r="D274" i="4" s="1"/>
  <c r="E274" i="4"/>
  <c r="F274" i="4" s="1"/>
  <c r="G171" i="16"/>
  <c r="C171" i="16" s="1"/>
  <c r="D171" i="16" s="1"/>
  <c r="B171" i="16"/>
  <c r="B276" i="4"/>
  <c r="H277" i="4"/>
  <c r="I276" i="4"/>
  <c r="F172" i="16"/>
  <c r="A172" i="16"/>
  <c r="E173" i="16"/>
  <c r="H297" i="14" l="1"/>
  <c r="I296" i="14"/>
  <c r="B296" i="14"/>
  <c r="G294" i="14"/>
  <c r="D294" i="14"/>
  <c r="C295" i="14"/>
  <c r="J295" i="14"/>
  <c r="E180" i="12"/>
  <c r="F180" i="12"/>
  <c r="I181" i="12"/>
  <c r="D181" i="12" s="1"/>
  <c r="H182" i="12"/>
  <c r="C181" i="12"/>
  <c r="H176" i="11"/>
  <c r="I175" i="11"/>
  <c r="B175" i="11"/>
  <c r="C174" i="11"/>
  <c r="K174" i="11" s="1"/>
  <c r="E174" i="11" s="1"/>
  <c r="J174" i="11"/>
  <c r="D174" i="11" s="1"/>
  <c r="F174" i="11" s="1"/>
  <c r="H278" i="4"/>
  <c r="I277" i="4"/>
  <c r="B277" i="4"/>
  <c r="F173" i="16"/>
  <c r="A173" i="16"/>
  <c r="E174" i="16"/>
  <c r="K275" i="4"/>
  <c r="D275" i="4" s="1"/>
  <c r="E275" i="4"/>
  <c r="F275" i="4" s="1"/>
  <c r="J276" i="4"/>
  <c r="C276" i="4"/>
  <c r="B172" i="16"/>
  <c r="G172" i="16"/>
  <c r="C172" i="16" s="1"/>
  <c r="D172" i="16" s="1"/>
  <c r="D295" i="14" l="1"/>
  <c r="G295" i="14"/>
  <c r="J296" i="14"/>
  <c r="C296" i="14"/>
  <c r="B297" i="14"/>
  <c r="H298" i="14"/>
  <c r="I297" i="14"/>
  <c r="C182" i="12"/>
  <c r="I182" i="12"/>
  <c r="D182" i="12" s="1"/>
  <c r="H183" i="12"/>
  <c r="J181" i="12"/>
  <c r="J175" i="11"/>
  <c r="D175" i="11" s="1"/>
  <c r="F175" i="11" s="1"/>
  <c r="C175" i="11"/>
  <c r="K175" i="11" s="1"/>
  <c r="E175" i="11" s="1"/>
  <c r="I176" i="11"/>
  <c r="B176" i="11"/>
  <c r="H177" i="11"/>
  <c r="H279" i="4"/>
  <c r="I278" i="4"/>
  <c r="B278" i="4"/>
  <c r="G173" i="16"/>
  <c r="C173" i="16" s="1"/>
  <c r="B173" i="16"/>
  <c r="K276" i="4"/>
  <c r="D276" i="4" s="1"/>
  <c r="E276" i="4"/>
  <c r="F276" i="4" s="1"/>
  <c r="E175" i="16"/>
  <c r="F174" i="16"/>
  <c r="A174" i="16"/>
  <c r="J277" i="4"/>
  <c r="C277" i="4"/>
  <c r="C297" i="14" l="1"/>
  <c r="J297" i="14"/>
  <c r="G296" i="14"/>
  <c r="D296" i="14"/>
  <c r="H299" i="14"/>
  <c r="I298" i="14"/>
  <c r="B298" i="14"/>
  <c r="F181" i="12"/>
  <c r="E181" i="12"/>
  <c r="I183" i="12"/>
  <c r="D183" i="12" s="1"/>
  <c r="H184" i="12"/>
  <c r="C183" i="12"/>
  <c r="J182" i="12"/>
  <c r="D173" i="16"/>
  <c r="J176" i="11"/>
  <c r="D176" i="11" s="1"/>
  <c r="F176" i="11" s="1"/>
  <c r="C176" i="11"/>
  <c r="K176" i="11" s="1"/>
  <c r="E176" i="11" s="1"/>
  <c r="H178" i="11"/>
  <c r="B177" i="11"/>
  <c r="I177" i="11"/>
  <c r="E277" i="4"/>
  <c r="F277" i="4" s="1"/>
  <c r="K277" i="4"/>
  <c r="D277" i="4" s="1"/>
  <c r="G174" i="16"/>
  <c r="C174" i="16" s="1"/>
  <c r="D174" i="16" s="1"/>
  <c r="B174" i="16"/>
  <c r="C278" i="4"/>
  <c r="J278" i="4"/>
  <c r="B279" i="4"/>
  <c r="H280" i="4"/>
  <c r="I279" i="4"/>
  <c r="A175" i="16"/>
  <c r="E176" i="16"/>
  <c r="F175" i="16"/>
  <c r="J298" i="14" l="1"/>
  <c r="C298" i="14"/>
  <c r="D297" i="14"/>
  <c r="G297" i="14"/>
  <c r="H300" i="14"/>
  <c r="I299" i="14"/>
  <c r="B299" i="14"/>
  <c r="I184" i="12"/>
  <c r="D184" i="12" s="1"/>
  <c r="C184" i="12"/>
  <c r="J184" i="12" s="1"/>
  <c r="H185" i="12"/>
  <c r="E182" i="12"/>
  <c r="F182" i="12"/>
  <c r="J183" i="12"/>
  <c r="B178" i="11"/>
  <c r="H179" i="11"/>
  <c r="I178" i="11"/>
  <c r="C177" i="11"/>
  <c r="K177" i="11" s="1"/>
  <c r="J177" i="11"/>
  <c r="D177" i="11" s="1"/>
  <c r="F177" i="11" s="1"/>
  <c r="C279" i="4"/>
  <c r="J279" i="4"/>
  <c r="B280" i="4"/>
  <c r="H281" i="4"/>
  <c r="I280" i="4"/>
  <c r="G175" i="16"/>
  <c r="C175" i="16" s="1"/>
  <c r="D175" i="16" s="1"/>
  <c r="B175" i="16"/>
  <c r="F176" i="16"/>
  <c r="A176" i="16"/>
  <c r="E177" i="16"/>
  <c r="K278" i="4"/>
  <c r="D278" i="4" s="1"/>
  <c r="E278" i="4"/>
  <c r="F278" i="4" s="1"/>
  <c r="C299" i="14" l="1"/>
  <c r="J299" i="14"/>
  <c r="B300" i="14"/>
  <c r="H301" i="14"/>
  <c r="I300" i="14"/>
  <c r="D298" i="14"/>
  <c r="G298" i="14"/>
  <c r="H186" i="12"/>
  <c r="I185" i="12"/>
  <c r="D185" i="12" s="1"/>
  <c r="C185" i="12"/>
  <c r="J185" i="12" s="1"/>
  <c r="F183" i="12"/>
  <c r="E183" i="12"/>
  <c r="F184" i="12"/>
  <c r="E184" i="12"/>
  <c r="E177" i="11"/>
  <c r="J178" i="11"/>
  <c r="D178" i="11" s="1"/>
  <c r="F178" i="11" s="1"/>
  <c r="C178" i="11"/>
  <c r="K178" i="11" s="1"/>
  <c r="E178" i="11" s="1"/>
  <c r="H180" i="11"/>
  <c r="I179" i="11"/>
  <c r="B179" i="11"/>
  <c r="B176" i="16"/>
  <c r="G176" i="16"/>
  <c r="C176" i="16" s="1"/>
  <c r="J280" i="4"/>
  <c r="C280" i="4"/>
  <c r="H282" i="4"/>
  <c r="I281" i="4"/>
  <c r="B281" i="4"/>
  <c r="K279" i="4"/>
  <c r="D279" i="4" s="1"/>
  <c r="E279" i="4"/>
  <c r="F279" i="4" s="1"/>
  <c r="F177" i="16"/>
  <c r="A177" i="16"/>
  <c r="E178" i="16"/>
  <c r="C300" i="14" l="1"/>
  <c r="J300" i="14"/>
  <c r="H302" i="14"/>
  <c r="B301" i="14"/>
  <c r="I301" i="14"/>
  <c r="G299" i="14"/>
  <c r="D299" i="14"/>
  <c r="E185" i="12"/>
  <c r="F185" i="12"/>
  <c r="H187" i="12"/>
  <c r="C186" i="12"/>
  <c r="I186" i="12"/>
  <c r="D186" i="12" s="1"/>
  <c r="D176" i="16"/>
  <c r="J179" i="11"/>
  <c r="D179" i="11" s="1"/>
  <c r="F179" i="11" s="1"/>
  <c r="C179" i="11"/>
  <c r="K179" i="11" s="1"/>
  <c r="E179" i="11" s="1"/>
  <c r="B180" i="11"/>
  <c r="H181" i="11"/>
  <c r="I180" i="11"/>
  <c r="G177" i="16"/>
  <c r="C177" i="16" s="1"/>
  <c r="D177" i="16" s="1"/>
  <c r="B177" i="16"/>
  <c r="J281" i="4"/>
  <c r="C281" i="4"/>
  <c r="H283" i="4"/>
  <c r="I282" i="4"/>
  <c r="B282" i="4"/>
  <c r="E179" i="16"/>
  <c r="F178" i="16"/>
  <c r="A178" i="16"/>
  <c r="K280" i="4"/>
  <c r="D280" i="4" s="1"/>
  <c r="E280" i="4"/>
  <c r="F280" i="4" s="1"/>
  <c r="C301" i="14" l="1"/>
  <c r="J301" i="14"/>
  <c r="B302" i="14"/>
  <c r="I302" i="14"/>
  <c r="H303" i="14"/>
  <c r="G300" i="14"/>
  <c r="D300" i="14"/>
  <c r="J186" i="12"/>
  <c r="I187" i="12"/>
  <c r="D187" i="12" s="1"/>
  <c r="H188" i="12"/>
  <c r="C187" i="12"/>
  <c r="J187" i="12" s="1"/>
  <c r="H182" i="11"/>
  <c r="I181" i="11"/>
  <c r="B181" i="11"/>
  <c r="C180" i="11"/>
  <c r="K180" i="11" s="1"/>
  <c r="J180" i="11"/>
  <c r="D180" i="11" s="1"/>
  <c r="F180" i="11" s="1"/>
  <c r="A179" i="16"/>
  <c r="E180" i="16"/>
  <c r="F179" i="16"/>
  <c r="E281" i="4"/>
  <c r="F281" i="4" s="1"/>
  <c r="K281" i="4"/>
  <c r="D281" i="4" s="1"/>
  <c r="G178" i="16"/>
  <c r="C178" i="16" s="1"/>
  <c r="B178" i="16"/>
  <c r="C282" i="4"/>
  <c r="J282" i="4"/>
  <c r="B283" i="4"/>
  <c r="H284" i="4"/>
  <c r="I283" i="4"/>
  <c r="B303" i="14" l="1"/>
  <c r="I303" i="14"/>
  <c r="H304" i="14"/>
  <c r="J302" i="14"/>
  <c r="C302" i="14"/>
  <c r="D301" i="14"/>
  <c r="G301" i="14"/>
  <c r="E186" i="12"/>
  <c r="F186" i="12"/>
  <c r="F187" i="12"/>
  <c r="E187" i="12"/>
  <c r="C188" i="12"/>
  <c r="H189" i="12"/>
  <c r="I188" i="12"/>
  <c r="D188" i="12" s="1"/>
  <c r="D178" i="16"/>
  <c r="J181" i="11"/>
  <c r="D181" i="11" s="1"/>
  <c r="F181" i="11" s="1"/>
  <c r="C181" i="11"/>
  <c r="K181" i="11" s="1"/>
  <c r="E180" i="11"/>
  <c r="H183" i="11"/>
  <c r="B182" i="11"/>
  <c r="I182" i="11"/>
  <c r="F180" i="16"/>
  <c r="A180" i="16"/>
  <c r="E181" i="16"/>
  <c r="K282" i="4"/>
  <c r="D282" i="4" s="1"/>
  <c r="E282" i="4"/>
  <c r="F282" i="4" s="1"/>
  <c r="C283" i="4"/>
  <c r="J283" i="4"/>
  <c r="B284" i="4"/>
  <c r="H285" i="4"/>
  <c r="I284" i="4"/>
  <c r="G179" i="16"/>
  <c r="C179" i="16" s="1"/>
  <c r="B179" i="16"/>
  <c r="B304" i="14" l="1"/>
  <c r="I304" i="14"/>
  <c r="H305" i="14"/>
  <c r="G302" i="14"/>
  <c r="D302" i="14"/>
  <c r="C303" i="14"/>
  <c r="J303" i="14"/>
  <c r="J188" i="12"/>
  <c r="I189" i="12"/>
  <c r="D189" i="12" s="1"/>
  <c r="H190" i="12"/>
  <c r="C189" i="12"/>
  <c r="D179" i="16"/>
  <c r="B183" i="11"/>
  <c r="H184" i="11"/>
  <c r="I183" i="11"/>
  <c r="C182" i="11"/>
  <c r="K182" i="11" s="1"/>
  <c r="E182" i="11" s="1"/>
  <c r="J182" i="11"/>
  <c r="D182" i="11" s="1"/>
  <c r="F182" i="11" s="1"/>
  <c r="E181" i="11"/>
  <c r="K283" i="4"/>
  <c r="D283" i="4" s="1"/>
  <c r="E283" i="4"/>
  <c r="F283" i="4" s="1"/>
  <c r="F181" i="16"/>
  <c r="A181" i="16"/>
  <c r="E182" i="16"/>
  <c r="J284" i="4"/>
  <c r="C284" i="4"/>
  <c r="H286" i="4"/>
  <c r="I285" i="4"/>
  <c r="B285" i="4"/>
  <c r="B180" i="16"/>
  <c r="G180" i="16"/>
  <c r="C180" i="16" s="1"/>
  <c r="D180" i="16" s="1"/>
  <c r="G303" i="14" l="1"/>
  <c r="D303" i="14"/>
  <c r="H306" i="14"/>
  <c r="B305" i="14"/>
  <c r="I305" i="14"/>
  <c r="J304" i="14"/>
  <c r="C304" i="14"/>
  <c r="E188" i="12"/>
  <c r="F188" i="12"/>
  <c r="J189" i="12"/>
  <c r="C190" i="12"/>
  <c r="I190" i="12"/>
  <c r="D190" i="12" s="1"/>
  <c r="H191" i="12"/>
  <c r="J183" i="11"/>
  <c r="D183" i="11" s="1"/>
  <c r="F183" i="11" s="1"/>
  <c r="C183" i="11"/>
  <c r="K183" i="11" s="1"/>
  <c r="E183" i="11" s="1"/>
  <c r="B184" i="11"/>
  <c r="H185" i="11"/>
  <c r="I184" i="11"/>
  <c r="J285" i="4"/>
  <c r="C285" i="4"/>
  <c r="E183" i="16"/>
  <c r="F182" i="16"/>
  <c r="A182" i="16"/>
  <c r="K284" i="4"/>
  <c r="D284" i="4" s="1"/>
  <c r="E284" i="4"/>
  <c r="F284" i="4" s="1"/>
  <c r="H287" i="4"/>
  <c r="I286" i="4"/>
  <c r="B286" i="4"/>
  <c r="G181" i="16"/>
  <c r="C181" i="16" s="1"/>
  <c r="B181" i="16"/>
  <c r="H307" i="14" l="1"/>
  <c r="I306" i="14"/>
  <c r="B306" i="14"/>
  <c r="D304" i="14"/>
  <c r="G304" i="14"/>
  <c r="C305" i="14"/>
  <c r="J305" i="14"/>
  <c r="J190" i="12"/>
  <c r="E189" i="12"/>
  <c r="F189" i="12"/>
  <c r="I191" i="12"/>
  <c r="D191" i="12" s="1"/>
  <c r="C191" i="12"/>
  <c r="J191" i="12" s="1"/>
  <c r="H192" i="12"/>
  <c r="D181" i="16"/>
  <c r="H186" i="11"/>
  <c r="I185" i="11"/>
  <c r="B185" i="11"/>
  <c r="J184" i="11"/>
  <c r="D184" i="11" s="1"/>
  <c r="F184" i="11" s="1"/>
  <c r="C184" i="11"/>
  <c r="K184" i="11" s="1"/>
  <c r="E184" i="11" s="1"/>
  <c r="E285" i="4"/>
  <c r="F285" i="4" s="1"/>
  <c r="K285" i="4"/>
  <c r="D285" i="4" s="1"/>
  <c r="B287" i="4"/>
  <c r="I287" i="4"/>
  <c r="H288" i="4"/>
  <c r="G182" i="16"/>
  <c r="C182" i="16" s="1"/>
  <c r="B182" i="16"/>
  <c r="A183" i="16"/>
  <c r="E184" i="16"/>
  <c r="F183" i="16"/>
  <c r="C286" i="4"/>
  <c r="J286" i="4"/>
  <c r="H308" i="14" l="1"/>
  <c r="H309" i="14" s="1"/>
  <c r="B307" i="14"/>
  <c r="I307" i="14"/>
  <c r="G305" i="14"/>
  <c r="D305" i="14"/>
  <c r="J306" i="14"/>
  <c r="C306" i="14"/>
  <c r="E191" i="12"/>
  <c r="F191" i="12"/>
  <c r="F190" i="12"/>
  <c r="E190" i="12"/>
  <c r="I192" i="12"/>
  <c r="D192" i="12" s="1"/>
  <c r="H193" i="12"/>
  <c r="C192" i="12"/>
  <c r="J192" i="12" s="1"/>
  <c r="D182" i="16"/>
  <c r="C185" i="11"/>
  <c r="K185" i="11" s="1"/>
  <c r="E185" i="11" s="1"/>
  <c r="J185" i="11"/>
  <c r="D185" i="11" s="1"/>
  <c r="F185" i="11" s="1"/>
  <c r="I186" i="11"/>
  <c r="B186" i="11"/>
  <c r="H187" i="11"/>
  <c r="G183" i="16"/>
  <c r="C183" i="16" s="1"/>
  <c r="B183" i="16"/>
  <c r="K286" i="4"/>
  <c r="D286" i="4" s="1"/>
  <c r="E286" i="4"/>
  <c r="F286" i="4" s="1"/>
  <c r="F184" i="16"/>
  <c r="A184" i="16"/>
  <c r="E185" i="16"/>
  <c r="B288" i="4"/>
  <c r="H289" i="4"/>
  <c r="I288" i="4"/>
  <c r="C287" i="4"/>
  <c r="J287" i="4"/>
  <c r="B309" i="14" l="1"/>
  <c r="H310" i="14"/>
  <c r="B308" i="14"/>
  <c r="I308" i="14"/>
  <c r="I309" i="14" s="1"/>
  <c r="J307" i="14"/>
  <c r="C307" i="14"/>
  <c r="D306" i="14"/>
  <c r="G306" i="14"/>
  <c r="E192" i="12"/>
  <c r="F192" i="12"/>
  <c r="H194" i="12"/>
  <c r="C193" i="12"/>
  <c r="I193" i="12"/>
  <c r="D193" i="12" s="1"/>
  <c r="D183" i="16"/>
  <c r="C186" i="11"/>
  <c r="K186" i="11" s="1"/>
  <c r="J186" i="11"/>
  <c r="D186" i="11" s="1"/>
  <c r="F186" i="11" s="1"/>
  <c r="I187" i="11"/>
  <c r="B187" i="11"/>
  <c r="H188" i="11"/>
  <c r="F185" i="16"/>
  <c r="A185" i="16"/>
  <c r="E186" i="16"/>
  <c r="B184" i="16"/>
  <c r="G184" i="16"/>
  <c r="C184" i="16" s="1"/>
  <c r="J288" i="4"/>
  <c r="C288" i="4"/>
  <c r="H290" i="4"/>
  <c r="I289" i="4"/>
  <c r="B289" i="4"/>
  <c r="K287" i="4"/>
  <c r="D287" i="4" s="1"/>
  <c r="E287" i="4"/>
  <c r="F287" i="4" s="1"/>
  <c r="C309" i="14" l="1"/>
  <c r="B310" i="14"/>
  <c r="H311" i="14"/>
  <c r="I310" i="14"/>
  <c r="G307" i="14"/>
  <c r="D307" i="14"/>
  <c r="J308" i="14"/>
  <c r="J309" i="14" s="1"/>
  <c r="C308" i="14"/>
  <c r="J193" i="12"/>
  <c r="C194" i="12"/>
  <c r="H195" i="12"/>
  <c r="I194" i="12"/>
  <c r="D194" i="12" s="1"/>
  <c r="D184" i="16"/>
  <c r="B188" i="11"/>
  <c r="H189" i="11"/>
  <c r="I188" i="11"/>
  <c r="E186" i="11"/>
  <c r="C187" i="11"/>
  <c r="K187" i="11" s="1"/>
  <c r="E187" i="11" s="1"/>
  <c r="J187" i="11"/>
  <c r="D187" i="11" s="1"/>
  <c r="F187" i="11" s="1"/>
  <c r="J289" i="4"/>
  <c r="C289" i="4"/>
  <c r="H291" i="4"/>
  <c r="I290" i="4"/>
  <c r="B290" i="4"/>
  <c r="G185" i="16"/>
  <c r="C185" i="16" s="1"/>
  <c r="B185" i="16"/>
  <c r="K288" i="4"/>
  <c r="D288" i="4" s="1"/>
  <c r="E288" i="4"/>
  <c r="F288" i="4" s="1"/>
  <c r="E187" i="16"/>
  <c r="F186" i="16"/>
  <c r="A186" i="16"/>
  <c r="G309" i="14" l="1"/>
  <c r="D309" i="14"/>
  <c r="J310" i="14"/>
  <c r="C310" i="14"/>
  <c r="B311" i="14"/>
  <c r="H312" i="14"/>
  <c r="I311" i="14"/>
  <c r="D308" i="14"/>
  <c r="G308" i="14"/>
  <c r="E193" i="12"/>
  <c r="F193" i="12"/>
  <c r="I195" i="12"/>
  <c r="D195" i="12" s="1"/>
  <c r="H196" i="12"/>
  <c r="C195" i="12"/>
  <c r="J194" i="12"/>
  <c r="D185" i="16"/>
  <c r="J188" i="11"/>
  <c r="D188" i="11" s="1"/>
  <c r="F188" i="11" s="1"/>
  <c r="C188" i="11"/>
  <c r="K188" i="11" s="1"/>
  <c r="H190" i="11"/>
  <c r="B189" i="11"/>
  <c r="I189" i="11"/>
  <c r="A187" i="16"/>
  <c r="E188" i="16"/>
  <c r="F187" i="16"/>
  <c r="G186" i="16"/>
  <c r="C186" i="16" s="1"/>
  <c r="B186" i="16"/>
  <c r="B291" i="4"/>
  <c r="I291" i="4"/>
  <c r="H292" i="4"/>
  <c r="E289" i="4"/>
  <c r="F289" i="4" s="1"/>
  <c r="K289" i="4"/>
  <c r="D289" i="4" s="1"/>
  <c r="C290" i="4"/>
  <c r="J290" i="4"/>
  <c r="C311" i="14" l="1"/>
  <c r="J311" i="14"/>
  <c r="G310" i="14"/>
  <c r="D310" i="14"/>
  <c r="B312" i="14"/>
  <c r="H313" i="14"/>
  <c r="I312" i="14"/>
  <c r="J195" i="12"/>
  <c r="C196" i="12"/>
  <c r="H197" i="12"/>
  <c r="I196" i="12"/>
  <c r="D196" i="12" s="1"/>
  <c r="E194" i="12"/>
  <c r="F194" i="12"/>
  <c r="D186" i="16"/>
  <c r="I190" i="11"/>
  <c r="B190" i="11"/>
  <c r="H191" i="11"/>
  <c r="E188" i="11"/>
  <c r="C189" i="11"/>
  <c r="K189" i="11" s="1"/>
  <c r="E189" i="11" s="1"/>
  <c r="J189" i="11"/>
  <c r="D189" i="11" s="1"/>
  <c r="F189" i="11" s="1"/>
  <c r="C291" i="4"/>
  <c r="J291" i="4"/>
  <c r="K290" i="4"/>
  <c r="D290" i="4" s="1"/>
  <c r="E290" i="4"/>
  <c r="F290" i="4" s="1"/>
  <c r="G187" i="16"/>
  <c r="C187" i="16" s="1"/>
  <c r="B187" i="16"/>
  <c r="F188" i="16"/>
  <c r="A188" i="16"/>
  <c r="E189" i="16"/>
  <c r="B292" i="4"/>
  <c r="H293" i="4"/>
  <c r="I292" i="4"/>
  <c r="J312" i="14" l="1"/>
  <c r="C312" i="14"/>
  <c r="B313" i="14"/>
  <c r="H314" i="14"/>
  <c r="I313" i="14"/>
  <c r="G311" i="14"/>
  <c r="D311" i="14"/>
  <c r="F195" i="12"/>
  <c r="E195" i="12"/>
  <c r="C197" i="12"/>
  <c r="J197" i="12" s="1"/>
  <c r="I197" i="12"/>
  <c r="D197" i="12" s="1"/>
  <c r="H198" i="12"/>
  <c r="J196" i="12"/>
  <c r="D187" i="16"/>
  <c r="C190" i="11"/>
  <c r="K190" i="11" s="1"/>
  <c r="E190" i="11" s="1"/>
  <c r="J190" i="11"/>
  <c r="D190" i="11" s="1"/>
  <c r="F190" i="11" s="1"/>
  <c r="B191" i="11"/>
  <c r="H192" i="11"/>
  <c r="I191" i="11"/>
  <c r="F189" i="16"/>
  <c r="A189" i="16"/>
  <c r="E190" i="16"/>
  <c r="J292" i="4"/>
  <c r="C292" i="4"/>
  <c r="H294" i="4"/>
  <c r="I293" i="4"/>
  <c r="B293" i="4"/>
  <c r="B188" i="16"/>
  <c r="G188" i="16"/>
  <c r="C188" i="16" s="1"/>
  <c r="D188" i="16" s="1"/>
  <c r="K291" i="4"/>
  <c r="D291" i="4" s="1"/>
  <c r="E291" i="4"/>
  <c r="F291" i="4" s="1"/>
  <c r="B314" i="14" l="1"/>
  <c r="H315" i="14"/>
  <c r="I314" i="14"/>
  <c r="C313" i="14"/>
  <c r="J313" i="14"/>
  <c r="G312" i="14"/>
  <c r="D312" i="14"/>
  <c r="C198" i="12"/>
  <c r="H199" i="12"/>
  <c r="I198" i="12"/>
  <c r="D198" i="12" s="1"/>
  <c r="E197" i="12"/>
  <c r="F197" i="12"/>
  <c r="F196" i="12"/>
  <c r="E196" i="12"/>
  <c r="I192" i="11"/>
  <c r="B192" i="11"/>
  <c r="H193" i="11"/>
  <c r="J191" i="11"/>
  <c r="D191" i="11" s="1"/>
  <c r="F191" i="11" s="1"/>
  <c r="C191" i="11"/>
  <c r="K191" i="11" s="1"/>
  <c r="H295" i="4"/>
  <c r="I294" i="4"/>
  <c r="B294" i="4"/>
  <c r="E191" i="16"/>
  <c r="F190" i="16"/>
  <c r="A190" i="16"/>
  <c r="J293" i="4"/>
  <c r="C293" i="4"/>
  <c r="K292" i="4"/>
  <c r="D292" i="4" s="1"/>
  <c r="E292" i="4"/>
  <c r="F292" i="4" s="1"/>
  <c r="G189" i="16"/>
  <c r="C189" i="16" s="1"/>
  <c r="B189" i="16"/>
  <c r="J314" i="14" l="1"/>
  <c r="C314" i="14"/>
  <c r="B315" i="14"/>
  <c r="H316" i="14"/>
  <c r="I315" i="14"/>
  <c r="G313" i="14"/>
  <c r="D313" i="14"/>
  <c r="J198" i="12"/>
  <c r="I199" i="12"/>
  <c r="D199" i="12" s="1"/>
  <c r="H200" i="12"/>
  <c r="C199" i="12"/>
  <c r="J199" i="12" s="1"/>
  <c r="D189" i="16"/>
  <c r="I193" i="11"/>
  <c r="B193" i="11"/>
  <c r="H194" i="11"/>
  <c r="E191" i="11"/>
  <c r="J192" i="11"/>
  <c r="D192" i="11" s="1"/>
  <c r="F192" i="11" s="1"/>
  <c r="C192" i="11"/>
  <c r="K192" i="11" s="1"/>
  <c r="E192" i="11" s="1"/>
  <c r="E293" i="4"/>
  <c r="F293" i="4" s="1"/>
  <c r="K293" i="4"/>
  <c r="D293" i="4" s="1"/>
  <c r="G190" i="16"/>
  <c r="C190" i="16" s="1"/>
  <c r="B190" i="16"/>
  <c r="C294" i="4"/>
  <c r="J294" i="4"/>
  <c r="B295" i="4"/>
  <c r="H296" i="4"/>
  <c r="I295" i="4"/>
  <c r="A191" i="16"/>
  <c r="E192" i="16"/>
  <c r="F191" i="16"/>
  <c r="D314" i="14" l="1"/>
  <c r="G314" i="14"/>
  <c r="B316" i="14"/>
  <c r="H317" i="14"/>
  <c r="I316" i="14"/>
  <c r="C315" i="14"/>
  <c r="J315" i="14"/>
  <c r="E199" i="12"/>
  <c r="F199" i="12"/>
  <c r="C200" i="12"/>
  <c r="J200" i="12" s="1"/>
  <c r="H201" i="12"/>
  <c r="I200" i="12"/>
  <c r="D200" i="12" s="1"/>
  <c r="E198" i="12"/>
  <c r="F198" i="12"/>
  <c r="D190" i="16"/>
  <c r="B194" i="11"/>
  <c r="H195" i="11"/>
  <c r="I194" i="11"/>
  <c r="C193" i="11"/>
  <c r="K193" i="11" s="1"/>
  <c r="J193" i="11"/>
  <c r="D193" i="11" s="1"/>
  <c r="F193" i="11" s="1"/>
  <c r="C295" i="4"/>
  <c r="J295" i="4"/>
  <c r="G191" i="16"/>
  <c r="C191" i="16" s="1"/>
  <c r="D191" i="16" s="1"/>
  <c r="B191" i="16"/>
  <c r="B296" i="4"/>
  <c r="H297" i="4"/>
  <c r="I296" i="4"/>
  <c r="F192" i="16"/>
  <c r="A192" i="16"/>
  <c r="E193" i="16"/>
  <c r="K294" i="4"/>
  <c r="D294" i="4" s="1"/>
  <c r="E294" i="4"/>
  <c r="F294" i="4" s="1"/>
  <c r="B317" i="14" l="1"/>
  <c r="H318" i="14"/>
  <c r="I317" i="14"/>
  <c r="C316" i="14"/>
  <c r="J316" i="14"/>
  <c r="D315" i="14"/>
  <c r="G315" i="14"/>
  <c r="H202" i="12"/>
  <c r="C201" i="12"/>
  <c r="I201" i="12"/>
  <c r="D201" i="12" s="1"/>
  <c r="E200" i="12"/>
  <c r="F200" i="12"/>
  <c r="C194" i="11"/>
  <c r="K194" i="11" s="1"/>
  <c r="E194" i="11" s="1"/>
  <c r="J194" i="11"/>
  <c r="D194" i="11" s="1"/>
  <c r="F194" i="11" s="1"/>
  <c r="I195" i="11"/>
  <c r="B195" i="11"/>
  <c r="H196" i="11"/>
  <c r="E193" i="11"/>
  <c r="K295" i="4"/>
  <c r="D295" i="4" s="1"/>
  <c r="E295" i="4"/>
  <c r="F295" i="4" s="1"/>
  <c r="H298" i="4"/>
  <c r="I297" i="4"/>
  <c r="B297" i="4"/>
  <c r="F193" i="16"/>
  <c r="A193" i="16"/>
  <c r="E194" i="16"/>
  <c r="B192" i="16"/>
  <c r="G192" i="16"/>
  <c r="C192" i="16" s="1"/>
  <c r="D192" i="16" s="1"/>
  <c r="J296" i="4"/>
  <c r="C296" i="4"/>
  <c r="J317" i="14" l="1"/>
  <c r="C317" i="14"/>
  <c r="D316" i="14"/>
  <c r="G316" i="14"/>
  <c r="B318" i="14"/>
  <c r="H319" i="14"/>
  <c r="I318" i="14"/>
  <c r="J201" i="12"/>
  <c r="H203" i="12"/>
  <c r="C202" i="12"/>
  <c r="J202" i="12" s="1"/>
  <c r="I202" i="12"/>
  <c r="D202" i="12" s="1"/>
  <c r="J195" i="11"/>
  <c r="D195" i="11" s="1"/>
  <c r="F195" i="11" s="1"/>
  <c r="C195" i="11"/>
  <c r="K195" i="11" s="1"/>
  <c r="E195" i="11" s="1"/>
  <c r="I196" i="11"/>
  <c r="B196" i="11"/>
  <c r="H197" i="11"/>
  <c r="H299" i="4"/>
  <c r="I298" i="4"/>
  <c r="B298" i="4"/>
  <c r="G193" i="16"/>
  <c r="C193" i="16" s="1"/>
  <c r="D193" i="16" s="1"/>
  <c r="B193" i="16"/>
  <c r="K296" i="4"/>
  <c r="D296" i="4" s="1"/>
  <c r="E296" i="4"/>
  <c r="F296" i="4" s="1"/>
  <c r="E195" i="16"/>
  <c r="F194" i="16"/>
  <c r="A194" i="16"/>
  <c r="J297" i="4"/>
  <c r="C297" i="4"/>
  <c r="J318" i="14" l="1"/>
  <c r="C318" i="14"/>
  <c r="G317" i="14"/>
  <c r="D317" i="14"/>
  <c r="B319" i="14"/>
  <c r="H320" i="14"/>
  <c r="I319" i="14"/>
  <c r="E202" i="12"/>
  <c r="F202" i="12"/>
  <c r="I203" i="12"/>
  <c r="D203" i="12" s="1"/>
  <c r="C203" i="12"/>
  <c r="J203" i="12" s="1"/>
  <c r="H204" i="12"/>
  <c r="E201" i="12"/>
  <c r="F201" i="12"/>
  <c r="J196" i="11"/>
  <c r="D196" i="11" s="1"/>
  <c r="F196" i="11" s="1"/>
  <c r="C196" i="11"/>
  <c r="K196" i="11" s="1"/>
  <c r="E196" i="11" s="1"/>
  <c r="H198" i="11"/>
  <c r="I197" i="11"/>
  <c r="B197" i="11"/>
  <c r="G194" i="16"/>
  <c r="C194" i="16" s="1"/>
  <c r="B194" i="16"/>
  <c r="A195" i="16"/>
  <c r="E196" i="16"/>
  <c r="F195" i="16"/>
  <c r="E297" i="4"/>
  <c r="F297" i="4" s="1"/>
  <c r="K297" i="4"/>
  <c r="D297" i="4" s="1"/>
  <c r="C298" i="4"/>
  <c r="J298" i="4"/>
  <c r="B299" i="4"/>
  <c r="H300" i="4"/>
  <c r="I299" i="4"/>
  <c r="J319" i="14" l="1"/>
  <c r="C319" i="14"/>
  <c r="B320" i="14"/>
  <c r="H321" i="14"/>
  <c r="I320" i="14"/>
  <c r="G318" i="14"/>
  <c r="D318" i="14"/>
  <c r="E203" i="12"/>
  <c r="F203" i="12"/>
  <c r="C204" i="12"/>
  <c r="I204" i="12"/>
  <c r="D204" i="12" s="1"/>
  <c r="H205" i="12"/>
  <c r="D194" i="16"/>
  <c r="J197" i="11"/>
  <c r="D197" i="11" s="1"/>
  <c r="F197" i="11" s="1"/>
  <c r="C197" i="11"/>
  <c r="K197" i="11" s="1"/>
  <c r="E197" i="11" s="1"/>
  <c r="B198" i="11"/>
  <c r="H199" i="11"/>
  <c r="I198" i="11"/>
  <c r="C299" i="4"/>
  <c r="J299" i="4"/>
  <c r="K298" i="4"/>
  <c r="D298" i="4" s="1"/>
  <c r="E298" i="4"/>
  <c r="F298" i="4" s="1"/>
  <c r="F196" i="16"/>
  <c r="A196" i="16"/>
  <c r="E197" i="16"/>
  <c r="B300" i="4"/>
  <c r="H301" i="4"/>
  <c r="I300" i="4"/>
  <c r="G195" i="16"/>
  <c r="C195" i="16" s="1"/>
  <c r="B195" i="16"/>
  <c r="C320" i="14" l="1"/>
  <c r="J320" i="14"/>
  <c r="D319" i="14"/>
  <c r="G319" i="14"/>
  <c r="B321" i="14"/>
  <c r="H322" i="14"/>
  <c r="I321" i="14"/>
  <c r="H206" i="12"/>
  <c r="I205" i="12"/>
  <c r="D205" i="12" s="1"/>
  <c r="C205" i="12"/>
  <c r="J205" i="12" s="1"/>
  <c r="J204" i="12"/>
  <c r="D195" i="16"/>
  <c r="B199" i="11"/>
  <c r="H200" i="11"/>
  <c r="I199" i="11"/>
  <c r="C198" i="11"/>
  <c r="K198" i="11" s="1"/>
  <c r="E198" i="11" s="1"/>
  <c r="J198" i="11"/>
  <c r="D198" i="11" s="1"/>
  <c r="F198" i="11" s="1"/>
  <c r="F197" i="16"/>
  <c r="A197" i="16"/>
  <c r="E198" i="16"/>
  <c r="J300" i="4"/>
  <c r="C300" i="4"/>
  <c r="K299" i="4"/>
  <c r="D299" i="4" s="1"/>
  <c r="E299" i="4"/>
  <c r="F299" i="4" s="1"/>
  <c r="H302" i="4"/>
  <c r="I301" i="4"/>
  <c r="B301" i="4"/>
  <c r="B196" i="16"/>
  <c r="G196" i="16"/>
  <c r="C196" i="16" s="1"/>
  <c r="D196" i="16" s="1"/>
  <c r="C321" i="14" l="1"/>
  <c r="J321" i="14"/>
  <c r="B322" i="14"/>
  <c r="H323" i="14"/>
  <c r="I322" i="14"/>
  <c r="D320" i="14"/>
  <c r="G320" i="14"/>
  <c r="E205" i="12"/>
  <c r="F205" i="12"/>
  <c r="F204" i="12"/>
  <c r="E204" i="12"/>
  <c r="H207" i="12"/>
  <c r="C206" i="12"/>
  <c r="I206" i="12"/>
  <c r="D206" i="12" s="1"/>
  <c r="I200" i="11"/>
  <c r="B200" i="11"/>
  <c r="H201" i="11"/>
  <c r="J199" i="11"/>
  <c r="D199" i="11" s="1"/>
  <c r="F199" i="11" s="1"/>
  <c r="C199" i="11"/>
  <c r="K199" i="11" s="1"/>
  <c r="E199" i="16"/>
  <c r="F198" i="16"/>
  <c r="A198" i="16"/>
  <c r="J301" i="4"/>
  <c r="C301" i="4"/>
  <c r="K300" i="4"/>
  <c r="D300" i="4" s="1"/>
  <c r="E300" i="4"/>
  <c r="F300" i="4" s="1"/>
  <c r="G197" i="16"/>
  <c r="C197" i="16" s="1"/>
  <c r="B197" i="16"/>
  <c r="H303" i="4"/>
  <c r="I302" i="4"/>
  <c r="B302" i="4"/>
  <c r="C322" i="14" l="1"/>
  <c r="J322" i="14"/>
  <c r="B323" i="14"/>
  <c r="H324" i="14"/>
  <c r="I323" i="14"/>
  <c r="D321" i="14"/>
  <c r="G321" i="14"/>
  <c r="J206" i="12"/>
  <c r="I207" i="12"/>
  <c r="D207" i="12" s="1"/>
  <c r="H208" i="12"/>
  <c r="C207" i="12"/>
  <c r="J207" i="12" s="1"/>
  <c r="D197" i="16"/>
  <c r="I201" i="11"/>
  <c r="B201" i="11"/>
  <c r="H202" i="11"/>
  <c r="E199" i="11"/>
  <c r="J200" i="11"/>
  <c r="D200" i="11" s="1"/>
  <c r="F200" i="11" s="1"/>
  <c r="C200" i="11"/>
  <c r="K200" i="11" s="1"/>
  <c r="E200" i="11" s="1"/>
  <c r="G198" i="16"/>
  <c r="C198" i="16" s="1"/>
  <c r="B198" i="16"/>
  <c r="C302" i="4"/>
  <c r="J302" i="4"/>
  <c r="B303" i="4"/>
  <c r="I303" i="4"/>
  <c r="H304" i="4"/>
  <c r="E301" i="4"/>
  <c r="F301" i="4" s="1"/>
  <c r="K301" i="4"/>
  <c r="D301" i="4" s="1"/>
  <c r="A199" i="16"/>
  <c r="E200" i="16"/>
  <c r="F199" i="16"/>
  <c r="J323" i="14" l="1"/>
  <c r="C323" i="14"/>
  <c r="B324" i="14"/>
  <c r="H325" i="14"/>
  <c r="H326" i="14" s="1"/>
  <c r="I324" i="14"/>
  <c r="D322" i="14"/>
  <c r="G322" i="14"/>
  <c r="F206" i="12"/>
  <c r="E206" i="12"/>
  <c r="E207" i="12"/>
  <c r="F207" i="12"/>
  <c r="I208" i="12"/>
  <c r="D208" i="12" s="1"/>
  <c r="C208" i="12"/>
  <c r="H209" i="12"/>
  <c r="D198" i="16"/>
  <c r="H203" i="11"/>
  <c r="B202" i="11"/>
  <c r="I202" i="11"/>
  <c r="C201" i="11"/>
  <c r="K201" i="11" s="1"/>
  <c r="J201" i="11"/>
  <c r="D201" i="11" s="1"/>
  <c r="F201" i="11" s="1"/>
  <c r="G199" i="16"/>
  <c r="C199" i="16" s="1"/>
  <c r="B199" i="16"/>
  <c r="K302" i="4"/>
  <c r="D302" i="4" s="1"/>
  <c r="E302" i="4"/>
  <c r="F302" i="4" s="1"/>
  <c r="F200" i="16"/>
  <c r="A200" i="16"/>
  <c r="E201" i="16"/>
  <c r="B304" i="4"/>
  <c r="H305" i="4"/>
  <c r="I304" i="4"/>
  <c r="C303" i="4"/>
  <c r="J303" i="4"/>
  <c r="B326" i="14" l="1"/>
  <c r="H327" i="14"/>
  <c r="J324" i="14"/>
  <c r="C324" i="14"/>
  <c r="G323" i="14"/>
  <c r="D323" i="14"/>
  <c r="B325" i="14"/>
  <c r="I325" i="14"/>
  <c r="I326" i="14" s="1"/>
  <c r="H210" i="12"/>
  <c r="I209" i="12"/>
  <c r="D209" i="12" s="1"/>
  <c r="C209" i="12"/>
  <c r="J209" i="12" s="1"/>
  <c r="J208" i="12"/>
  <c r="D199" i="16"/>
  <c r="B203" i="11"/>
  <c r="H204" i="11"/>
  <c r="I203" i="11"/>
  <c r="E201" i="11"/>
  <c r="J202" i="11"/>
  <c r="D202" i="11" s="1"/>
  <c r="F202" i="11" s="1"/>
  <c r="C202" i="11"/>
  <c r="K202" i="11" s="1"/>
  <c r="E202" i="11" s="1"/>
  <c r="J304" i="4"/>
  <c r="C304" i="4"/>
  <c r="K303" i="4"/>
  <c r="D303" i="4" s="1"/>
  <c r="E303" i="4"/>
  <c r="F303" i="4" s="1"/>
  <c r="F201" i="16"/>
  <c r="A201" i="16"/>
  <c r="E202" i="16"/>
  <c r="H306" i="4"/>
  <c r="I305" i="4"/>
  <c r="B305" i="4"/>
  <c r="B200" i="16"/>
  <c r="G200" i="16"/>
  <c r="C200" i="16" s="1"/>
  <c r="D200" i="16" s="1"/>
  <c r="B327" i="14" l="1"/>
  <c r="H328" i="14"/>
  <c r="I327" i="14"/>
  <c r="C326" i="14"/>
  <c r="D324" i="14"/>
  <c r="G324" i="14"/>
  <c r="C325" i="14"/>
  <c r="J325" i="14"/>
  <c r="J326" i="14" s="1"/>
  <c r="I210" i="12"/>
  <c r="D210" i="12" s="1"/>
  <c r="C210" i="12"/>
  <c r="J210" i="12" s="1"/>
  <c r="H211" i="12"/>
  <c r="F208" i="12"/>
  <c r="E208" i="12"/>
  <c r="F209" i="12"/>
  <c r="E209" i="12"/>
  <c r="J203" i="11"/>
  <c r="D203" i="11" s="1"/>
  <c r="F203" i="11" s="1"/>
  <c r="C203" i="11"/>
  <c r="K203" i="11" s="1"/>
  <c r="E203" i="11" s="1"/>
  <c r="I204" i="11"/>
  <c r="B204" i="11"/>
  <c r="H205" i="11"/>
  <c r="G201" i="16"/>
  <c r="C201" i="16" s="1"/>
  <c r="B201" i="16"/>
  <c r="K304" i="4"/>
  <c r="D304" i="4" s="1"/>
  <c r="E304" i="4"/>
  <c r="F304" i="4" s="1"/>
  <c r="J305" i="4"/>
  <c r="C305" i="4"/>
  <c r="E203" i="16"/>
  <c r="F202" i="16"/>
  <c r="A202" i="16"/>
  <c r="H307" i="4"/>
  <c r="I306" i="4"/>
  <c r="B306" i="4"/>
  <c r="G326" i="14" l="1"/>
  <c r="D326" i="14"/>
  <c r="C327" i="14"/>
  <c r="J327" i="14"/>
  <c r="B328" i="14"/>
  <c r="I328" i="14"/>
  <c r="H329" i="14"/>
  <c r="G325" i="14"/>
  <c r="D325" i="14"/>
  <c r="I211" i="12"/>
  <c r="D211" i="12" s="1"/>
  <c r="H212" i="12"/>
  <c r="C211" i="12"/>
  <c r="E210" i="12"/>
  <c r="F210" i="12"/>
  <c r="D201" i="16"/>
  <c r="J204" i="11"/>
  <c r="D204" i="11" s="1"/>
  <c r="F204" i="11" s="1"/>
  <c r="C204" i="11"/>
  <c r="K204" i="11" s="1"/>
  <c r="E204" i="11" s="1"/>
  <c r="B205" i="11"/>
  <c r="I205" i="11"/>
  <c r="H206" i="11"/>
  <c r="G202" i="16"/>
  <c r="C202" i="16" s="1"/>
  <c r="D202" i="16" s="1"/>
  <c r="B202" i="16"/>
  <c r="B307" i="4"/>
  <c r="I307" i="4"/>
  <c r="H308" i="4"/>
  <c r="E305" i="4"/>
  <c r="F305" i="4" s="1"/>
  <c r="K305" i="4"/>
  <c r="D305" i="4" s="1"/>
  <c r="C306" i="4"/>
  <c r="J306" i="4"/>
  <c r="A203" i="16"/>
  <c r="E204" i="16"/>
  <c r="F203" i="16"/>
  <c r="G327" i="14" l="1"/>
  <c r="D327" i="14"/>
  <c r="C328" i="14"/>
  <c r="J328" i="14"/>
  <c r="B329" i="14"/>
  <c r="H330" i="14"/>
  <c r="I329" i="14"/>
  <c r="J211" i="12"/>
  <c r="C212" i="12"/>
  <c r="I212" i="12"/>
  <c r="D212" i="12" s="1"/>
  <c r="H213" i="12"/>
  <c r="J205" i="11"/>
  <c r="D205" i="11" s="1"/>
  <c r="F205" i="11" s="1"/>
  <c r="C205" i="11"/>
  <c r="K205" i="11" s="1"/>
  <c r="I206" i="11"/>
  <c r="H207" i="11"/>
  <c r="B206" i="11"/>
  <c r="K306" i="4"/>
  <c r="D306" i="4" s="1"/>
  <c r="E306" i="4"/>
  <c r="F306" i="4" s="1"/>
  <c r="G203" i="16"/>
  <c r="C203" i="16" s="1"/>
  <c r="B203" i="16"/>
  <c r="B308" i="4"/>
  <c r="H309" i="4"/>
  <c r="I308" i="4"/>
  <c r="F204" i="16"/>
  <c r="A204" i="16"/>
  <c r="E205" i="16"/>
  <c r="C307" i="4"/>
  <c r="J307" i="4"/>
  <c r="G328" i="14" l="1"/>
  <c r="D328" i="14"/>
  <c r="C329" i="14"/>
  <c r="J329" i="14"/>
  <c r="B330" i="14"/>
  <c r="H331" i="14"/>
  <c r="I330" i="14"/>
  <c r="F211" i="12"/>
  <c r="E211" i="12"/>
  <c r="H214" i="12"/>
  <c r="I213" i="12"/>
  <c r="D213" i="12" s="1"/>
  <c r="C213" i="12"/>
  <c r="J212" i="12"/>
  <c r="D203" i="16"/>
  <c r="H208" i="11"/>
  <c r="I207" i="11"/>
  <c r="B207" i="11"/>
  <c r="C206" i="11"/>
  <c r="K206" i="11" s="1"/>
  <c r="E206" i="11" s="1"/>
  <c r="J206" i="11"/>
  <c r="D206" i="11" s="1"/>
  <c r="F206" i="11" s="1"/>
  <c r="E205" i="11"/>
  <c r="B204" i="16"/>
  <c r="G204" i="16"/>
  <c r="C204" i="16" s="1"/>
  <c r="D204" i="16" s="1"/>
  <c r="F205" i="16"/>
  <c r="A205" i="16"/>
  <c r="E206" i="16"/>
  <c r="J308" i="4"/>
  <c r="C308" i="4"/>
  <c r="H310" i="4"/>
  <c r="I309" i="4"/>
  <c r="B309" i="4"/>
  <c r="K307" i="4"/>
  <c r="D307" i="4" s="1"/>
  <c r="E307" i="4"/>
  <c r="F307" i="4" s="1"/>
  <c r="D329" i="14" l="1"/>
  <c r="G329" i="14"/>
  <c r="C330" i="14"/>
  <c r="J330" i="14"/>
  <c r="B331" i="14"/>
  <c r="H332" i="14"/>
  <c r="I331" i="14"/>
  <c r="I214" i="12"/>
  <c r="D214" i="12" s="1"/>
  <c r="C214" i="12"/>
  <c r="J214" i="12" s="1"/>
  <c r="H215" i="12"/>
  <c r="F212" i="12"/>
  <c r="E212" i="12"/>
  <c r="J213" i="12"/>
  <c r="J207" i="11"/>
  <c r="D207" i="11" s="1"/>
  <c r="F207" i="11" s="1"/>
  <c r="C207" i="11"/>
  <c r="K207" i="11" s="1"/>
  <c r="E207" i="11" s="1"/>
  <c r="H209" i="11"/>
  <c r="I208" i="11"/>
  <c r="B208" i="11"/>
  <c r="G205" i="16"/>
  <c r="C205" i="16" s="1"/>
  <c r="B205" i="16"/>
  <c r="H311" i="4"/>
  <c r="I310" i="4"/>
  <c r="B310" i="4"/>
  <c r="K308" i="4"/>
  <c r="D308" i="4" s="1"/>
  <c r="E308" i="4"/>
  <c r="F308" i="4" s="1"/>
  <c r="J309" i="4"/>
  <c r="C309" i="4"/>
  <c r="E207" i="16"/>
  <c r="F206" i="16"/>
  <c r="A206" i="16"/>
  <c r="G330" i="14" l="1"/>
  <c r="D330" i="14"/>
  <c r="C331" i="14"/>
  <c r="J331" i="14"/>
  <c r="B332" i="14"/>
  <c r="H333" i="14"/>
  <c r="H334" i="14" s="1"/>
  <c r="I332" i="14"/>
  <c r="F213" i="12"/>
  <c r="E213" i="12"/>
  <c r="I215" i="12"/>
  <c r="D215" i="12" s="1"/>
  <c r="C215" i="12"/>
  <c r="J215" i="12" s="1"/>
  <c r="H216" i="12"/>
  <c r="F214" i="12"/>
  <c r="E214" i="12"/>
  <c r="D205" i="16"/>
  <c r="J208" i="11"/>
  <c r="D208" i="11" s="1"/>
  <c r="F208" i="11" s="1"/>
  <c r="C208" i="11"/>
  <c r="K208" i="11" s="1"/>
  <c r="E208" i="11" s="1"/>
  <c r="B209" i="11"/>
  <c r="H210" i="11"/>
  <c r="I209" i="11"/>
  <c r="E309" i="4"/>
  <c r="F309" i="4" s="1"/>
  <c r="K309" i="4"/>
  <c r="D309" i="4" s="1"/>
  <c r="A207" i="16"/>
  <c r="E208" i="16"/>
  <c r="F207" i="16"/>
  <c r="B311" i="4"/>
  <c r="H312" i="4"/>
  <c r="I311" i="4"/>
  <c r="G206" i="16"/>
  <c r="C206" i="16" s="1"/>
  <c r="B206" i="16"/>
  <c r="C310" i="4"/>
  <c r="J310" i="4"/>
  <c r="B334" i="14" l="1"/>
  <c r="H335" i="14"/>
  <c r="C332" i="14"/>
  <c r="J332" i="14"/>
  <c r="B333" i="14"/>
  <c r="I333" i="14"/>
  <c r="I334" i="14" s="1"/>
  <c r="G331" i="14"/>
  <c r="D331" i="14"/>
  <c r="E215" i="12"/>
  <c r="F215" i="12"/>
  <c r="C216" i="12"/>
  <c r="I216" i="12"/>
  <c r="D216" i="12" s="1"/>
  <c r="H217" i="12"/>
  <c r="D206" i="16"/>
  <c r="B210" i="11"/>
  <c r="I210" i="11"/>
  <c r="H211" i="11"/>
  <c r="J209" i="11"/>
  <c r="D209" i="11" s="1"/>
  <c r="F209" i="11" s="1"/>
  <c r="C209" i="11"/>
  <c r="K209" i="11" s="1"/>
  <c r="K310" i="4"/>
  <c r="D310" i="4" s="1"/>
  <c r="E310" i="4"/>
  <c r="F310" i="4" s="1"/>
  <c r="G207" i="16"/>
  <c r="C207" i="16" s="1"/>
  <c r="B207" i="16"/>
  <c r="B312" i="4"/>
  <c r="H313" i="4"/>
  <c r="I312" i="4"/>
  <c r="C311" i="4"/>
  <c r="J311" i="4"/>
  <c r="F208" i="16"/>
  <c r="A208" i="16"/>
  <c r="E209" i="16"/>
  <c r="I335" i="14" l="1"/>
  <c r="C334" i="14"/>
  <c r="B335" i="14"/>
  <c r="H336" i="14"/>
  <c r="C333" i="14"/>
  <c r="J333" i="14"/>
  <c r="J334" i="14" s="1"/>
  <c r="G332" i="14"/>
  <c r="D332" i="14"/>
  <c r="I217" i="12"/>
  <c r="D217" i="12" s="1"/>
  <c r="H218" i="12"/>
  <c r="C217" i="12"/>
  <c r="J217" i="12" s="1"/>
  <c r="J216" i="12"/>
  <c r="D207" i="16"/>
  <c r="I211" i="11"/>
  <c r="B211" i="11"/>
  <c r="H212" i="11"/>
  <c r="C210" i="11"/>
  <c r="K210" i="11" s="1"/>
  <c r="E210" i="11" s="1"/>
  <c r="J210" i="11"/>
  <c r="D210" i="11" s="1"/>
  <c r="F210" i="11" s="1"/>
  <c r="E209" i="11"/>
  <c r="K311" i="4"/>
  <c r="D311" i="4" s="1"/>
  <c r="E311" i="4"/>
  <c r="F311" i="4" s="1"/>
  <c r="B208" i="16"/>
  <c r="G208" i="16"/>
  <c r="C208" i="16" s="1"/>
  <c r="D208" i="16" s="1"/>
  <c r="E210" i="16"/>
  <c r="F209" i="16"/>
  <c r="A209" i="16"/>
  <c r="J312" i="4"/>
  <c r="C312" i="4"/>
  <c r="H314" i="4"/>
  <c r="I313" i="4"/>
  <c r="B313" i="4"/>
  <c r="G334" i="14" l="1"/>
  <c r="D334" i="14"/>
  <c r="B336" i="14"/>
  <c r="H337" i="14"/>
  <c r="I336" i="14"/>
  <c r="C335" i="14"/>
  <c r="J335" i="14"/>
  <c r="G333" i="14"/>
  <c r="D333" i="14"/>
  <c r="F217" i="12"/>
  <c r="E217" i="12"/>
  <c r="H219" i="12"/>
  <c r="I218" i="12"/>
  <c r="D218" i="12" s="1"/>
  <c r="C218" i="12"/>
  <c r="J218" i="12" s="1"/>
  <c r="F216" i="12"/>
  <c r="E216" i="12"/>
  <c r="H213" i="11"/>
  <c r="I212" i="11"/>
  <c r="B212" i="11"/>
  <c r="J211" i="11"/>
  <c r="D211" i="11" s="1"/>
  <c r="F211" i="11" s="1"/>
  <c r="C211" i="11"/>
  <c r="K211" i="11" s="1"/>
  <c r="E211" i="11" s="1"/>
  <c r="K312" i="4"/>
  <c r="D312" i="4" s="1"/>
  <c r="E312" i="4"/>
  <c r="F312" i="4" s="1"/>
  <c r="J313" i="4"/>
  <c r="C313" i="4"/>
  <c r="H315" i="4"/>
  <c r="I314" i="4"/>
  <c r="B314" i="4"/>
  <c r="G209" i="16"/>
  <c r="C209" i="16" s="1"/>
  <c r="D209" i="16" s="1"/>
  <c r="B209" i="16"/>
  <c r="E211" i="16"/>
  <c r="F210" i="16"/>
  <c r="A210" i="16"/>
  <c r="B337" i="14" l="1"/>
  <c r="H338" i="14"/>
  <c r="I337" i="14"/>
  <c r="D335" i="14"/>
  <c r="G335" i="14"/>
  <c r="C336" i="14"/>
  <c r="J336" i="14"/>
  <c r="C219" i="12"/>
  <c r="J219" i="12" s="1"/>
  <c r="I219" i="12"/>
  <c r="D219" i="12" s="1"/>
  <c r="H220" i="12"/>
  <c r="E218" i="12"/>
  <c r="F218" i="12"/>
  <c r="J212" i="11"/>
  <c r="D212" i="11" s="1"/>
  <c r="F212" i="11" s="1"/>
  <c r="C212" i="11"/>
  <c r="K212" i="11" s="1"/>
  <c r="E212" i="11" s="1"/>
  <c r="B213" i="11"/>
  <c r="H214" i="11"/>
  <c r="I213" i="11"/>
  <c r="G210" i="16"/>
  <c r="C210" i="16" s="1"/>
  <c r="D210" i="16" s="1"/>
  <c r="B210" i="16"/>
  <c r="F211" i="16"/>
  <c r="A211" i="16"/>
  <c r="E212" i="16"/>
  <c r="E313" i="4"/>
  <c r="F313" i="4" s="1"/>
  <c r="K313" i="4"/>
  <c r="D313" i="4" s="1"/>
  <c r="C314" i="4"/>
  <c r="J314" i="4"/>
  <c r="B315" i="4"/>
  <c r="H316" i="4"/>
  <c r="I315" i="4"/>
  <c r="D336" i="14" l="1"/>
  <c r="G336" i="14"/>
  <c r="J337" i="14"/>
  <c r="C337" i="14"/>
  <c r="B338" i="14"/>
  <c r="H339" i="14"/>
  <c r="I338" i="14"/>
  <c r="H221" i="12"/>
  <c r="C220" i="12"/>
  <c r="J220" i="12" s="1"/>
  <c r="I220" i="12"/>
  <c r="D220" i="12" s="1"/>
  <c r="F219" i="12"/>
  <c r="E219" i="12"/>
  <c r="B214" i="11"/>
  <c r="I214" i="11"/>
  <c r="H215" i="11"/>
  <c r="J213" i="11"/>
  <c r="D213" i="11" s="1"/>
  <c r="F213" i="11" s="1"/>
  <c r="C213" i="11"/>
  <c r="K213" i="11" s="1"/>
  <c r="E213" i="11" s="1"/>
  <c r="B316" i="4"/>
  <c r="H317" i="4"/>
  <c r="I316" i="4"/>
  <c r="F212" i="16"/>
  <c r="A212" i="16"/>
  <c r="E213" i="16"/>
  <c r="K314" i="4"/>
  <c r="D314" i="4" s="1"/>
  <c r="E314" i="4"/>
  <c r="F314" i="4" s="1"/>
  <c r="C315" i="4"/>
  <c r="J315" i="4"/>
  <c r="B211" i="16"/>
  <c r="G211" i="16"/>
  <c r="C211" i="16" s="1"/>
  <c r="D211" i="16" s="1"/>
  <c r="C338" i="14" l="1"/>
  <c r="J338" i="14"/>
  <c r="G337" i="14"/>
  <c r="D337" i="14"/>
  <c r="B339" i="14"/>
  <c r="H340" i="14"/>
  <c r="I339" i="14"/>
  <c r="E220" i="12"/>
  <c r="F220" i="12"/>
  <c r="I221" i="12"/>
  <c r="D221" i="12" s="1"/>
  <c r="H222" i="12"/>
  <c r="C221" i="12"/>
  <c r="I215" i="11"/>
  <c r="B215" i="11"/>
  <c r="H216" i="11"/>
  <c r="J214" i="11"/>
  <c r="D214" i="11" s="1"/>
  <c r="F214" i="11" s="1"/>
  <c r="C214" i="11"/>
  <c r="K214" i="11" s="1"/>
  <c r="K315" i="4"/>
  <c r="D315" i="4" s="1"/>
  <c r="E315" i="4"/>
  <c r="F315" i="4" s="1"/>
  <c r="J316" i="4"/>
  <c r="C316" i="4"/>
  <c r="E214" i="16"/>
  <c r="F213" i="16"/>
  <c r="A213" i="16"/>
  <c r="G212" i="16"/>
  <c r="C212" i="16" s="1"/>
  <c r="D212" i="16" s="1"/>
  <c r="B212" i="16"/>
  <c r="H318" i="4"/>
  <c r="I317" i="4"/>
  <c r="B317" i="4"/>
  <c r="B340" i="14" l="1"/>
  <c r="H341" i="14"/>
  <c r="I340" i="14"/>
  <c r="D338" i="14"/>
  <c r="G338" i="14"/>
  <c r="C339" i="14"/>
  <c r="J339" i="14"/>
  <c r="J221" i="12"/>
  <c r="C222" i="12"/>
  <c r="H223" i="12"/>
  <c r="I222" i="12"/>
  <c r="D222" i="12" s="1"/>
  <c r="I216" i="11"/>
  <c r="B216" i="11"/>
  <c r="H217" i="11"/>
  <c r="E214" i="11"/>
  <c r="J215" i="11"/>
  <c r="D215" i="11" s="1"/>
  <c r="F215" i="11" s="1"/>
  <c r="C215" i="11"/>
  <c r="K215" i="11" s="1"/>
  <c r="A214" i="16"/>
  <c r="E215" i="16"/>
  <c r="F214" i="16"/>
  <c r="H319" i="4"/>
  <c r="I318" i="4"/>
  <c r="B318" i="4"/>
  <c r="G213" i="16"/>
  <c r="C213" i="16" s="1"/>
  <c r="D213" i="16" s="1"/>
  <c r="B213" i="16"/>
  <c r="J317" i="4"/>
  <c r="C317" i="4"/>
  <c r="K316" i="4"/>
  <c r="D316" i="4" s="1"/>
  <c r="E316" i="4"/>
  <c r="F316" i="4" s="1"/>
  <c r="D339" i="14" l="1"/>
  <c r="G339" i="14"/>
  <c r="J340" i="14"/>
  <c r="C340" i="14"/>
  <c r="B341" i="14"/>
  <c r="H342" i="14"/>
  <c r="I341" i="14"/>
  <c r="I223" i="12"/>
  <c r="D223" i="12" s="1"/>
  <c r="H224" i="12"/>
  <c r="C223" i="12"/>
  <c r="J223" i="12" s="1"/>
  <c r="J222" i="12"/>
  <c r="F221" i="12"/>
  <c r="E221" i="12"/>
  <c r="B217" i="11"/>
  <c r="H218" i="11"/>
  <c r="I217" i="11"/>
  <c r="E215" i="11"/>
  <c r="J216" i="11"/>
  <c r="D216" i="11" s="1"/>
  <c r="F216" i="11" s="1"/>
  <c r="C216" i="11"/>
  <c r="K216" i="11" s="1"/>
  <c r="C318" i="4"/>
  <c r="J318" i="4"/>
  <c r="E317" i="4"/>
  <c r="F317" i="4" s="1"/>
  <c r="K317" i="4"/>
  <c r="D317" i="4" s="1"/>
  <c r="B319" i="4"/>
  <c r="I319" i="4"/>
  <c r="H320" i="4"/>
  <c r="F215" i="16"/>
  <c r="A215" i="16"/>
  <c r="E216" i="16"/>
  <c r="G214" i="16"/>
  <c r="C214" i="16" s="1"/>
  <c r="D214" i="16" s="1"/>
  <c r="B214" i="16"/>
  <c r="C341" i="14" l="1"/>
  <c r="J341" i="14"/>
  <c r="D340" i="14"/>
  <c r="G340" i="14"/>
  <c r="B342" i="14"/>
  <c r="H343" i="14"/>
  <c r="I342" i="14"/>
  <c r="E223" i="12"/>
  <c r="F223" i="12"/>
  <c r="E222" i="12"/>
  <c r="F222" i="12"/>
  <c r="H225" i="12"/>
  <c r="I224" i="12"/>
  <c r="D224" i="12" s="1"/>
  <c r="C224" i="12"/>
  <c r="J224" i="12" s="1"/>
  <c r="C217" i="11"/>
  <c r="K217" i="11" s="1"/>
  <c r="E217" i="11" s="1"/>
  <c r="J217" i="11"/>
  <c r="D217" i="11" s="1"/>
  <c r="F217" i="11" s="1"/>
  <c r="E216" i="11"/>
  <c r="I218" i="11"/>
  <c r="B218" i="11"/>
  <c r="H219" i="11"/>
  <c r="B215" i="16"/>
  <c r="G215" i="16"/>
  <c r="C215" i="16" s="1"/>
  <c r="D215" i="16" s="1"/>
  <c r="B320" i="4"/>
  <c r="H321" i="4"/>
  <c r="I320" i="4"/>
  <c r="F216" i="16"/>
  <c r="A216" i="16"/>
  <c r="E217" i="16"/>
  <c r="C319" i="4"/>
  <c r="J319" i="4"/>
  <c r="K318" i="4"/>
  <c r="D318" i="4" s="1"/>
  <c r="E318" i="4"/>
  <c r="F318" i="4" s="1"/>
  <c r="B343" i="14" l="1"/>
  <c r="H344" i="14"/>
  <c r="I343" i="14"/>
  <c r="J342" i="14"/>
  <c r="C342" i="14"/>
  <c r="G341" i="14"/>
  <c r="D341" i="14"/>
  <c r="F224" i="12"/>
  <c r="E224" i="12"/>
  <c r="I225" i="12"/>
  <c r="D225" i="12" s="1"/>
  <c r="C225" i="12"/>
  <c r="H226" i="12"/>
  <c r="J218" i="11"/>
  <c r="D218" i="11" s="1"/>
  <c r="F218" i="11" s="1"/>
  <c r="C218" i="11"/>
  <c r="K218" i="11" s="1"/>
  <c r="E218" i="11" s="1"/>
  <c r="I219" i="11"/>
  <c r="B219" i="11"/>
  <c r="H220" i="11"/>
  <c r="K319" i="4"/>
  <c r="D319" i="4" s="1"/>
  <c r="E319" i="4"/>
  <c r="F319" i="4" s="1"/>
  <c r="G216" i="16"/>
  <c r="C216" i="16" s="1"/>
  <c r="D216" i="16" s="1"/>
  <c r="B216" i="16"/>
  <c r="E218" i="16"/>
  <c r="F217" i="16"/>
  <c r="A217" i="16"/>
  <c r="J320" i="4"/>
  <c r="C320" i="4"/>
  <c r="H322" i="4"/>
  <c r="I321" i="4"/>
  <c r="B321" i="4"/>
  <c r="G342" i="14" l="1"/>
  <c r="D342" i="14"/>
  <c r="C343" i="14"/>
  <c r="J343" i="14"/>
  <c r="B344" i="14"/>
  <c r="H345" i="14"/>
  <c r="I344" i="14"/>
  <c r="J225" i="12"/>
  <c r="I226" i="12"/>
  <c r="D226" i="12" s="1"/>
  <c r="H227" i="12"/>
  <c r="C226" i="12"/>
  <c r="J226" i="12" s="1"/>
  <c r="C219" i="11"/>
  <c r="K219" i="11" s="1"/>
  <c r="J219" i="11"/>
  <c r="D219" i="11" s="1"/>
  <c r="F219" i="11" s="1"/>
  <c r="B220" i="11"/>
  <c r="H221" i="11"/>
  <c r="I220" i="11"/>
  <c r="J321" i="4"/>
  <c r="C321" i="4"/>
  <c r="G217" i="16"/>
  <c r="C217" i="16" s="1"/>
  <c r="D217" i="16" s="1"/>
  <c r="B217" i="16"/>
  <c r="H323" i="4"/>
  <c r="I322" i="4"/>
  <c r="B322" i="4"/>
  <c r="A218" i="16"/>
  <c r="E219" i="16"/>
  <c r="F218" i="16"/>
  <c r="K320" i="4"/>
  <c r="D320" i="4" s="1"/>
  <c r="E320" i="4"/>
  <c r="F320" i="4" s="1"/>
  <c r="C344" i="14" l="1"/>
  <c r="J344" i="14"/>
  <c r="B345" i="14"/>
  <c r="H346" i="14"/>
  <c r="I345" i="14"/>
  <c r="D343" i="14"/>
  <c r="G343" i="14"/>
  <c r="E226" i="12"/>
  <c r="F226" i="12"/>
  <c r="I227" i="12"/>
  <c r="D227" i="12" s="1"/>
  <c r="C227" i="12"/>
  <c r="H228" i="12"/>
  <c r="E225" i="12"/>
  <c r="F225" i="12"/>
  <c r="J220" i="11"/>
  <c r="D220" i="11" s="1"/>
  <c r="F220" i="11" s="1"/>
  <c r="C220" i="11"/>
  <c r="K220" i="11" s="1"/>
  <c r="E219" i="11"/>
  <c r="H222" i="11"/>
  <c r="B221" i="11"/>
  <c r="I221" i="11"/>
  <c r="G218" i="16"/>
  <c r="C218" i="16" s="1"/>
  <c r="D218" i="16" s="1"/>
  <c r="B218" i="16"/>
  <c r="E220" i="16"/>
  <c r="F219" i="16"/>
  <c r="A219" i="16"/>
  <c r="C322" i="4"/>
  <c r="J322" i="4"/>
  <c r="B323" i="4"/>
  <c r="I323" i="4"/>
  <c r="H324" i="4"/>
  <c r="E321" i="4"/>
  <c r="F321" i="4" s="1"/>
  <c r="K321" i="4"/>
  <c r="D321" i="4" s="1"/>
  <c r="B346" i="14" l="1"/>
  <c r="H347" i="14"/>
  <c r="I346" i="14"/>
  <c r="G344" i="14"/>
  <c r="D344" i="14"/>
  <c r="J345" i="14"/>
  <c r="C345" i="14"/>
  <c r="J227" i="12"/>
  <c r="C228" i="12"/>
  <c r="J228" i="12" s="1"/>
  <c r="H229" i="12"/>
  <c r="I228" i="12"/>
  <c r="D228" i="12" s="1"/>
  <c r="B222" i="11"/>
  <c r="H223" i="11"/>
  <c r="I222" i="11"/>
  <c r="C221" i="11"/>
  <c r="K221" i="11" s="1"/>
  <c r="J221" i="11"/>
  <c r="D221" i="11" s="1"/>
  <c r="F221" i="11" s="1"/>
  <c r="E220" i="11"/>
  <c r="C323" i="4"/>
  <c r="J323" i="4"/>
  <c r="B219" i="16"/>
  <c r="G219" i="16"/>
  <c r="C219" i="16" s="1"/>
  <c r="D219" i="16" s="1"/>
  <c r="B324" i="4"/>
  <c r="H325" i="4"/>
  <c r="I324" i="4"/>
  <c r="K322" i="4"/>
  <c r="D322" i="4" s="1"/>
  <c r="E322" i="4"/>
  <c r="F322" i="4" s="1"/>
  <c r="F220" i="16"/>
  <c r="A220" i="16"/>
  <c r="E221" i="16"/>
  <c r="C346" i="14" l="1"/>
  <c r="J346" i="14"/>
  <c r="D345" i="14"/>
  <c r="G345" i="14"/>
  <c r="B347" i="14"/>
  <c r="H348" i="14"/>
  <c r="I347" i="14"/>
  <c r="I229" i="12"/>
  <c r="D229" i="12" s="1"/>
  <c r="C229" i="12"/>
  <c r="J229" i="12" s="1"/>
  <c r="H230" i="12"/>
  <c r="F228" i="12"/>
  <c r="E228" i="12"/>
  <c r="F227" i="12"/>
  <c r="E227" i="12"/>
  <c r="E221" i="11"/>
  <c r="J222" i="11"/>
  <c r="D222" i="11" s="1"/>
  <c r="F222" i="11" s="1"/>
  <c r="C222" i="11"/>
  <c r="K222" i="11" s="1"/>
  <c r="E222" i="11" s="1"/>
  <c r="H224" i="11"/>
  <c r="B223" i="11"/>
  <c r="I223" i="11"/>
  <c r="K323" i="4"/>
  <c r="D323" i="4" s="1"/>
  <c r="E323" i="4"/>
  <c r="F323" i="4" s="1"/>
  <c r="F221" i="16"/>
  <c r="E222" i="16"/>
  <c r="A221" i="16"/>
  <c r="H326" i="4"/>
  <c r="I325" i="4"/>
  <c r="B325" i="4"/>
  <c r="B220" i="16"/>
  <c r="G220" i="16"/>
  <c r="C220" i="16" s="1"/>
  <c r="D220" i="16" s="1"/>
  <c r="J324" i="4"/>
  <c r="C324" i="4"/>
  <c r="B348" i="14" l="1"/>
  <c r="H349" i="14"/>
  <c r="H350" i="14" s="1"/>
  <c r="I348" i="14"/>
  <c r="C347" i="14"/>
  <c r="J347" i="14"/>
  <c r="D346" i="14"/>
  <c r="G346" i="14"/>
  <c r="F229" i="12"/>
  <c r="E229" i="12"/>
  <c r="I230" i="12"/>
  <c r="D230" i="12" s="1"/>
  <c r="H231" i="12"/>
  <c r="C230" i="12"/>
  <c r="J223" i="11"/>
  <c r="D223" i="11" s="1"/>
  <c r="F223" i="11" s="1"/>
  <c r="C223" i="11"/>
  <c r="K223" i="11" s="1"/>
  <c r="H225" i="11"/>
  <c r="B224" i="11"/>
  <c r="I224" i="11"/>
  <c r="K324" i="4"/>
  <c r="D324" i="4" s="1"/>
  <c r="E324" i="4"/>
  <c r="F324" i="4" s="1"/>
  <c r="J325" i="4"/>
  <c r="C325" i="4"/>
  <c r="E223" i="16"/>
  <c r="A222" i="16"/>
  <c r="F222" i="16"/>
  <c r="H327" i="4"/>
  <c r="I326" i="4"/>
  <c r="B326" i="4"/>
  <c r="G221" i="16"/>
  <c r="C221" i="16" s="1"/>
  <c r="D221" i="16" s="1"/>
  <c r="B221" i="16"/>
  <c r="B350" i="14" l="1"/>
  <c r="H351" i="14"/>
  <c r="C348" i="14"/>
  <c r="J348" i="14"/>
  <c r="G347" i="14"/>
  <c r="D347" i="14"/>
  <c r="B349" i="14"/>
  <c r="I349" i="14"/>
  <c r="I350" i="14" s="1"/>
  <c r="J230" i="12"/>
  <c r="I231" i="12"/>
  <c r="D231" i="12" s="1"/>
  <c r="H232" i="12"/>
  <c r="C231" i="12"/>
  <c r="B225" i="11"/>
  <c r="I225" i="11"/>
  <c r="H226" i="11"/>
  <c r="E223" i="11"/>
  <c r="J224" i="11"/>
  <c r="D224" i="11" s="1"/>
  <c r="F224" i="11" s="1"/>
  <c r="C224" i="11"/>
  <c r="K224" i="11" s="1"/>
  <c r="E224" i="11" s="1"/>
  <c r="C326" i="4"/>
  <c r="J326" i="4"/>
  <c r="G222" i="16"/>
  <c r="C222" i="16" s="1"/>
  <c r="B222" i="16"/>
  <c r="B327" i="4"/>
  <c r="H328" i="4"/>
  <c r="I327" i="4"/>
  <c r="A223" i="16"/>
  <c r="E224" i="16"/>
  <c r="F223" i="16"/>
  <c r="E325" i="4"/>
  <c r="F325" i="4" s="1"/>
  <c r="K325" i="4"/>
  <c r="D325" i="4" s="1"/>
  <c r="C350" i="14" l="1"/>
  <c r="B351" i="14"/>
  <c r="H352" i="14"/>
  <c r="I351" i="14"/>
  <c r="C349" i="14"/>
  <c r="J349" i="14"/>
  <c r="J350" i="14" s="1"/>
  <c r="G348" i="14"/>
  <c r="D348" i="14"/>
  <c r="J231" i="12"/>
  <c r="C232" i="12"/>
  <c r="I232" i="12"/>
  <c r="D232" i="12" s="1"/>
  <c r="H233" i="12"/>
  <c r="F230" i="12"/>
  <c r="E230" i="12"/>
  <c r="D222" i="16"/>
  <c r="B226" i="11"/>
  <c r="I226" i="11"/>
  <c r="H227" i="11"/>
  <c r="J225" i="11"/>
  <c r="D225" i="11" s="1"/>
  <c r="F225" i="11" s="1"/>
  <c r="C225" i="11"/>
  <c r="K225" i="11" s="1"/>
  <c r="E225" i="11" s="1"/>
  <c r="B223" i="16"/>
  <c r="G223" i="16"/>
  <c r="C223" i="16" s="1"/>
  <c r="D223" i="16" s="1"/>
  <c r="F224" i="16"/>
  <c r="A224" i="16"/>
  <c r="E225" i="16"/>
  <c r="C327" i="4"/>
  <c r="J327" i="4"/>
  <c r="B328" i="4"/>
  <c r="H329" i="4"/>
  <c r="I328" i="4"/>
  <c r="K326" i="4"/>
  <c r="D326" i="4" s="1"/>
  <c r="E326" i="4"/>
  <c r="F326" i="4" s="1"/>
  <c r="D350" i="14" l="1"/>
  <c r="G350" i="14"/>
  <c r="B352" i="14"/>
  <c r="H353" i="14"/>
  <c r="I352" i="14"/>
  <c r="C351" i="14"/>
  <c r="J351" i="14"/>
  <c r="G349" i="14"/>
  <c r="D349" i="14"/>
  <c r="C233" i="12"/>
  <c r="H234" i="12"/>
  <c r="I233" i="12"/>
  <c r="D233" i="12" s="1"/>
  <c r="J232" i="12"/>
  <c r="F231" i="12"/>
  <c r="E231" i="12"/>
  <c r="B227" i="11"/>
  <c r="I227" i="11"/>
  <c r="H228" i="11"/>
  <c r="C226" i="11"/>
  <c r="K226" i="11" s="1"/>
  <c r="E226" i="11" s="1"/>
  <c r="J226" i="11"/>
  <c r="D226" i="11" s="1"/>
  <c r="F226" i="11" s="1"/>
  <c r="J328" i="4"/>
  <c r="C328" i="4"/>
  <c r="F225" i="16"/>
  <c r="E226" i="16"/>
  <c r="A225" i="16"/>
  <c r="K327" i="4"/>
  <c r="D327" i="4" s="1"/>
  <c r="E327" i="4"/>
  <c r="F327" i="4" s="1"/>
  <c r="B224" i="16"/>
  <c r="G224" i="16"/>
  <c r="C224" i="16" s="1"/>
  <c r="D224" i="16" s="1"/>
  <c r="H330" i="4"/>
  <c r="I329" i="4"/>
  <c r="B329" i="4"/>
  <c r="J352" i="14" l="1"/>
  <c r="C352" i="14"/>
  <c r="B353" i="14"/>
  <c r="H354" i="14"/>
  <c r="I353" i="14"/>
  <c r="G351" i="14"/>
  <c r="D351" i="14"/>
  <c r="F232" i="12"/>
  <c r="E232" i="12"/>
  <c r="I234" i="12"/>
  <c r="D234" i="12" s="1"/>
  <c r="H235" i="12"/>
  <c r="C234" i="12"/>
  <c r="J233" i="12"/>
  <c r="B228" i="11"/>
  <c r="H229" i="11"/>
  <c r="I228" i="11"/>
  <c r="J227" i="11"/>
  <c r="D227" i="11" s="1"/>
  <c r="F227" i="11" s="1"/>
  <c r="C227" i="11"/>
  <c r="K227" i="11" s="1"/>
  <c r="E227" i="11" s="1"/>
  <c r="H331" i="4"/>
  <c r="I330" i="4"/>
  <c r="B330" i="4"/>
  <c r="E227" i="16"/>
  <c r="A226" i="16"/>
  <c r="F226" i="16"/>
  <c r="J329" i="4"/>
  <c r="C329" i="4"/>
  <c r="G225" i="16"/>
  <c r="C225" i="16" s="1"/>
  <c r="B225" i="16"/>
  <c r="K328" i="4"/>
  <c r="D328" i="4" s="1"/>
  <c r="E328" i="4"/>
  <c r="F328" i="4" s="1"/>
  <c r="B354" i="14" l="1"/>
  <c r="H355" i="14"/>
  <c r="I354" i="14"/>
  <c r="C353" i="14"/>
  <c r="J353" i="14"/>
  <c r="D352" i="14"/>
  <c r="G352" i="14"/>
  <c r="J234" i="12"/>
  <c r="I235" i="12"/>
  <c r="D235" i="12" s="1"/>
  <c r="H236" i="12"/>
  <c r="C235" i="12"/>
  <c r="E233" i="12"/>
  <c r="F233" i="12"/>
  <c r="D225" i="16"/>
  <c r="C228" i="11"/>
  <c r="K228" i="11" s="1"/>
  <c r="E228" i="11" s="1"/>
  <c r="J228" i="11"/>
  <c r="D228" i="11" s="1"/>
  <c r="F228" i="11" s="1"/>
  <c r="I229" i="11"/>
  <c r="B229" i="11"/>
  <c r="H230" i="11"/>
  <c r="G226" i="16"/>
  <c r="C226" i="16" s="1"/>
  <c r="D226" i="16" s="1"/>
  <c r="B226" i="16"/>
  <c r="A227" i="16"/>
  <c r="E228" i="16"/>
  <c r="F227" i="16"/>
  <c r="C330" i="4"/>
  <c r="J330" i="4"/>
  <c r="E329" i="4"/>
  <c r="F329" i="4" s="1"/>
  <c r="K329" i="4"/>
  <c r="D329" i="4" s="1"/>
  <c r="B331" i="4"/>
  <c r="H332" i="4"/>
  <c r="I331" i="4"/>
  <c r="C354" i="14" l="1"/>
  <c r="J354" i="14"/>
  <c r="B355" i="14"/>
  <c r="H356" i="14"/>
  <c r="I355" i="14"/>
  <c r="D353" i="14"/>
  <c r="G353" i="14"/>
  <c r="J235" i="12"/>
  <c r="H237" i="12"/>
  <c r="C236" i="12"/>
  <c r="J236" i="12" s="1"/>
  <c r="I236" i="12"/>
  <c r="D236" i="12" s="1"/>
  <c r="F234" i="12"/>
  <c r="E234" i="12"/>
  <c r="C229" i="11"/>
  <c r="K229" i="11" s="1"/>
  <c r="E229" i="11" s="1"/>
  <c r="J229" i="11"/>
  <c r="D229" i="11" s="1"/>
  <c r="F229" i="11" s="1"/>
  <c r="H231" i="11"/>
  <c r="I230" i="11"/>
  <c r="B230" i="11"/>
  <c r="C331" i="4"/>
  <c r="J331" i="4"/>
  <c r="B332" i="4"/>
  <c r="H333" i="4"/>
  <c r="I332" i="4"/>
  <c r="K330" i="4"/>
  <c r="D330" i="4" s="1"/>
  <c r="E330" i="4"/>
  <c r="F330" i="4" s="1"/>
  <c r="B227" i="16"/>
  <c r="G227" i="16"/>
  <c r="C227" i="16" s="1"/>
  <c r="D227" i="16" s="1"/>
  <c r="F228" i="16"/>
  <c r="A228" i="16"/>
  <c r="E229" i="16"/>
  <c r="B356" i="14" l="1"/>
  <c r="H357" i="14"/>
  <c r="I356" i="14"/>
  <c r="G354" i="14"/>
  <c r="D354" i="14"/>
  <c r="C355" i="14"/>
  <c r="J355" i="14"/>
  <c r="F236" i="12"/>
  <c r="E236" i="12"/>
  <c r="H238" i="12"/>
  <c r="I237" i="12"/>
  <c r="D237" i="12" s="1"/>
  <c r="C237" i="12"/>
  <c r="J237" i="12" s="1"/>
  <c r="E235" i="12"/>
  <c r="F235" i="12"/>
  <c r="J230" i="11"/>
  <c r="D230" i="11" s="1"/>
  <c r="F230" i="11" s="1"/>
  <c r="C230" i="11"/>
  <c r="K230" i="11" s="1"/>
  <c r="E230" i="11" s="1"/>
  <c r="B231" i="11"/>
  <c r="H232" i="11"/>
  <c r="I231" i="11"/>
  <c r="H334" i="4"/>
  <c r="I333" i="4"/>
  <c r="B333" i="4"/>
  <c r="F229" i="16"/>
  <c r="E230" i="16"/>
  <c r="A229" i="16"/>
  <c r="K331" i="4"/>
  <c r="D331" i="4" s="1"/>
  <c r="E331" i="4"/>
  <c r="F331" i="4" s="1"/>
  <c r="B228" i="16"/>
  <c r="G228" i="16"/>
  <c r="C228" i="16" s="1"/>
  <c r="J332" i="4"/>
  <c r="C332" i="4"/>
  <c r="D355" i="14" l="1"/>
  <c r="G355" i="14"/>
  <c r="C356" i="14"/>
  <c r="J356" i="14"/>
  <c r="B357" i="14"/>
  <c r="I357" i="14"/>
  <c r="I238" i="12"/>
  <c r="D238" i="12" s="1"/>
  <c r="H239" i="12"/>
  <c r="C238" i="12"/>
  <c r="E237" i="12"/>
  <c r="F237" i="12"/>
  <c r="D228" i="16"/>
  <c r="H233" i="11"/>
  <c r="B232" i="11"/>
  <c r="I232" i="11"/>
  <c r="J231" i="11"/>
  <c r="D231" i="11" s="1"/>
  <c r="F231" i="11" s="1"/>
  <c r="C231" i="11"/>
  <c r="K231" i="11" s="1"/>
  <c r="E231" i="11" s="1"/>
  <c r="J333" i="4"/>
  <c r="C333" i="4"/>
  <c r="H335" i="4"/>
  <c r="I334" i="4"/>
  <c r="B334" i="4"/>
  <c r="E231" i="16"/>
  <c r="A230" i="16"/>
  <c r="F230" i="16"/>
  <c r="K332" i="4"/>
  <c r="D332" i="4" s="1"/>
  <c r="E332" i="4"/>
  <c r="F332" i="4" s="1"/>
  <c r="G229" i="16"/>
  <c r="C229" i="16" s="1"/>
  <c r="B229" i="16"/>
  <c r="D356" i="14" l="1"/>
  <c r="G356" i="14"/>
  <c r="C357" i="14"/>
  <c r="J357" i="14"/>
  <c r="J238" i="12"/>
  <c r="I239" i="12"/>
  <c r="D239" i="12" s="1"/>
  <c r="C239" i="12"/>
  <c r="J239" i="12" s="1"/>
  <c r="H240" i="12"/>
  <c r="D229" i="16"/>
  <c r="C232" i="11"/>
  <c r="K232" i="11" s="1"/>
  <c r="J232" i="11"/>
  <c r="D232" i="11" s="1"/>
  <c r="F232" i="11" s="1"/>
  <c r="H234" i="11"/>
  <c r="I233" i="11"/>
  <c r="B233" i="11"/>
  <c r="G230" i="16"/>
  <c r="C230" i="16" s="1"/>
  <c r="D230" i="16" s="1"/>
  <c r="B230" i="16"/>
  <c r="E333" i="4"/>
  <c r="F333" i="4" s="1"/>
  <c r="K333" i="4"/>
  <c r="D333" i="4" s="1"/>
  <c r="B335" i="4"/>
  <c r="I335" i="4"/>
  <c r="H336" i="4"/>
  <c r="A231" i="16"/>
  <c r="E232" i="16"/>
  <c r="F231" i="16"/>
  <c r="C334" i="4"/>
  <c r="J334" i="4"/>
  <c r="G357" i="14" l="1"/>
  <c r="D357" i="14"/>
  <c r="E238" i="12"/>
  <c r="F238" i="12"/>
  <c r="C240" i="12"/>
  <c r="J240" i="12" s="1"/>
  <c r="H241" i="12"/>
  <c r="I240" i="12"/>
  <c r="D240" i="12" s="1"/>
  <c r="F239" i="12"/>
  <c r="E239" i="12"/>
  <c r="I234" i="11"/>
  <c r="H235" i="11"/>
  <c r="B234" i="11"/>
  <c r="J233" i="11"/>
  <c r="D233" i="11" s="1"/>
  <c r="F233" i="11" s="1"/>
  <c r="C233" i="11"/>
  <c r="K233" i="11" s="1"/>
  <c r="E233" i="11" s="1"/>
  <c r="E232" i="11"/>
  <c r="B336" i="4"/>
  <c r="H337" i="4"/>
  <c r="I336" i="4"/>
  <c r="F232" i="16"/>
  <c r="A232" i="16"/>
  <c r="E233" i="16"/>
  <c r="B231" i="16"/>
  <c r="G231" i="16"/>
  <c r="C231" i="16" s="1"/>
  <c r="D231" i="16" s="1"/>
  <c r="K334" i="4"/>
  <c r="D334" i="4" s="1"/>
  <c r="E334" i="4"/>
  <c r="F334" i="4" s="1"/>
  <c r="C335" i="4"/>
  <c r="J335" i="4"/>
  <c r="F240" i="12" l="1"/>
  <c r="E240" i="12"/>
  <c r="I241" i="12"/>
  <c r="D241" i="12" s="1"/>
  <c r="C241" i="12"/>
  <c r="H242" i="12"/>
  <c r="J234" i="11"/>
  <c r="D234" i="11" s="1"/>
  <c r="F234" i="11" s="1"/>
  <c r="C234" i="11"/>
  <c r="K234" i="11" s="1"/>
  <c r="I235" i="11"/>
  <c r="H236" i="11"/>
  <c r="B235" i="11"/>
  <c r="H338" i="4"/>
  <c r="I337" i="4"/>
  <c r="B337" i="4"/>
  <c r="F233" i="16"/>
  <c r="E234" i="16"/>
  <c r="A233" i="16"/>
  <c r="K335" i="4"/>
  <c r="D335" i="4" s="1"/>
  <c r="E335" i="4"/>
  <c r="F335" i="4" s="1"/>
  <c r="J336" i="4"/>
  <c r="C336" i="4"/>
  <c r="B232" i="16"/>
  <c r="G232" i="16"/>
  <c r="C232" i="16" s="1"/>
  <c r="D232" i="16" s="1"/>
  <c r="J241" i="12" l="1"/>
  <c r="H243" i="12"/>
  <c r="C242" i="12"/>
  <c r="J242" i="12" s="1"/>
  <c r="I242" i="12"/>
  <c r="D242" i="12" s="1"/>
  <c r="B236" i="11"/>
  <c r="H237" i="11"/>
  <c r="I236" i="11"/>
  <c r="J235" i="11"/>
  <c r="D235" i="11" s="1"/>
  <c r="F235" i="11" s="1"/>
  <c r="C235" i="11"/>
  <c r="K235" i="11" s="1"/>
  <c r="E234" i="11"/>
  <c r="K336" i="4"/>
  <c r="D336" i="4" s="1"/>
  <c r="E336" i="4"/>
  <c r="F336" i="4" s="1"/>
  <c r="E235" i="16"/>
  <c r="A234" i="16"/>
  <c r="F234" i="16"/>
  <c r="G233" i="16"/>
  <c r="C233" i="16" s="1"/>
  <c r="B233" i="16"/>
  <c r="J337" i="4"/>
  <c r="C337" i="4"/>
  <c r="H339" i="4"/>
  <c r="I338" i="4"/>
  <c r="B338" i="4"/>
  <c r="E242" i="12" l="1"/>
  <c r="F242" i="12"/>
  <c r="C243" i="12"/>
  <c r="J243" i="12" s="1"/>
  <c r="I243" i="12"/>
  <c r="D243" i="12" s="1"/>
  <c r="H244" i="12"/>
  <c r="E241" i="12"/>
  <c r="F241" i="12"/>
  <c r="D233" i="16"/>
  <c r="C236" i="11"/>
  <c r="K236" i="11" s="1"/>
  <c r="E236" i="11" s="1"/>
  <c r="J236" i="11"/>
  <c r="D236" i="11" s="1"/>
  <c r="F236" i="11" s="1"/>
  <c r="B237" i="11"/>
  <c r="H238" i="11"/>
  <c r="I237" i="11"/>
  <c r="E235" i="11"/>
  <c r="C338" i="4"/>
  <c r="J338" i="4"/>
  <c r="B339" i="4"/>
  <c r="I339" i="4"/>
  <c r="H340" i="4"/>
  <c r="A235" i="16"/>
  <c r="E236" i="16"/>
  <c r="F235" i="16"/>
  <c r="G234" i="16"/>
  <c r="C234" i="16" s="1"/>
  <c r="B234" i="16"/>
  <c r="E337" i="4"/>
  <c r="F337" i="4" s="1"/>
  <c r="K337" i="4"/>
  <c r="D337" i="4" s="1"/>
  <c r="E243" i="12" l="1"/>
  <c r="F243" i="12"/>
  <c r="H245" i="12"/>
  <c r="C244" i="12"/>
  <c r="I244" i="12"/>
  <c r="D244" i="12" s="1"/>
  <c r="D234" i="16"/>
  <c r="H239" i="11"/>
  <c r="I238" i="11"/>
  <c r="B238" i="11"/>
  <c r="J237" i="11"/>
  <c r="D237" i="11" s="1"/>
  <c r="F237" i="11" s="1"/>
  <c r="C237" i="11"/>
  <c r="K237" i="11" s="1"/>
  <c r="C339" i="4"/>
  <c r="J339" i="4"/>
  <c r="B235" i="16"/>
  <c r="G235" i="16"/>
  <c r="C235" i="16" s="1"/>
  <c r="D235" i="16" s="1"/>
  <c r="F236" i="16"/>
  <c r="A236" i="16"/>
  <c r="E237" i="16"/>
  <c r="K338" i="4"/>
  <c r="D338" i="4" s="1"/>
  <c r="E338" i="4"/>
  <c r="F338" i="4" s="1"/>
  <c r="B340" i="4"/>
  <c r="H341" i="4"/>
  <c r="I340" i="4"/>
  <c r="H246" i="12" l="1"/>
  <c r="I245" i="12"/>
  <c r="D245" i="12" s="1"/>
  <c r="C245" i="12"/>
  <c r="J245" i="12" s="1"/>
  <c r="J244" i="12"/>
  <c r="E237" i="11"/>
  <c r="C238" i="11"/>
  <c r="K238" i="11" s="1"/>
  <c r="J238" i="11"/>
  <c r="D238" i="11" s="1"/>
  <c r="F238" i="11" s="1"/>
  <c r="I239" i="11"/>
  <c r="B239" i="11"/>
  <c r="H240" i="11"/>
  <c r="H342" i="4"/>
  <c r="I341" i="4"/>
  <c r="B341" i="4"/>
  <c r="B236" i="16"/>
  <c r="G236" i="16"/>
  <c r="C236" i="16" s="1"/>
  <c r="D236" i="16" s="1"/>
  <c r="F237" i="16"/>
  <c r="E238" i="16"/>
  <c r="A237" i="16"/>
  <c r="K339" i="4"/>
  <c r="D339" i="4" s="1"/>
  <c r="E339" i="4"/>
  <c r="F339" i="4" s="1"/>
  <c r="J340" i="4"/>
  <c r="C340" i="4"/>
  <c r="F244" i="12" l="1"/>
  <c r="E244" i="12"/>
  <c r="F245" i="12"/>
  <c r="E245" i="12"/>
  <c r="I246" i="12"/>
  <c r="D246" i="12" s="1"/>
  <c r="C246" i="12"/>
  <c r="J246" i="12" s="1"/>
  <c r="H247" i="12"/>
  <c r="C239" i="11"/>
  <c r="K239" i="11" s="1"/>
  <c r="J239" i="11"/>
  <c r="D239" i="11" s="1"/>
  <c r="F239" i="11" s="1"/>
  <c r="I240" i="11"/>
  <c r="B240" i="11"/>
  <c r="H241" i="11"/>
  <c r="E238" i="11"/>
  <c r="E239" i="16"/>
  <c r="A238" i="16"/>
  <c r="F238" i="16"/>
  <c r="G237" i="16"/>
  <c r="C237" i="16" s="1"/>
  <c r="B237" i="16"/>
  <c r="J341" i="4"/>
  <c r="C341" i="4"/>
  <c r="K340" i="4"/>
  <c r="D340" i="4" s="1"/>
  <c r="E340" i="4"/>
  <c r="F340" i="4" s="1"/>
  <c r="H343" i="4"/>
  <c r="I342" i="4"/>
  <c r="B342" i="4"/>
  <c r="F246" i="12" l="1"/>
  <c r="E246" i="12"/>
  <c r="H248" i="12"/>
  <c r="C247" i="12"/>
  <c r="I247" i="12"/>
  <c r="D247" i="12" s="1"/>
  <c r="D237" i="16"/>
  <c r="C240" i="11"/>
  <c r="K240" i="11" s="1"/>
  <c r="E240" i="11" s="1"/>
  <c r="J240" i="11"/>
  <c r="D240" i="11" s="1"/>
  <c r="F240" i="11" s="1"/>
  <c r="H242" i="11"/>
  <c r="I241" i="11"/>
  <c r="B241" i="11"/>
  <c r="E239" i="11"/>
  <c r="C342" i="4"/>
  <c r="J342" i="4"/>
  <c r="B343" i="4"/>
  <c r="H344" i="4"/>
  <c r="I343" i="4"/>
  <c r="E341" i="4"/>
  <c r="F341" i="4" s="1"/>
  <c r="K341" i="4"/>
  <c r="D341" i="4" s="1"/>
  <c r="G238" i="16"/>
  <c r="C238" i="16" s="1"/>
  <c r="B238" i="16"/>
  <c r="A239" i="16"/>
  <c r="E240" i="16"/>
  <c r="F239" i="16"/>
  <c r="J247" i="12" l="1"/>
  <c r="H249" i="12"/>
  <c r="I248" i="12"/>
  <c r="D248" i="12" s="1"/>
  <c r="C248" i="12"/>
  <c r="D238" i="16"/>
  <c r="H243" i="11"/>
  <c r="B242" i="11"/>
  <c r="I242" i="11"/>
  <c r="C241" i="11"/>
  <c r="K241" i="11" s="1"/>
  <c r="J241" i="11"/>
  <c r="D241" i="11" s="1"/>
  <c r="F241" i="11" s="1"/>
  <c r="B344" i="4"/>
  <c r="H345" i="4"/>
  <c r="I344" i="4"/>
  <c r="C343" i="4"/>
  <c r="J343" i="4"/>
  <c r="B239" i="16"/>
  <c r="G239" i="16"/>
  <c r="C239" i="16" s="1"/>
  <c r="D239" i="16" s="1"/>
  <c r="K342" i="4"/>
  <c r="D342" i="4" s="1"/>
  <c r="E342" i="4"/>
  <c r="F342" i="4" s="1"/>
  <c r="F240" i="16"/>
  <c r="A240" i="16"/>
  <c r="E241" i="16"/>
  <c r="J248" i="12" l="1"/>
  <c r="I249" i="12"/>
  <c r="D249" i="12" s="1"/>
  <c r="H250" i="12"/>
  <c r="C249" i="12"/>
  <c r="E247" i="12"/>
  <c r="F247" i="12"/>
  <c r="H244" i="11"/>
  <c r="B243" i="11"/>
  <c r="I243" i="11"/>
  <c r="E241" i="11"/>
  <c r="C242" i="11"/>
  <c r="K242" i="11" s="1"/>
  <c r="J242" i="11"/>
  <c r="D242" i="11" s="1"/>
  <c r="F242" i="11" s="1"/>
  <c r="F241" i="16"/>
  <c r="E242" i="16"/>
  <c r="A241" i="16"/>
  <c r="K343" i="4"/>
  <c r="D343" i="4" s="1"/>
  <c r="E343" i="4"/>
  <c r="F343" i="4" s="1"/>
  <c r="J344" i="4"/>
  <c r="C344" i="4"/>
  <c r="B240" i="16"/>
  <c r="G240" i="16"/>
  <c r="C240" i="16" s="1"/>
  <c r="D240" i="16" s="1"/>
  <c r="H346" i="4"/>
  <c r="I345" i="4"/>
  <c r="B345" i="4"/>
  <c r="H251" i="12" l="1"/>
  <c r="I250" i="12"/>
  <c r="D250" i="12" s="1"/>
  <c r="C250" i="12"/>
  <c r="J250" i="12" s="1"/>
  <c r="J249" i="12"/>
  <c r="F248" i="12"/>
  <c r="E248" i="12"/>
  <c r="J243" i="11"/>
  <c r="D243" i="11" s="1"/>
  <c r="F243" i="11" s="1"/>
  <c r="C243" i="11"/>
  <c r="K243" i="11" s="1"/>
  <c r="E243" i="11" s="1"/>
  <c r="E242" i="11"/>
  <c r="I244" i="11"/>
  <c r="B244" i="11"/>
  <c r="H245" i="11"/>
  <c r="J345" i="4"/>
  <c r="C345" i="4"/>
  <c r="H347" i="4"/>
  <c r="I346" i="4"/>
  <c r="B346" i="4"/>
  <c r="E243" i="16"/>
  <c r="A242" i="16"/>
  <c r="F242" i="16"/>
  <c r="K344" i="4"/>
  <c r="D344" i="4" s="1"/>
  <c r="E344" i="4"/>
  <c r="F344" i="4" s="1"/>
  <c r="G241" i="16"/>
  <c r="C241" i="16" s="1"/>
  <c r="B241" i="16"/>
  <c r="E249" i="12" l="1"/>
  <c r="F249" i="12"/>
  <c r="E250" i="12"/>
  <c r="F250" i="12"/>
  <c r="I251" i="12"/>
  <c r="D251" i="12" s="1"/>
  <c r="H252" i="12"/>
  <c r="C251" i="12"/>
  <c r="J251" i="12" s="1"/>
  <c r="D241" i="16"/>
  <c r="I245" i="11"/>
  <c r="H246" i="11"/>
  <c r="B245" i="11"/>
  <c r="J244" i="11"/>
  <c r="D244" i="11" s="1"/>
  <c r="F244" i="11" s="1"/>
  <c r="C244" i="11"/>
  <c r="K244" i="11" s="1"/>
  <c r="E244" i="11" s="1"/>
  <c r="G242" i="16"/>
  <c r="C242" i="16" s="1"/>
  <c r="B242" i="16"/>
  <c r="C346" i="4"/>
  <c r="J346" i="4"/>
  <c r="B347" i="4"/>
  <c r="H348" i="4"/>
  <c r="I347" i="4"/>
  <c r="A243" i="16"/>
  <c r="E244" i="16"/>
  <c r="F243" i="16"/>
  <c r="E345" i="4"/>
  <c r="F345" i="4" s="1"/>
  <c r="K345" i="4"/>
  <c r="D345" i="4" s="1"/>
  <c r="F251" i="12" l="1"/>
  <c r="E251" i="12"/>
  <c r="H253" i="12"/>
  <c r="I252" i="12"/>
  <c r="D252" i="12" s="1"/>
  <c r="C252" i="12"/>
  <c r="J252" i="12" s="1"/>
  <c r="D242" i="16"/>
  <c r="C245" i="11"/>
  <c r="K245" i="11" s="1"/>
  <c r="E245" i="11" s="1"/>
  <c r="J245" i="11"/>
  <c r="D245" i="11" s="1"/>
  <c r="F245" i="11" s="1"/>
  <c r="H247" i="11"/>
  <c r="I246" i="11"/>
  <c r="B246" i="11"/>
  <c r="K346" i="4"/>
  <c r="D346" i="4" s="1"/>
  <c r="E346" i="4"/>
  <c r="F346" i="4" s="1"/>
  <c r="B348" i="4"/>
  <c r="H349" i="4"/>
  <c r="I348" i="4"/>
  <c r="B243" i="16"/>
  <c r="G243" i="16"/>
  <c r="C243" i="16" s="1"/>
  <c r="D243" i="16" s="1"/>
  <c r="F244" i="16"/>
  <c r="A244" i="16"/>
  <c r="E245" i="16"/>
  <c r="C347" i="4"/>
  <c r="J347" i="4"/>
  <c r="I253" i="12" l="1"/>
  <c r="D253" i="12" s="1"/>
  <c r="H254" i="12"/>
  <c r="C253" i="12"/>
  <c r="J253" i="12" s="1"/>
  <c r="F252" i="12"/>
  <c r="E252" i="12"/>
  <c r="H248" i="11"/>
  <c r="B247" i="11"/>
  <c r="I247" i="11"/>
  <c r="J246" i="11"/>
  <c r="D246" i="11" s="1"/>
  <c r="F246" i="11" s="1"/>
  <c r="C246" i="11"/>
  <c r="K246" i="11" s="1"/>
  <c r="E246" i="11" s="1"/>
  <c r="H350" i="4"/>
  <c r="I349" i="4"/>
  <c r="B349" i="4"/>
  <c r="B244" i="16"/>
  <c r="G244" i="16"/>
  <c r="C244" i="16" s="1"/>
  <c r="J348" i="4"/>
  <c r="C348" i="4"/>
  <c r="F245" i="16"/>
  <c r="E246" i="16"/>
  <c r="A245" i="16"/>
  <c r="K347" i="4"/>
  <c r="D347" i="4" s="1"/>
  <c r="E347" i="4"/>
  <c r="F347" i="4" s="1"/>
  <c r="F253" i="12" l="1"/>
  <c r="E253" i="12"/>
  <c r="I254" i="12"/>
  <c r="D254" i="12" s="1"/>
  <c r="H255" i="12"/>
  <c r="C254" i="12"/>
  <c r="D244" i="16"/>
  <c r="B248" i="11"/>
  <c r="I248" i="11"/>
  <c r="H249" i="11"/>
  <c r="J247" i="11"/>
  <c r="D247" i="11" s="1"/>
  <c r="F247" i="11" s="1"/>
  <c r="C247" i="11"/>
  <c r="K247" i="11" s="1"/>
  <c r="E247" i="11" s="1"/>
  <c r="G245" i="16"/>
  <c r="C245" i="16" s="1"/>
  <c r="D245" i="16" s="1"/>
  <c r="B245" i="16"/>
  <c r="K348" i="4"/>
  <c r="D348" i="4" s="1"/>
  <c r="E348" i="4"/>
  <c r="F348" i="4" s="1"/>
  <c r="J349" i="4"/>
  <c r="C349" i="4"/>
  <c r="E247" i="16"/>
  <c r="A246" i="16"/>
  <c r="F246" i="16"/>
  <c r="H351" i="4"/>
  <c r="I350" i="4"/>
  <c r="B350" i="4"/>
  <c r="H256" i="12" l="1"/>
  <c r="I255" i="12"/>
  <c r="D255" i="12" s="1"/>
  <c r="C255" i="12"/>
  <c r="J255" i="12" s="1"/>
  <c r="J254" i="12"/>
  <c r="I249" i="11"/>
  <c r="B249" i="11"/>
  <c r="H250" i="11"/>
  <c r="J248" i="11"/>
  <c r="D248" i="11" s="1"/>
  <c r="F248" i="11" s="1"/>
  <c r="C248" i="11"/>
  <c r="K248" i="11" s="1"/>
  <c r="E248" i="11" s="1"/>
  <c r="A247" i="16"/>
  <c r="E248" i="16"/>
  <c r="F247" i="16"/>
  <c r="B351" i="4"/>
  <c r="I351" i="4"/>
  <c r="H352" i="4"/>
  <c r="G246" i="16"/>
  <c r="C246" i="16" s="1"/>
  <c r="B246" i="16"/>
  <c r="E349" i="4"/>
  <c r="F349" i="4" s="1"/>
  <c r="K349" i="4"/>
  <c r="D349" i="4" s="1"/>
  <c r="C350" i="4"/>
  <c r="J350" i="4"/>
  <c r="E254" i="12" l="1"/>
  <c r="F254" i="12"/>
  <c r="F255" i="12"/>
  <c r="E255" i="12"/>
  <c r="C256" i="12"/>
  <c r="I256" i="12"/>
  <c r="D256" i="12" s="1"/>
  <c r="H257" i="12"/>
  <c r="D246" i="16"/>
  <c r="J249" i="11"/>
  <c r="D249" i="11" s="1"/>
  <c r="F249" i="11" s="1"/>
  <c r="C249" i="11"/>
  <c r="K249" i="11" s="1"/>
  <c r="H251" i="11"/>
  <c r="I250" i="11"/>
  <c r="B250" i="11"/>
  <c r="C351" i="4"/>
  <c r="J351" i="4"/>
  <c r="K350" i="4"/>
  <c r="D350" i="4" s="1"/>
  <c r="E350" i="4"/>
  <c r="F350" i="4" s="1"/>
  <c r="B352" i="4"/>
  <c r="H353" i="4"/>
  <c r="I352" i="4"/>
  <c r="F248" i="16"/>
  <c r="A248" i="16"/>
  <c r="E249" i="16"/>
  <c r="B247" i="16"/>
  <c r="G247" i="16"/>
  <c r="C247" i="16" s="1"/>
  <c r="D247" i="16" s="1"/>
  <c r="I257" i="12" l="1"/>
  <c r="D257" i="12" s="1"/>
  <c r="C257" i="12"/>
  <c r="J257" i="12" s="1"/>
  <c r="H258" i="12"/>
  <c r="J256" i="12"/>
  <c r="J250" i="11"/>
  <c r="D250" i="11" s="1"/>
  <c r="F250" i="11" s="1"/>
  <c r="C250" i="11"/>
  <c r="K250" i="11" s="1"/>
  <c r="E250" i="11" s="1"/>
  <c r="I251" i="11"/>
  <c r="H252" i="11"/>
  <c r="B251" i="11"/>
  <c r="E249" i="11"/>
  <c r="J352" i="4"/>
  <c r="C352" i="4"/>
  <c r="K351" i="4"/>
  <c r="D351" i="4" s="1"/>
  <c r="E351" i="4"/>
  <c r="F351" i="4" s="1"/>
  <c r="F249" i="16"/>
  <c r="E250" i="16"/>
  <c r="A249" i="16"/>
  <c r="H354" i="4"/>
  <c r="I353" i="4"/>
  <c r="B353" i="4"/>
  <c r="B248" i="16"/>
  <c r="G248" i="16"/>
  <c r="C248" i="16" s="1"/>
  <c r="I258" i="12" l="1"/>
  <c r="D258" i="12" s="1"/>
  <c r="C258" i="12"/>
  <c r="J258" i="12" s="1"/>
  <c r="F257" i="12"/>
  <c r="E257" i="12"/>
  <c r="F256" i="12"/>
  <c r="E256" i="12"/>
  <c r="D248" i="16"/>
  <c r="J251" i="11"/>
  <c r="D251" i="11" s="1"/>
  <c r="F251" i="11" s="1"/>
  <c r="C251" i="11"/>
  <c r="K251" i="11" s="1"/>
  <c r="B252" i="11"/>
  <c r="I252" i="11"/>
  <c r="H253" i="11"/>
  <c r="G249" i="16"/>
  <c r="C249" i="16" s="1"/>
  <c r="B249" i="16"/>
  <c r="H355" i="4"/>
  <c r="I354" i="4"/>
  <c r="B354" i="4"/>
  <c r="E251" i="16"/>
  <c r="A250" i="16"/>
  <c r="F250" i="16"/>
  <c r="J353" i="4"/>
  <c r="C353" i="4"/>
  <c r="K352" i="4"/>
  <c r="D352" i="4" s="1"/>
  <c r="E352" i="4"/>
  <c r="F352" i="4" s="1"/>
  <c r="E258" i="12" l="1"/>
  <c r="F258" i="12"/>
  <c r="D249" i="16"/>
  <c r="I253" i="11"/>
  <c r="B253" i="11"/>
  <c r="H254" i="11"/>
  <c r="C252" i="11"/>
  <c r="K252" i="11" s="1"/>
  <c r="E252" i="11" s="1"/>
  <c r="J252" i="11"/>
  <c r="D252" i="11" s="1"/>
  <c r="F252" i="11" s="1"/>
  <c r="E251" i="11"/>
  <c r="G250" i="16"/>
  <c r="C250" i="16" s="1"/>
  <c r="D250" i="16" s="1"/>
  <c r="B250" i="16"/>
  <c r="E353" i="4"/>
  <c r="F353" i="4" s="1"/>
  <c r="K353" i="4"/>
  <c r="D353" i="4" s="1"/>
  <c r="C354" i="4"/>
  <c r="J354" i="4"/>
  <c r="B355" i="4"/>
  <c r="I355" i="4"/>
  <c r="H356" i="4"/>
  <c r="A251" i="16"/>
  <c r="E252" i="16"/>
  <c r="F251" i="16"/>
  <c r="I254" i="11" l="1"/>
  <c r="B254" i="11"/>
  <c r="H255" i="11"/>
  <c r="J253" i="11"/>
  <c r="D253" i="11" s="1"/>
  <c r="F253" i="11" s="1"/>
  <c r="C253" i="11"/>
  <c r="K253" i="11" s="1"/>
  <c r="E253" i="11" s="1"/>
  <c r="C355" i="4"/>
  <c r="J355" i="4"/>
  <c r="B251" i="16"/>
  <c r="G251" i="16"/>
  <c r="C251" i="16" s="1"/>
  <c r="D251" i="16" s="1"/>
  <c r="K354" i="4"/>
  <c r="D354" i="4" s="1"/>
  <c r="E354" i="4"/>
  <c r="F354" i="4" s="1"/>
  <c r="F252" i="16"/>
  <c r="A252" i="16"/>
  <c r="E253" i="16"/>
  <c r="B356" i="4"/>
  <c r="H357" i="4"/>
  <c r="I356" i="4"/>
  <c r="H256" i="11" l="1"/>
  <c r="B255" i="11"/>
  <c r="I255" i="11"/>
  <c r="J254" i="11"/>
  <c r="D254" i="11" s="1"/>
  <c r="F254" i="11" s="1"/>
  <c r="C254" i="11"/>
  <c r="K254" i="11" s="1"/>
  <c r="E254" i="11" s="1"/>
  <c r="J356" i="4"/>
  <c r="C356" i="4"/>
  <c r="H358" i="4"/>
  <c r="I357" i="4"/>
  <c r="B357" i="4"/>
  <c r="B252" i="16"/>
  <c r="G252" i="16"/>
  <c r="C252" i="16" s="1"/>
  <c r="K355" i="4"/>
  <c r="D355" i="4" s="1"/>
  <c r="E355" i="4"/>
  <c r="F355" i="4" s="1"/>
  <c r="F253" i="16"/>
  <c r="E254" i="16"/>
  <c r="A253" i="16"/>
  <c r="D252" i="16" l="1"/>
  <c r="C255" i="11"/>
  <c r="K255" i="11" s="1"/>
  <c r="E255" i="11" s="1"/>
  <c r="J255" i="11"/>
  <c r="D255" i="11" s="1"/>
  <c r="F255" i="11" s="1"/>
  <c r="B256" i="11"/>
  <c r="H257" i="11"/>
  <c r="I256" i="11"/>
  <c r="J357" i="4"/>
  <c r="C357" i="4"/>
  <c r="K356" i="4"/>
  <c r="D356" i="4" s="1"/>
  <c r="E356" i="4"/>
  <c r="F356" i="4" s="1"/>
  <c r="E255" i="16"/>
  <c r="A254" i="16"/>
  <c r="F254" i="16"/>
  <c r="H359" i="4"/>
  <c r="I358" i="4"/>
  <c r="B358" i="4"/>
  <c r="G253" i="16"/>
  <c r="C253" i="16" s="1"/>
  <c r="B253" i="16"/>
  <c r="D253" i="16" l="1"/>
  <c r="I257" i="11"/>
  <c r="H258" i="11"/>
  <c r="B257" i="11"/>
  <c r="C256" i="11"/>
  <c r="K256" i="11" s="1"/>
  <c r="J256" i="11"/>
  <c r="D256" i="11" s="1"/>
  <c r="F256" i="11" s="1"/>
  <c r="C358" i="4"/>
  <c r="J358" i="4"/>
  <c r="B359" i="4"/>
  <c r="H360" i="4"/>
  <c r="I359" i="4"/>
  <c r="G254" i="16"/>
  <c r="C254" i="16" s="1"/>
  <c r="B254" i="16"/>
  <c r="E357" i="4"/>
  <c r="F357" i="4" s="1"/>
  <c r="K357" i="4"/>
  <c r="D357" i="4" s="1"/>
  <c r="A255" i="16"/>
  <c r="E256" i="16"/>
  <c r="F255" i="16"/>
  <c r="D254" i="16" l="1"/>
  <c r="J257" i="11"/>
  <c r="D257" i="11" s="1"/>
  <c r="F257" i="11" s="1"/>
  <c r="C257" i="11"/>
  <c r="K257" i="11" s="1"/>
  <c r="E256" i="11"/>
  <c r="B258" i="11"/>
  <c r="H259" i="11"/>
  <c r="I258" i="11"/>
  <c r="F256" i="16"/>
  <c r="A256" i="16"/>
  <c r="E257" i="16"/>
  <c r="B360" i="4"/>
  <c r="H361" i="4"/>
  <c r="I360" i="4"/>
  <c r="C359" i="4"/>
  <c r="J359" i="4"/>
  <c r="K358" i="4"/>
  <c r="D358" i="4" s="1"/>
  <c r="E358" i="4"/>
  <c r="F358" i="4" s="1"/>
  <c r="B255" i="16"/>
  <c r="G255" i="16"/>
  <c r="C255" i="16" s="1"/>
  <c r="D255" i="16" l="1"/>
  <c r="C258" i="11"/>
  <c r="K258" i="11" s="1"/>
  <c r="J258" i="11"/>
  <c r="D258" i="11" s="1"/>
  <c r="F258" i="11" s="1"/>
  <c r="H260" i="11"/>
  <c r="I259" i="11"/>
  <c r="B259" i="11"/>
  <c r="E257" i="11"/>
  <c r="K359" i="4"/>
  <c r="D359" i="4" s="1"/>
  <c r="E359" i="4"/>
  <c r="F359" i="4" s="1"/>
  <c r="J360" i="4"/>
  <c r="C360" i="4"/>
  <c r="F257" i="16"/>
  <c r="E258" i="16"/>
  <c r="A257" i="16"/>
  <c r="H362" i="4"/>
  <c r="I361" i="4"/>
  <c r="B361" i="4"/>
  <c r="B256" i="16"/>
  <c r="G256" i="16"/>
  <c r="C256" i="16" s="1"/>
  <c r="D256" i="16" s="1"/>
  <c r="C259" i="11" l="1"/>
  <c r="K259" i="11" s="1"/>
  <c r="E259" i="11" s="1"/>
  <c r="J259" i="11"/>
  <c r="D259" i="11" s="1"/>
  <c r="F259" i="11" s="1"/>
  <c r="B260" i="11"/>
  <c r="H261" i="11"/>
  <c r="I260" i="11"/>
  <c r="E258" i="11"/>
  <c r="E259" i="16"/>
  <c r="A258" i="16"/>
  <c r="F258" i="16"/>
  <c r="J361" i="4"/>
  <c r="C361" i="4"/>
  <c r="G257" i="16"/>
  <c r="C257" i="16" s="1"/>
  <c r="B257" i="16"/>
  <c r="H363" i="4"/>
  <c r="I362" i="4"/>
  <c r="B362" i="4"/>
  <c r="K360" i="4"/>
  <c r="D360" i="4" s="1"/>
  <c r="E360" i="4"/>
  <c r="F360" i="4" s="1"/>
  <c r="D257" i="16" l="1"/>
  <c r="H262" i="11"/>
  <c r="I261" i="11"/>
  <c r="B261" i="11"/>
  <c r="C260" i="11"/>
  <c r="K260" i="11" s="1"/>
  <c r="J260" i="11"/>
  <c r="D260" i="11" s="1"/>
  <c r="F260" i="11" s="1"/>
  <c r="B363" i="4"/>
  <c r="H364" i="4"/>
  <c r="I363" i="4"/>
  <c r="C362" i="4"/>
  <c r="J362" i="4"/>
  <c r="G258" i="16"/>
  <c r="C258" i="16" s="1"/>
  <c r="D258" i="16" s="1"/>
  <c r="B258" i="16"/>
  <c r="E361" i="4"/>
  <c r="F361" i="4" s="1"/>
  <c r="K361" i="4"/>
  <c r="D361" i="4" s="1"/>
  <c r="A259" i="16"/>
  <c r="E260" i="16"/>
  <c r="F259" i="16"/>
  <c r="H263" i="11" l="1"/>
  <c r="I262" i="11"/>
  <c r="B262" i="11"/>
  <c r="E260" i="11"/>
  <c r="C261" i="11"/>
  <c r="K261" i="11" s="1"/>
  <c r="E261" i="11" s="1"/>
  <c r="J261" i="11"/>
  <c r="D261" i="11" s="1"/>
  <c r="F261" i="11" s="1"/>
  <c r="C363" i="4"/>
  <c r="J363" i="4"/>
  <c r="B259" i="16"/>
  <c r="G259" i="16"/>
  <c r="C259" i="16" s="1"/>
  <c r="B364" i="4"/>
  <c r="H365" i="4"/>
  <c r="I364" i="4"/>
  <c r="F260" i="16"/>
  <c r="A260" i="16"/>
  <c r="E261" i="16"/>
  <c r="K362" i="4"/>
  <c r="D362" i="4" s="1"/>
  <c r="E362" i="4"/>
  <c r="F362" i="4" s="1"/>
  <c r="D259" i="16" l="1"/>
  <c r="C262" i="11"/>
  <c r="K262" i="11" s="1"/>
  <c r="E262" i="11" s="1"/>
  <c r="J262" i="11"/>
  <c r="D262" i="11" s="1"/>
  <c r="F262" i="11" s="1"/>
  <c r="B263" i="11"/>
  <c r="H264" i="11"/>
  <c r="I263" i="11"/>
  <c r="J364" i="4"/>
  <c r="C364" i="4"/>
  <c r="F261" i="16"/>
  <c r="E262" i="16"/>
  <c r="A261" i="16"/>
  <c r="H366" i="4"/>
  <c r="I365" i="4"/>
  <c r="B365" i="4"/>
  <c r="K363" i="4"/>
  <c r="D363" i="4" s="1"/>
  <c r="E363" i="4"/>
  <c r="F363" i="4" s="1"/>
  <c r="B260" i="16"/>
  <c r="G260" i="16"/>
  <c r="C260" i="16" s="1"/>
  <c r="D260" i="16" s="1"/>
  <c r="B264" i="11" l="1"/>
  <c r="I264" i="11"/>
  <c r="H265" i="11"/>
  <c r="C263" i="11"/>
  <c r="K263" i="11" s="1"/>
  <c r="E263" i="11" s="1"/>
  <c r="J263" i="11"/>
  <c r="D263" i="11" s="1"/>
  <c r="F263" i="11" s="1"/>
  <c r="H367" i="4"/>
  <c r="I366" i="4"/>
  <c r="B366" i="4"/>
  <c r="E263" i="16"/>
  <c r="A262" i="16"/>
  <c r="F262" i="16"/>
  <c r="J365" i="4"/>
  <c r="C365" i="4"/>
  <c r="G261" i="16"/>
  <c r="C261" i="16" s="1"/>
  <c r="B261" i="16"/>
  <c r="K364" i="4"/>
  <c r="D364" i="4" s="1"/>
  <c r="E364" i="4"/>
  <c r="F364" i="4" s="1"/>
  <c r="D261" i="16" l="1"/>
  <c r="J264" i="11"/>
  <c r="D264" i="11" s="1"/>
  <c r="F264" i="11" s="1"/>
  <c r="C264" i="11"/>
  <c r="K264" i="11" s="1"/>
  <c r="B265" i="11"/>
  <c r="H266" i="11"/>
  <c r="I265" i="11"/>
  <c r="G262" i="16"/>
  <c r="C262" i="16" s="1"/>
  <c r="D262" i="16" s="1"/>
  <c r="B262" i="16"/>
  <c r="C366" i="4"/>
  <c r="J366" i="4"/>
  <c r="A263" i="16"/>
  <c r="E264" i="16"/>
  <c r="F263" i="16"/>
  <c r="B367" i="4"/>
  <c r="I367" i="4"/>
  <c r="H368" i="4"/>
  <c r="E365" i="4"/>
  <c r="F365" i="4" s="1"/>
  <c r="K365" i="4"/>
  <c r="D365" i="4" s="1"/>
  <c r="J265" i="11" l="1"/>
  <c r="D265" i="11" s="1"/>
  <c r="F265" i="11" s="1"/>
  <c r="C265" i="11"/>
  <c r="K265" i="11" s="1"/>
  <c r="B266" i="11"/>
  <c r="H267" i="11"/>
  <c r="I266" i="11"/>
  <c r="E264" i="11"/>
  <c r="F264" i="16"/>
  <c r="A264" i="16"/>
  <c r="E265" i="16"/>
  <c r="B368" i="4"/>
  <c r="H369" i="4"/>
  <c r="I368" i="4"/>
  <c r="K366" i="4"/>
  <c r="D366" i="4" s="1"/>
  <c r="E366" i="4"/>
  <c r="F366" i="4" s="1"/>
  <c r="C367" i="4"/>
  <c r="J367" i="4"/>
  <c r="B263" i="16"/>
  <c r="G263" i="16"/>
  <c r="C263" i="16" s="1"/>
  <c r="D263" i="16" s="1"/>
  <c r="J266" i="11" l="1"/>
  <c r="D266" i="11" s="1"/>
  <c r="F266" i="11" s="1"/>
  <c r="C266" i="11"/>
  <c r="K266" i="11" s="1"/>
  <c r="E266" i="11" s="1"/>
  <c r="I267" i="11"/>
  <c r="B267" i="11"/>
  <c r="H268" i="11"/>
  <c r="E265" i="11"/>
  <c r="K367" i="4"/>
  <c r="D367" i="4" s="1"/>
  <c r="E367" i="4"/>
  <c r="F367" i="4" s="1"/>
  <c r="F265" i="16"/>
  <c r="E266" i="16"/>
  <c r="A265" i="16"/>
  <c r="H370" i="4"/>
  <c r="I369" i="4"/>
  <c r="B369" i="4"/>
  <c r="B264" i="16"/>
  <c r="G264" i="16"/>
  <c r="C264" i="16" s="1"/>
  <c r="D264" i="16" s="1"/>
  <c r="J368" i="4"/>
  <c r="C368" i="4"/>
  <c r="C267" i="11" l="1"/>
  <c r="K267" i="11" s="1"/>
  <c r="E267" i="11" s="1"/>
  <c r="J267" i="11"/>
  <c r="D267" i="11" s="1"/>
  <c r="F267" i="11" s="1"/>
  <c r="I268" i="11"/>
  <c r="B268" i="11"/>
  <c r="H269" i="11"/>
  <c r="K368" i="4"/>
  <c r="D368" i="4" s="1"/>
  <c r="E368" i="4"/>
  <c r="F368" i="4" s="1"/>
  <c r="E267" i="16"/>
  <c r="A266" i="16"/>
  <c r="F266" i="16"/>
  <c r="J369" i="4"/>
  <c r="C369" i="4"/>
  <c r="G265" i="16"/>
  <c r="C265" i="16" s="1"/>
  <c r="D265" i="16" s="1"/>
  <c r="B265" i="16"/>
  <c r="H371" i="4"/>
  <c r="I370" i="4"/>
  <c r="B370" i="4"/>
  <c r="B269" i="11" l="1"/>
  <c r="I269" i="11"/>
  <c r="H270" i="11"/>
  <c r="J268" i="11"/>
  <c r="D268" i="11" s="1"/>
  <c r="F268" i="11" s="1"/>
  <c r="C268" i="11"/>
  <c r="K268" i="11" s="1"/>
  <c r="E268" i="11" s="1"/>
  <c r="A267" i="16"/>
  <c r="E268" i="16"/>
  <c r="F267" i="16"/>
  <c r="B371" i="4"/>
  <c r="I371" i="4"/>
  <c r="H372" i="4"/>
  <c r="E369" i="4"/>
  <c r="F369" i="4" s="1"/>
  <c r="K369" i="4"/>
  <c r="D369" i="4" s="1"/>
  <c r="G266" i="16"/>
  <c r="C266" i="16" s="1"/>
  <c r="D266" i="16" s="1"/>
  <c r="B266" i="16"/>
  <c r="C370" i="4"/>
  <c r="J370" i="4"/>
  <c r="H271" i="11" l="1"/>
  <c r="I270" i="11"/>
  <c r="B270" i="11"/>
  <c r="C269" i="11"/>
  <c r="K269" i="11" s="1"/>
  <c r="J269" i="11"/>
  <c r="D269" i="11" s="1"/>
  <c r="F269" i="11" s="1"/>
  <c r="B372" i="4"/>
  <c r="H373" i="4"/>
  <c r="I372" i="4"/>
  <c r="C371" i="4"/>
  <c r="J371" i="4"/>
  <c r="B267" i="16"/>
  <c r="G267" i="16"/>
  <c r="C267" i="16" s="1"/>
  <c r="D267" i="16" s="1"/>
  <c r="K370" i="4"/>
  <c r="D370" i="4" s="1"/>
  <c r="E370" i="4"/>
  <c r="F370" i="4" s="1"/>
  <c r="F268" i="16"/>
  <c r="A268" i="16"/>
  <c r="E269" i="16"/>
  <c r="E269" i="11" l="1"/>
  <c r="J270" i="11"/>
  <c r="D270" i="11" s="1"/>
  <c r="F270" i="11" s="1"/>
  <c r="C270" i="11"/>
  <c r="K270" i="11" s="1"/>
  <c r="E270" i="11" s="1"/>
  <c r="H272" i="11"/>
  <c r="I271" i="11"/>
  <c r="B271" i="11"/>
  <c r="B268" i="16"/>
  <c r="G268" i="16"/>
  <c r="C268" i="16" s="1"/>
  <c r="D268" i="16" s="1"/>
  <c r="H374" i="4"/>
  <c r="I373" i="4"/>
  <c r="B373" i="4"/>
  <c r="K371" i="4"/>
  <c r="D371" i="4" s="1"/>
  <c r="E371" i="4"/>
  <c r="F371" i="4" s="1"/>
  <c r="F269" i="16"/>
  <c r="E270" i="16"/>
  <c r="A269" i="16"/>
  <c r="J372" i="4"/>
  <c r="C372" i="4"/>
  <c r="J271" i="11" l="1"/>
  <c r="D271" i="11" s="1"/>
  <c r="F271" i="11" s="1"/>
  <c r="C271" i="11"/>
  <c r="K271" i="11" s="1"/>
  <c r="E271" i="11" s="1"/>
  <c r="B272" i="11"/>
  <c r="H273" i="11"/>
  <c r="I272" i="11"/>
  <c r="H375" i="4"/>
  <c r="I374" i="4"/>
  <c r="B374" i="4"/>
  <c r="K372" i="4"/>
  <c r="D372" i="4" s="1"/>
  <c r="E372" i="4"/>
  <c r="F372" i="4" s="1"/>
  <c r="E271" i="16"/>
  <c r="A270" i="16"/>
  <c r="F270" i="16"/>
  <c r="G269" i="16"/>
  <c r="C269" i="16" s="1"/>
  <c r="B269" i="16"/>
  <c r="J373" i="4"/>
  <c r="C373" i="4"/>
  <c r="D269" i="16" l="1"/>
  <c r="J272" i="11"/>
  <c r="D272" i="11" s="1"/>
  <c r="F272" i="11" s="1"/>
  <c r="C272" i="11"/>
  <c r="K272" i="11" s="1"/>
  <c r="H274" i="11"/>
  <c r="I273" i="11"/>
  <c r="B273" i="11"/>
  <c r="E373" i="4"/>
  <c r="F373" i="4" s="1"/>
  <c r="K373" i="4"/>
  <c r="D373" i="4" s="1"/>
  <c r="G270" i="16"/>
  <c r="C270" i="16" s="1"/>
  <c r="D270" i="16" s="1"/>
  <c r="B270" i="16"/>
  <c r="A271" i="16"/>
  <c r="E272" i="16"/>
  <c r="F271" i="16"/>
  <c r="C374" i="4"/>
  <c r="J374" i="4"/>
  <c r="B375" i="4"/>
  <c r="H376" i="4"/>
  <c r="I375" i="4"/>
  <c r="H275" i="11" l="1"/>
  <c r="I274" i="11"/>
  <c r="B274" i="11"/>
  <c r="J273" i="11"/>
  <c r="D273" i="11" s="1"/>
  <c r="F273" i="11" s="1"/>
  <c r="C273" i="11"/>
  <c r="K273" i="11" s="1"/>
  <c r="E273" i="11" s="1"/>
  <c r="E272" i="11"/>
  <c r="C375" i="4"/>
  <c r="J375" i="4"/>
  <c r="K374" i="4"/>
  <c r="D374" i="4" s="1"/>
  <c r="E374" i="4"/>
  <c r="F374" i="4" s="1"/>
  <c r="B271" i="16"/>
  <c r="G271" i="16"/>
  <c r="C271" i="16" s="1"/>
  <c r="D271" i="16" s="1"/>
  <c r="B376" i="4"/>
  <c r="H377" i="4"/>
  <c r="I376" i="4"/>
  <c r="F272" i="16"/>
  <c r="A272" i="16"/>
  <c r="E273" i="16"/>
  <c r="B275" i="11" l="1"/>
  <c r="H276" i="11"/>
  <c r="I275" i="11"/>
  <c r="C274" i="11"/>
  <c r="K274" i="11" s="1"/>
  <c r="J274" i="11"/>
  <c r="D274" i="11" s="1"/>
  <c r="F274" i="11" s="1"/>
  <c r="B272" i="16"/>
  <c r="G272" i="16"/>
  <c r="C272" i="16" s="1"/>
  <c r="D272" i="16" s="1"/>
  <c r="J376" i="4"/>
  <c r="C376" i="4"/>
  <c r="F273" i="16"/>
  <c r="E274" i="16"/>
  <c r="A273" i="16"/>
  <c r="H378" i="4"/>
  <c r="I377" i="4"/>
  <c r="B377" i="4"/>
  <c r="K375" i="4"/>
  <c r="D375" i="4" s="1"/>
  <c r="E375" i="4"/>
  <c r="F375" i="4" s="1"/>
  <c r="E274" i="11" l="1"/>
  <c r="C275" i="11"/>
  <c r="K275" i="11" s="1"/>
  <c r="J275" i="11"/>
  <c r="D275" i="11" s="1"/>
  <c r="F275" i="11" s="1"/>
  <c r="B276" i="11"/>
  <c r="H277" i="11"/>
  <c r="I276" i="11"/>
  <c r="E275" i="16"/>
  <c r="A274" i="16"/>
  <c r="F274" i="16"/>
  <c r="K376" i="4"/>
  <c r="D376" i="4" s="1"/>
  <c r="E376" i="4"/>
  <c r="F376" i="4" s="1"/>
  <c r="J377" i="4"/>
  <c r="C377" i="4"/>
  <c r="G273" i="16"/>
  <c r="C273" i="16" s="1"/>
  <c r="B273" i="16"/>
  <c r="H379" i="4"/>
  <c r="I378" i="4"/>
  <c r="B378" i="4"/>
  <c r="D273" i="16" l="1"/>
  <c r="J276" i="11"/>
  <c r="D276" i="11" s="1"/>
  <c r="F276" i="11" s="1"/>
  <c r="C276" i="11"/>
  <c r="K276" i="11" s="1"/>
  <c r="E276" i="11" s="1"/>
  <c r="E275" i="11"/>
  <c r="B277" i="11"/>
  <c r="H278" i="11"/>
  <c r="I277" i="11"/>
  <c r="G274" i="16"/>
  <c r="C274" i="16" s="1"/>
  <c r="D274" i="16" s="1"/>
  <c r="B274" i="16"/>
  <c r="C378" i="4"/>
  <c r="J378" i="4"/>
  <c r="E377" i="4"/>
  <c r="F377" i="4" s="1"/>
  <c r="K377" i="4"/>
  <c r="D377" i="4" s="1"/>
  <c r="B379" i="4"/>
  <c r="H380" i="4"/>
  <c r="I379" i="4"/>
  <c r="A275" i="16"/>
  <c r="E276" i="16"/>
  <c r="F275" i="16"/>
  <c r="I278" i="11" l="1"/>
  <c r="B278" i="11"/>
  <c r="H279" i="11"/>
  <c r="C277" i="11"/>
  <c r="K277" i="11" s="1"/>
  <c r="J277" i="11"/>
  <c r="D277" i="11" s="1"/>
  <c r="F277" i="11" s="1"/>
  <c r="K378" i="4"/>
  <c r="D378" i="4" s="1"/>
  <c r="E378" i="4"/>
  <c r="F378" i="4" s="1"/>
  <c r="B275" i="16"/>
  <c r="G275" i="16"/>
  <c r="C275" i="16" s="1"/>
  <c r="D275" i="16" s="1"/>
  <c r="C379" i="4"/>
  <c r="J379" i="4"/>
  <c r="F276" i="16"/>
  <c r="A276" i="16"/>
  <c r="E277" i="16"/>
  <c r="B380" i="4"/>
  <c r="H381" i="4"/>
  <c r="I380" i="4"/>
  <c r="C278" i="11" l="1"/>
  <c r="K278" i="11" s="1"/>
  <c r="E278" i="11" s="1"/>
  <c r="J278" i="11"/>
  <c r="D278" i="11" s="1"/>
  <c r="F278" i="11" s="1"/>
  <c r="E277" i="11"/>
  <c r="I279" i="11"/>
  <c r="B279" i="11"/>
  <c r="H280" i="11"/>
  <c r="H382" i="4"/>
  <c r="I381" i="4"/>
  <c r="B381" i="4"/>
  <c r="F277" i="16"/>
  <c r="E278" i="16"/>
  <c r="A277" i="16"/>
  <c r="B276" i="16"/>
  <c r="G276" i="16"/>
  <c r="C276" i="16" s="1"/>
  <c r="J380" i="4"/>
  <c r="C380" i="4"/>
  <c r="K379" i="4"/>
  <c r="D379" i="4" s="1"/>
  <c r="E379" i="4"/>
  <c r="F379" i="4" s="1"/>
  <c r="D276" i="16" l="1"/>
  <c r="C279" i="11"/>
  <c r="K279" i="11" s="1"/>
  <c r="E279" i="11" s="1"/>
  <c r="J279" i="11"/>
  <c r="D279" i="11" s="1"/>
  <c r="F279" i="11" s="1"/>
  <c r="H281" i="11"/>
  <c r="B280" i="11"/>
  <c r="I280" i="11"/>
  <c r="J381" i="4"/>
  <c r="C381" i="4"/>
  <c r="G277" i="16"/>
  <c r="C277" i="16" s="1"/>
  <c r="D277" i="16" s="1"/>
  <c r="B277" i="16"/>
  <c r="K380" i="4"/>
  <c r="D380" i="4" s="1"/>
  <c r="E380" i="4"/>
  <c r="F380" i="4" s="1"/>
  <c r="E279" i="16"/>
  <c r="A278" i="16"/>
  <c r="F278" i="16"/>
  <c r="H383" i="4"/>
  <c r="I382" i="4"/>
  <c r="B382" i="4"/>
  <c r="I281" i="11" l="1"/>
  <c r="B281" i="11"/>
  <c r="H282" i="11"/>
  <c r="C280" i="11"/>
  <c r="K280" i="11" s="1"/>
  <c r="J280" i="11"/>
  <c r="D280" i="11" s="1"/>
  <c r="F280" i="11" s="1"/>
  <c r="A279" i="16"/>
  <c r="E280" i="16"/>
  <c r="F279" i="16"/>
  <c r="G278" i="16"/>
  <c r="C278" i="16" s="1"/>
  <c r="D278" i="16" s="1"/>
  <c r="B278" i="16"/>
  <c r="C382" i="4"/>
  <c r="J382" i="4"/>
  <c r="B383" i="4"/>
  <c r="I383" i="4"/>
  <c r="H384" i="4"/>
  <c r="E381" i="4"/>
  <c r="F381" i="4" s="1"/>
  <c r="K381" i="4"/>
  <c r="D381" i="4" s="1"/>
  <c r="C281" i="11" l="1"/>
  <c r="K281" i="11" s="1"/>
  <c r="E281" i="11" s="1"/>
  <c r="J281" i="11"/>
  <c r="D281" i="11" s="1"/>
  <c r="F281" i="11" s="1"/>
  <c r="E280" i="11"/>
  <c r="H283" i="11"/>
  <c r="I282" i="11"/>
  <c r="B282" i="11"/>
  <c r="C383" i="4"/>
  <c r="J383" i="4"/>
  <c r="B384" i="4"/>
  <c r="H385" i="4"/>
  <c r="I384" i="4"/>
  <c r="K382" i="4"/>
  <c r="D382" i="4" s="1"/>
  <c r="E382" i="4"/>
  <c r="F382" i="4" s="1"/>
  <c r="B279" i="16"/>
  <c r="G279" i="16"/>
  <c r="C279" i="16" s="1"/>
  <c r="F280" i="16"/>
  <c r="A280" i="16"/>
  <c r="E281" i="16"/>
  <c r="D279" i="16" l="1"/>
  <c r="B283" i="11"/>
  <c r="I283" i="11"/>
  <c r="H284" i="11"/>
  <c r="J282" i="11"/>
  <c r="D282" i="11" s="1"/>
  <c r="F282" i="11" s="1"/>
  <c r="C282" i="11"/>
  <c r="K282" i="11" s="1"/>
  <c r="E282" i="11" s="1"/>
  <c r="B280" i="16"/>
  <c r="G280" i="16"/>
  <c r="C280" i="16" s="1"/>
  <c r="D280" i="16" s="1"/>
  <c r="J384" i="4"/>
  <c r="C384" i="4"/>
  <c r="F281" i="16"/>
  <c r="E282" i="16"/>
  <c r="A281" i="16"/>
  <c r="H386" i="4"/>
  <c r="I385" i="4"/>
  <c r="B385" i="4"/>
  <c r="K383" i="4"/>
  <c r="D383" i="4" s="1"/>
  <c r="E383" i="4"/>
  <c r="F383" i="4" s="1"/>
  <c r="H285" i="11" l="1"/>
  <c r="B284" i="11"/>
  <c r="I284" i="11"/>
  <c r="J283" i="11"/>
  <c r="D283" i="11" s="1"/>
  <c r="F283" i="11" s="1"/>
  <c r="C283" i="11"/>
  <c r="K283" i="11" s="1"/>
  <c r="E283" i="11" s="1"/>
  <c r="H387" i="4"/>
  <c r="I386" i="4"/>
  <c r="B386" i="4"/>
  <c r="E283" i="16"/>
  <c r="A282" i="16"/>
  <c r="F282" i="16"/>
  <c r="K384" i="4"/>
  <c r="D384" i="4" s="1"/>
  <c r="E384" i="4"/>
  <c r="F384" i="4" s="1"/>
  <c r="J385" i="4"/>
  <c r="C385" i="4"/>
  <c r="G281" i="16"/>
  <c r="C281" i="16" s="1"/>
  <c r="D281" i="16" s="1"/>
  <c r="B281" i="16"/>
  <c r="J284" i="11" l="1"/>
  <c r="D284" i="11" s="1"/>
  <c r="F284" i="11" s="1"/>
  <c r="C284" i="11"/>
  <c r="K284" i="11" s="1"/>
  <c r="B285" i="11"/>
  <c r="H286" i="11"/>
  <c r="I285" i="11"/>
  <c r="A283" i="16"/>
  <c r="E284" i="16"/>
  <c r="F283" i="16"/>
  <c r="B387" i="4"/>
  <c r="I387" i="4"/>
  <c r="H388" i="4"/>
  <c r="C386" i="4"/>
  <c r="J386" i="4"/>
  <c r="G282" i="16"/>
  <c r="C282" i="16" s="1"/>
  <c r="D282" i="16" s="1"/>
  <c r="B282" i="16"/>
  <c r="E385" i="4"/>
  <c r="F385" i="4" s="1"/>
  <c r="K385" i="4"/>
  <c r="D385" i="4" s="1"/>
  <c r="I286" i="11" l="1"/>
  <c r="H287" i="11"/>
  <c r="B286" i="11"/>
  <c r="E284" i="11"/>
  <c r="C285" i="11"/>
  <c r="K285" i="11" s="1"/>
  <c r="J285" i="11"/>
  <c r="D285" i="11" s="1"/>
  <c r="F285" i="11" s="1"/>
  <c r="B388" i="4"/>
  <c r="H389" i="4"/>
  <c r="I388" i="4"/>
  <c r="K386" i="4"/>
  <c r="D386" i="4" s="1"/>
  <c r="E386" i="4"/>
  <c r="F386" i="4" s="1"/>
  <c r="B283" i="16"/>
  <c r="G283" i="16"/>
  <c r="C283" i="16" s="1"/>
  <c r="D283" i="16" s="1"/>
  <c r="F284" i="16"/>
  <c r="A284" i="16"/>
  <c r="E285" i="16"/>
  <c r="C387" i="4"/>
  <c r="J387" i="4"/>
  <c r="B287" i="11" l="1"/>
  <c r="H288" i="11"/>
  <c r="I287" i="11"/>
  <c r="E285" i="11"/>
  <c r="J286" i="11"/>
  <c r="D286" i="11" s="1"/>
  <c r="F286" i="11" s="1"/>
  <c r="C286" i="11"/>
  <c r="K286" i="11" s="1"/>
  <c r="E286" i="11" s="1"/>
  <c r="K387" i="4"/>
  <c r="D387" i="4" s="1"/>
  <c r="E387" i="4"/>
  <c r="F387" i="4" s="1"/>
  <c r="J388" i="4"/>
  <c r="C388" i="4"/>
  <c r="F285" i="16"/>
  <c r="E286" i="16"/>
  <c r="A285" i="16"/>
  <c r="B284" i="16"/>
  <c r="G284" i="16"/>
  <c r="C284" i="16" s="1"/>
  <c r="D284" i="16" s="1"/>
  <c r="H390" i="4"/>
  <c r="I389" i="4"/>
  <c r="B389" i="4"/>
  <c r="C287" i="11" l="1"/>
  <c r="K287" i="11" s="1"/>
  <c r="E287" i="11" s="1"/>
  <c r="J287" i="11"/>
  <c r="D287" i="11" s="1"/>
  <c r="F287" i="11" s="1"/>
  <c r="B288" i="11"/>
  <c r="H289" i="11"/>
  <c r="I288" i="11"/>
  <c r="K388" i="4"/>
  <c r="D388" i="4" s="1"/>
  <c r="E388" i="4"/>
  <c r="F388" i="4" s="1"/>
  <c r="G285" i="16"/>
  <c r="C285" i="16" s="1"/>
  <c r="B285" i="16"/>
  <c r="J389" i="4"/>
  <c r="C389" i="4"/>
  <c r="H391" i="4"/>
  <c r="I390" i="4"/>
  <c r="B390" i="4"/>
  <c r="E287" i="16"/>
  <c r="A286" i="16"/>
  <c r="F286" i="16"/>
  <c r="D285" i="16" l="1"/>
  <c r="I289" i="11"/>
  <c r="B289" i="11"/>
  <c r="H290" i="11"/>
  <c r="J288" i="11"/>
  <c r="D288" i="11" s="1"/>
  <c r="F288" i="11" s="1"/>
  <c r="C288" i="11"/>
  <c r="K288" i="11" s="1"/>
  <c r="E288" i="11" s="1"/>
  <c r="B391" i="4"/>
  <c r="H392" i="4"/>
  <c r="I391" i="4"/>
  <c r="E389" i="4"/>
  <c r="F389" i="4" s="1"/>
  <c r="K389" i="4"/>
  <c r="D389" i="4" s="1"/>
  <c r="A287" i="16"/>
  <c r="E288" i="16"/>
  <c r="F287" i="16"/>
  <c r="G286" i="16"/>
  <c r="C286" i="16" s="1"/>
  <c r="B286" i="16"/>
  <c r="C390" i="4"/>
  <c r="J390" i="4"/>
  <c r="D286" i="16" l="1"/>
  <c r="C289" i="11"/>
  <c r="K289" i="11" s="1"/>
  <c r="E289" i="11" s="1"/>
  <c r="J289" i="11"/>
  <c r="D289" i="11" s="1"/>
  <c r="F289" i="11" s="1"/>
  <c r="H291" i="11"/>
  <c r="I290" i="11"/>
  <c r="B290" i="11"/>
  <c r="B392" i="4"/>
  <c r="H393" i="4"/>
  <c r="I392" i="4"/>
  <c r="C391" i="4"/>
  <c r="J391" i="4"/>
  <c r="K390" i="4"/>
  <c r="D390" i="4" s="1"/>
  <c r="E390" i="4"/>
  <c r="F390" i="4" s="1"/>
  <c r="B287" i="16"/>
  <c r="G287" i="16"/>
  <c r="C287" i="16" s="1"/>
  <c r="D287" i="16" s="1"/>
  <c r="F288" i="16"/>
  <c r="A288" i="16"/>
  <c r="E289" i="16"/>
  <c r="H292" i="11" l="1"/>
  <c r="I291" i="11"/>
  <c r="B291" i="11"/>
  <c r="C290" i="11"/>
  <c r="K290" i="11" s="1"/>
  <c r="J290" i="11"/>
  <c r="D290" i="11" s="1"/>
  <c r="F290" i="11" s="1"/>
  <c r="F289" i="16"/>
  <c r="E290" i="16"/>
  <c r="A289" i="16"/>
  <c r="B288" i="16"/>
  <c r="G288" i="16"/>
  <c r="C288" i="16" s="1"/>
  <c r="K391" i="4"/>
  <c r="D391" i="4" s="1"/>
  <c r="E391" i="4"/>
  <c r="F391" i="4" s="1"/>
  <c r="J392" i="4"/>
  <c r="C392" i="4"/>
  <c r="H394" i="4"/>
  <c r="I393" i="4"/>
  <c r="B393" i="4"/>
  <c r="D288" i="16" l="1"/>
  <c r="B292" i="11"/>
  <c r="I292" i="11"/>
  <c r="H293" i="11"/>
  <c r="E290" i="11"/>
  <c r="C291" i="11"/>
  <c r="K291" i="11" s="1"/>
  <c r="J291" i="11"/>
  <c r="D291" i="11" s="1"/>
  <c r="F291" i="11" s="1"/>
  <c r="H395" i="4"/>
  <c r="I394" i="4"/>
  <c r="B394" i="4"/>
  <c r="G289" i="16"/>
  <c r="C289" i="16" s="1"/>
  <c r="B289" i="16"/>
  <c r="J393" i="4"/>
  <c r="C393" i="4"/>
  <c r="A290" i="16"/>
  <c r="F290" i="16"/>
  <c r="K392" i="4"/>
  <c r="D392" i="4" s="1"/>
  <c r="E392" i="4"/>
  <c r="F392" i="4" s="1"/>
  <c r="D289" i="16" l="1"/>
  <c r="I293" i="11"/>
  <c r="B293" i="11"/>
  <c r="H294" i="11"/>
  <c r="E291" i="11"/>
  <c r="J292" i="11"/>
  <c r="D292" i="11" s="1"/>
  <c r="F292" i="11" s="1"/>
  <c r="C292" i="11"/>
  <c r="K292" i="11" s="1"/>
  <c r="E292" i="11" s="1"/>
  <c r="E393" i="4"/>
  <c r="F393" i="4" s="1"/>
  <c r="K393" i="4"/>
  <c r="D393" i="4" s="1"/>
  <c r="G290" i="16"/>
  <c r="C290" i="16" s="1"/>
  <c r="B290" i="16"/>
  <c r="C394" i="4"/>
  <c r="J394" i="4"/>
  <c r="B395" i="4"/>
  <c r="H396" i="4"/>
  <c r="I395" i="4"/>
  <c r="D290" i="16" l="1"/>
  <c r="B294" i="11"/>
  <c r="H295" i="11"/>
  <c r="I294" i="11"/>
  <c r="J293" i="11"/>
  <c r="D293" i="11" s="1"/>
  <c r="F293" i="11" s="1"/>
  <c r="C293" i="11"/>
  <c r="K293" i="11" s="1"/>
  <c r="E293" i="11" s="1"/>
  <c r="K394" i="4"/>
  <c r="D394" i="4" s="1"/>
  <c r="E394" i="4"/>
  <c r="F394" i="4" s="1"/>
  <c r="B396" i="4"/>
  <c r="H397" i="4"/>
  <c r="I396" i="4"/>
  <c r="C395" i="4"/>
  <c r="J395" i="4"/>
  <c r="C294" i="11" l="1"/>
  <c r="K294" i="11" s="1"/>
  <c r="E294" i="11" s="1"/>
  <c r="J294" i="11"/>
  <c r="D294" i="11" s="1"/>
  <c r="F294" i="11" s="1"/>
  <c r="B295" i="11"/>
  <c r="I295" i="11"/>
  <c r="H296" i="11"/>
  <c r="K395" i="4"/>
  <c r="D395" i="4" s="1"/>
  <c r="E395" i="4"/>
  <c r="F395" i="4" s="1"/>
  <c r="J396" i="4"/>
  <c r="C396" i="4"/>
  <c r="H398" i="4"/>
  <c r="I397" i="4"/>
  <c r="B397" i="4"/>
  <c r="J295" i="11" l="1"/>
  <c r="D295" i="11" s="1"/>
  <c r="F295" i="11" s="1"/>
  <c r="C295" i="11"/>
  <c r="K295" i="11" s="1"/>
  <c r="I296" i="11"/>
  <c r="B296" i="11"/>
  <c r="H297" i="11"/>
  <c r="H399" i="4"/>
  <c r="I398" i="4"/>
  <c r="B398" i="4"/>
  <c r="K396" i="4"/>
  <c r="D396" i="4" s="1"/>
  <c r="E396" i="4"/>
  <c r="F396" i="4" s="1"/>
  <c r="J397" i="4"/>
  <c r="C397" i="4"/>
  <c r="I297" i="11" l="1"/>
  <c r="B297" i="11"/>
  <c r="H298" i="11"/>
  <c r="C296" i="11"/>
  <c r="K296" i="11" s="1"/>
  <c r="J296" i="11"/>
  <c r="D296" i="11" s="1"/>
  <c r="F296" i="11" s="1"/>
  <c r="E295" i="11"/>
  <c r="B399" i="4"/>
  <c r="I399" i="4"/>
  <c r="H400" i="4"/>
  <c r="E397" i="4"/>
  <c r="F397" i="4" s="1"/>
  <c r="K397" i="4"/>
  <c r="D397" i="4" s="1"/>
  <c r="C398" i="4"/>
  <c r="J398" i="4"/>
  <c r="E296" i="11" l="1"/>
  <c r="I298" i="11"/>
  <c r="B298" i="11"/>
  <c r="H299" i="11"/>
  <c r="C297" i="11"/>
  <c r="K297" i="11" s="1"/>
  <c r="E297" i="11" s="1"/>
  <c r="J297" i="11"/>
  <c r="D297" i="11" s="1"/>
  <c r="F297" i="11" s="1"/>
  <c r="C399" i="4"/>
  <c r="J399" i="4"/>
  <c r="K398" i="4"/>
  <c r="D398" i="4" s="1"/>
  <c r="E398" i="4"/>
  <c r="F398" i="4" s="1"/>
  <c r="B400" i="4"/>
  <c r="H401" i="4"/>
  <c r="I400" i="4"/>
  <c r="I299" i="11" l="1"/>
  <c r="B299" i="11"/>
  <c r="H300" i="11"/>
  <c r="J298" i="11"/>
  <c r="D298" i="11" s="1"/>
  <c r="F298" i="11" s="1"/>
  <c r="C298" i="11"/>
  <c r="K298" i="11" s="1"/>
  <c r="E298" i="11" s="1"/>
  <c r="H402" i="4"/>
  <c r="I401" i="4"/>
  <c r="B401" i="4"/>
  <c r="J400" i="4"/>
  <c r="C400" i="4"/>
  <c r="K399" i="4"/>
  <c r="D399" i="4" s="1"/>
  <c r="E399" i="4"/>
  <c r="F399" i="4" s="1"/>
  <c r="J299" i="11" l="1"/>
  <c r="D299" i="11" s="1"/>
  <c r="F299" i="11" s="1"/>
  <c r="C299" i="11"/>
  <c r="K299" i="11" s="1"/>
  <c r="B300" i="11"/>
  <c r="H301" i="11"/>
  <c r="I300" i="11"/>
  <c r="J401" i="4"/>
  <c r="C401" i="4"/>
  <c r="K400" i="4"/>
  <c r="D400" i="4" s="1"/>
  <c r="E400" i="4"/>
  <c r="F400" i="4" s="1"/>
  <c r="H403" i="4"/>
  <c r="I402" i="4"/>
  <c r="B402" i="4"/>
  <c r="J300" i="11" l="1"/>
  <c r="D300" i="11" s="1"/>
  <c r="F300" i="11" s="1"/>
  <c r="C300" i="11"/>
  <c r="K300" i="11" s="1"/>
  <c r="H302" i="11"/>
  <c r="I301" i="11"/>
  <c r="B301" i="11"/>
  <c r="E299" i="11"/>
  <c r="C402" i="4"/>
  <c r="J402" i="4"/>
  <c r="E401" i="4"/>
  <c r="F401" i="4" s="1"/>
  <c r="K401" i="4"/>
  <c r="D401" i="4" s="1"/>
  <c r="B403" i="4"/>
  <c r="I403" i="4"/>
  <c r="H404" i="4"/>
  <c r="J301" i="11" l="1"/>
  <c r="D301" i="11" s="1"/>
  <c r="F301" i="11" s="1"/>
  <c r="C301" i="11"/>
  <c r="K301" i="11" s="1"/>
  <c r="E301" i="11" s="1"/>
  <c r="E300" i="11"/>
  <c r="B302" i="11"/>
  <c r="H303" i="11"/>
  <c r="I302" i="11"/>
  <c r="C403" i="4"/>
  <c r="J403" i="4"/>
  <c r="K402" i="4"/>
  <c r="D402" i="4" s="1"/>
  <c r="E402" i="4"/>
  <c r="F402" i="4" s="1"/>
  <c r="B404" i="4"/>
  <c r="H405" i="4"/>
  <c r="I404" i="4"/>
  <c r="J302" i="11" l="1"/>
  <c r="D302" i="11" s="1"/>
  <c r="F302" i="11" s="1"/>
  <c r="C302" i="11"/>
  <c r="K302" i="11" s="1"/>
  <c r="I303" i="11"/>
  <c r="B303" i="11"/>
  <c r="H304" i="11"/>
  <c r="H406" i="4"/>
  <c r="I405" i="4"/>
  <c r="B405" i="4"/>
  <c r="K403" i="4"/>
  <c r="D403" i="4" s="1"/>
  <c r="E403" i="4"/>
  <c r="F403" i="4" s="1"/>
  <c r="J404" i="4"/>
  <c r="C404" i="4"/>
  <c r="I304" i="11" l="1"/>
  <c r="B304" i="11"/>
  <c r="H305" i="11"/>
  <c r="C303" i="11"/>
  <c r="K303" i="11" s="1"/>
  <c r="J303" i="11"/>
  <c r="D303" i="11" s="1"/>
  <c r="F303" i="11" s="1"/>
  <c r="E302" i="11"/>
  <c r="K404" i="4"/>
  <c r="D404" i="4" s="1"/>
  <c r="E404" i="4"/>
  <c r="F404" i="4" s="1"/>
  <c r="J405" i="4"/>
  <c r="C405" i="4"/>
  <c r="H407" i="4"/>
  <c r="I406" i="4"/>
  <c r="B406" i="4"/>
  <c r="H306" i="11" l="1"/>
  <c r="I305" i="11"/>
  <c r="B305" i="11"/>
  <c r="E303" i="11"/>
  <c r="C304" i="11"/>
  <c r="K304" i="11" s="1"/>
  <c r="J304" i="11"/>
  <c r="D304" i="11" s="1"/>
  <c r="F304" i="11" s="1"/>
  <c r="B407" i="4"/>
  <c r="H408" i="4"/>
  <c r="I407" i="4"/>
  <c r="E405" i="4"/>
  <c r="F405" i="4" s="1"/>
  <c r="K405" i="4"/>
  <c r="D405" i="4" s="1"/>
  <c r="C406" i="4"/>
  <c r="J406" i="4"/>
  <c r="B306" i="11" l="1"/>
  <c r="H307" i="11"/>
  <c r="I306" i="11"/>
  <c r="E304" i="11"/>
  <c r="J305" i="11"/>
  <c r="D305" i="11" s="1"/>
  <c r="F305" i="11" s="1"/>
  <c r="C305" i="11"/>
  <c r="K305" i="11" s="1"/>
  <c r="C407" i="4"/>
  <c r="J407" i="4"/>
  <c r="K406" i="4"/>
  <c r="D406" i="4" s="1"/>
  <c r="E406" i="4"/>
  <c r="F406" i="4" s="1"/>
  <c r="B408" i="4"/>
  <c r="H409" i="4"/>
  <c r="I408" i="4"/>
  <c r="J306" i="11" l="1"/>
  <c r="D306" i="11" s="1"/>
  <c r="F306" i="11" s="1"/>
  <c r="C306" i="11"/>
  <c r="K306" i="11" s="1"/>
  <c r="E306" i="11" s="1"/>
  <c r="E305" i="11"/>
  <c r="H308" i="11"/>
  <c r="I307" i="11"/>
  <c r="B307" i="11"/>
  <c r="H410" i="4"/>
  <c r="I409" i="4"/>
  <c r="B409" i="4"/>
  <c r="J408" i="4"/>
  <c r="C408" i="4"/>
  <c r="K407" i="4"/>
  <c r="D407" i="4" s="1"/>
  <c r="E407" i="4"/>
  <c r="F407" i="4" s="1"/>
  <c r="B308" i="11" l="1"/>
  <c r="H309" i="11"/>
  <c r="I308" i="11"/>
  <c r="J307" i="11"/>
  <c r="D307" i="11" s="1"/>
  <c r="F307" i="11" s="1"/>
  <c r="C307" i="11"/>
  <c r="K307" i="11" s="1"/>
  <c r="E307" i="11" s="1"/>
  <c r="K408" i="4"/>
  <c r="D408" i="4" s="1"/>
  <c r="E408" i="4"/>
  <c r="F408" i="4" s="1"/>
  <c r="J409" i="4"/>
  <c r="C409" i="4"/>
  <c r="H411" i="4"/>
  <c r="I410" i="4"/>
  <c r="B410" i="4"/>
  <c r="J308" i="11" l="1"/>
  <c r="D308" i="11" s="1"/>
  <c r="F308" i="11" s="1"/>
  <c r="C308" i="11"/>
  <c r="K308" i="11" s="1"/>
  <c r="I309" i="11"/>
  <c r="B309" i="11"/>
  <c r="H310" i="11"/>
  <c r="E409" i="4"/>
  <c r="F409" i="4" s="1"/>
  <c r="K409" i="4"/>
  <c r="D409" i="4" s="1"/>
  <c r="C410" i="4"/>
  <c r="J410" i="4"/>
  <c r="B411" i="4"/>
  <c r="H412" i="4"/>
  <c r="I411" i="4"/>
  <c r="I310" i="11" l="1"/>
  <c r="B310" i="11"/>
  <c r="H311" i="11"/>
  <c r="C309" i="11"/>
  <c r="K309" i="11" s="1"/>
  <c r="J309" i="11"/>
  <c r="D309" i="11" s="1"/>
  <c r="F309" i="11" s="1"/>
  <c r="E308" i="11"/>
  <c r="C411" i="4"/>
  <c r="J411" i="4"/>
  <c r="K410" i="4"/>
  <c r="D410" i="4" s="1"/>
  <c r="E410" i="4"/>
  <c r="F410" i="4" s="1"/>
  <c r="B412" i="4"/>
  <c r="H413" i="4"/>
  <c r="I412" i="4"/>
  <c r="E309" i="11" l="1"/>
  <c r="H312" i="11"/>
  <c r="I311" i="11"/>
  <c r="B311" i="11"/>
  <c r="J310" i="11"/>
  <c r="D310" i="11" s="1"/>
  <c r="F310" i="11" s="1"/>
  <c r="C310" i="11"/>
  <c r="K310" i="11" s="1"/>
  <c r="J412" i="4"/>
  <c r="C412" i="4"/>
  <c r="H414" i="4"/>
  <c r="I413" i="4"/>
  <c r="B413" i="4"/>
  <c r="K411" i="4"/>
  <c r="D411" i="4" s="1"/>
  <c r="E411" i="4"/>
  <c r="F411" i="4" s="1"/>
  <c r="C311" i="11" l="1"/>
  <c r="K311" i="11" s="1"/>
  <c r="E311" i="11" s="1"/>
  <c r="J311" i="11"/>
  <c r="D311" i="11" s="1"/>
  <c r="F311" i="11" s="1"/>
  <c r="E310" i="11"/>
  <c r="I312" i="11"/>
  <c r="H313" i="11"/>
  <c r="B312" i="11"/>
  <c r="H415" i="4"/>
  <c r="I414" i="4"/>
  <c r="B414" i="4"/>
  <c r="K412" i="4"/>
  <c r="D412" i="4" s="1"/>
  <c r="E412" i="4"/>
  <c r="F412" i="4" s="1"/>
  <c r="J413" i="4"/>
  <c r="C413" i="4"/>
  <c r="H314" i="11" l="1"/>
  <c r="B313" i="11"/>
  <c r="I313" i="11"/>
  <c r="C312" i="11"/>
  <c r="K312" i="11" s="1"/>
  <c r="E312" i="11" s="1"/>
  <c r="J312" i="11"/>
  <c r="D312" i="11" s="1"/>
  <c r="F312" i="11" s="1"/>
  <c r="E413" i="4"/>
  <c r="F413" i="4" s="1"/>
  <c r="K413" i="4"/>
  <c r="D413" i="4" s="1"/>
  <c r="C414" i="4"/>
  <c r="J414" i="4"/>
  <c r="B415" i="4"/>
  <c r="I415" i="4"/>
  <c r="H416" i="4"/>
  <c r="I314" i="11" l="1"/>
  <c r="B314" i="11"/>
  <c r="H315" i="11"/>
  <c r="J313" i="11"/>
  <c r="D313" i="11" s="1"/>
  <c r="F313" i="11" s="1"/>
  <c r="C313" i="11"/>
  <c r="K313" i="11" s="1"/>
  <c r="E313" i="11" s="1"/>
  <c r="C415" i="4"/>
  <c r="J415" i="4"/>
  <c r="K414" i="4"/>
  <c r="D414" i="4" s="1"/>
  <c r="E414" i="4"/>
  <c r="F414" i="4" s="1"/>
  <c r="B416" i="4"/>
  <c r="H417" i="4"/>
  <c r="I416" i="4"/>
  <c r="J314" i="11" l="1"/>
  <c r="D314" i="11" s="1"/>
  <c r="F314" i="11" s="1"/>
  <c r="C314" i="11"/>
  <c r="K314" i="11" s="1"/>
  <c r="E314" i="11" s="1"/>
  <c r="I315" i="11"/>
  <c r="B315" i="11"/>
  <c r="H316" i="11"/>
  <c r="K415" i="4"/>
  <c r="D415" i="4" s="1"/>
  <c r="E415" i="4"/>
  <c r="F415" i="4" s="1"/>
  <c r="J416" i="4"/>
  <c r="C416" i="4"/>
  <c r="H418" i="4"/>
  <c r="I417" i="4"/>
  <c r="B417" i="4"/>
  <c r="C315" i="11" l="1"/>
  <c r="K315" i="11" s="1"/>
  <c r="E315" i="11" s="1"/>
  <c r="J315" i="11"/>
  <c r="D315" i="11" s="1"/>
  <c r="F315" i="11" s="1"/>
  <c r="B316" i="11"/>
  <c r="I316" i="11"/>
  <c r="H317" i="11"/>
  <c r="K416" i="4"/>
  <c r="D416" i="4" s="1"/>
  <c r="E416" i="4"/>
  <c r="F416" i="4" s="1"/>
  <c r="J417" i="4"/>
  <c r="C417" i="4"/>
  <c r="H419" i="4"/>
  <c r="I418" i="4"/>
  <c r="B418" i="4"/>
  <c r="H318" i="11" l="1"/>
  <c r="I317" i="11"/>
  <c r="B317" i="11"/>
  <c r="J316" i="11"/>
  <c r="D316" i="11" s="1"/>
  <c r="F316" i="11" s="1"/>
  <c r="C316" i="11"/>
  <c r="K316" i="11" s="1"/>
  <c r="E316" i="11" s="1"/>
  <c r="B419" i="4"/>
  <c r="I419" i="4"/>
  <c r="H420" i="4"/>
  <c r="E417" i="4"/>
  <c r="F417" i="4" s="1"/>
  <c r="K417" i="4"/>
  <c r="D417" i="4" s="1"/>
  <c r="C418" i="4"/>
  <c r="J418" i="4"/>
  <c r="B318" i="11" l="1"/>
  <c r="H319" i="11"/>
  <c r="I318" i="11"/>
  <c r="J317" i="11"/>
  <c r="D317" i="11" s="1"/>
  <c r="F317" i="11" s="1"/>
  <c r="C317" i="11"/>
  <c r="K317" i="11" s="1"/>
  <c r="B420" i="4"/>
  <c r="H421" i="4"/>
  <c r="I420" i="4"/>
  <c r="C419" i="4"/>
  <c r="J419" i="4"/>
  <c r="K418" i="4"/>
  <c r="D418" i="4" s="1"/>
  <c r="E418" i="4"/>
  <c r="F418" i="4" s="1"/>
  <c r="J318" i="11" l="1"/>
  <c r="D318" i="11" s="1"/>
  <c r="F318" i="11" s="1"/>
  <c r="C318" i="11"/>
  <c r="K318" i="11" s="1"/>
  <c r="E317" i="11"/>
  <c r="B319" i="11"/>
  <c r="H320" i="11"/>
  <c r="I319" i="11"/>
  <c r="H422" i="4"/>
  <c r="I421" i="4"/>
  <c r="B421" i="4"/>
  <c r="K419" i="4"/>
  <c r="D419" i="4" s="1"/>
  <c r="E419" i="4"/>
  <c r="F419" i="4" s="1"/>
  <c r="J420" i="4"/>
  <c r="C420" i="4"/>
  <c r="C319" i="11" l="1"/>
  <c r="K319" i="11" s="1"/>
  <c r="E319" i="11" s="1"/>
  <c r="J319" i="11"/>
  <c r="D319" i="11" s="1"/>
  <c r="F319" i="11" s="1"/>
  <c r="H321" i="11"/>
  <c r="I320" i="11"/>
  <c r="B320" i="11"/>
  <c r="E318" i="11"/>
  <c r="K420" i="4"/>
  <c r="D420" i="4" s="1"/>
  <c r="E420" i="4"/>
  <c r="F420" i="4" s="1"/>
  <c r="J421" i="4"/>
  <c r="C421" i="4"/>
  <c r="H423" i="4"/>
  <c r="I422" i="4"/>
  <c r="B422" i="4"/>
  <c r="C320" i="11" l="1"/>
  <c r="K320" i="11" s="1"/>
  <c r="E320" i="11" s="1"/>
  <c r="J320" i="11"/>
  <c r="D320" i="11" s="1"/>
  <c r="F320" i="11" s="1"/>
  <c r="I321" i="11"/>
  <c r="H322" i="11"/>
  <c r="B321" i="11"/>
  <c r="E421" i="4"/>
  <c r="F421" i="4" s="1"/>
  <c r="K421" i="4"/>
  <c r="D421" i="4" s="1"/>
  <c r="B423" i="4"/>
  <c r="H424" i="4"/>
  <c r="I423" i="4"/>
  <c r="C422" i="4"/>
  <c r="J422" i="4"/>
  <c r="H323" i="11" l="1"/>
  <c r="I322" i="11"/>
  <c r="B322" i="11"/>
  <c r="J321" i="11"/>
  <c r="D321" i="11" s="1"/>
  <c r="F321" i="11" s="1"/>
  <c r="C321" i="11"/>
  <c r="K321" i="11" s="1"/>
  <c r="B424" i="4"/>
  <c r="H425" i="4"/>
  <c r="I424" i="4"/>
  <c r="K422" i="4"/>
  <c r="D422" i="4" s="1"/>
  <c r="E422" i="4"/>
  <c r="F422" i="4" s="1"/>
  <c r="C423" i="4"/>
  <c r="J423" i="4"/>
  <c r="J322" i="11" l="1"/>
  <c r="D322" i="11" s="1"/>
  <c r="F322" i="11" s="1"/>
  <c r="C322" i="11"/>
  <c r="K322" i="11" s="1"/>
  <c r="E321" i="11"/>
  <c r="B323" i="11"/>
  <c r="I323" i="11"/>
  <c r="H324" i="11"/>
  <c r="K423" i="4"/>
  <c r="D423" i="4" s="1"/>
  <c r="E423" i="4"/>
  <c r="F423" i="4" s="1"/>
  <c r="J424" i="4"/>
  <c r="C424" i="4"/>
  <c r="H426" i="4"/>
  <c r="I425" i="4"/>
  <c r="B425" i="4"/>
  <c r="B324" i="11" l="1"/>
  <c r="I324" i="11"/>
  <c r="H325" i="11"/>
  <c r="C323" i="11"/>
  <c r="K323" i="11" s="1"/>
  <c r="J323" i="11"/>
  <c r="D323" i="11" s="1"/>
  <c r="F323" i="11" s="1"/>
  <c r="E322" i="11"/>
  <c r="J425" i="4"/>
  <c r="C425" i="4"/>
  <c r="H427" i="4"/>
  <c r="I426" i="4"/>
  <c r="B426" i="4"/>
  <c r="K424" i="4"/>
  <c r="D424" i="4" s="1"/>
  <c r="E424" i="4"/>
  <c r="F424" i="4" s="1"/>
  <c r="E323" i="11" l="1"/>
  <c r="B325" i="11"/>
  <c r="I325" i="11"/>
  <c r="H326" i="11"/>
  <c r="J324" i="11"/>
  <c r="D324" i="11" s="1"/>
  <c r="F324" i="11" s="1"/>
  <c r="C324" i="11"/>
  <c r="K324" i="11" s="1"/>
  <c r="C426" i="4"/>
  <c r="J426" i="4"/>
  <c r="E425" i="4"/>
  <c r="F425" i="4" s="1"/>
  <c r="K425" i="4"/>
  <c r="D425" i="4" s="1"/>
  <c r="B427" i="4"/>
  <c r="H428" i="4"/>
  <c r="I427" i="4"/>
  <c r="I326" i="11" l="1"/>
  <c r="B326" i="11"/>
  <c r="H327" i="11"/>
  <c r="J325" i="11"/>
  <c r="D325" i="11" s="1"/>
  <c r="F325" i="11" s="1"/>
  <c r="C325" i="11"/>
  <c r="K325" i="11" s="1"/>
  <c r="E325" i="11" s="1"/>
  <c r="E324" i="11"/>
  <c r="C427" i="4"/>
  <c r="J427" i="4"/>
  <c r="K426" i="4"/>
  <c r="D426" i="4" s="1"/>
  <c r="E426" i="4"/>
  <c r="F426" i="4" s="1"/>
  <c r="B428" i="4"/>
  <c r="H429" i="4"/>
  <c r="I428" i="4"/>
  <c r="C326" i="11" l="1"/>
  <c r="K326" i="11" s="1"/>
  <c r="E326" i="11" s="1"/>
  <c r="J326" i="11"/>
  <c r="D326" i="11" s="1"/>
  <c r="F326" i="11" s="1"/>
  <c r="H328" i="11"/>
  <c r="I327" i="11"/>
  <c r="B327" i="11"/>
  <c r="J428" i="4"/>
  <c r="C428" i="4"/>
  <c r="K427" i="4"/>
  <c r="D427" i="4" s="1"/>
  <c r="E427" i="4"/>
  <c r="F427" i="4" s="1"/>
  <c r="H430" i="4"/>
  <c r="I429" i="4"/>
  <c r="B429" i="4"/>
  <c r="J327" i="11" l="1"/>
  <c r="D327" i="11" s="1"/>
  <c r="F327" i="11" s="1"/>
  <c r="C327" i="11"/>
  <c r="K327" i="11" s="1"/>
  <c r="I328" i="11"/>
  <c r="B328" i="11"/>
  <c r="H329" i="11"/>
  <c r="J429" i="4"/>
  <c r="C429" i="4"/>
  <c r="H431" i="4"/>
  <c r="I430" i="4"/>
  <c r="B430" i="4"/>
  <c r="K428" i="4"/>
  <c r="D428" i="4" s="1"/>
  <c r="E428" i="4"/>
  <c r="F428" i="4" s="1"/>
  <c r="B329" i="11" l="1"/>
  <c r="I329" i="11"/>
  <c r="H330" i="11"/>
  <c r="J328" i="11"/>
  <c r="D328" i="11" s="1"/>
  <c r="F328" i="11" s="1"/>
  <c r="C328" i="11"/>
  <c r="K328" i="11" s="1"/>
  <c r="E328" i="11" s="1"/>
  <c r="E327" i="11"/>
  <c r="C430" i="4"/>
  <c r="J430" i="4"/>
  <c r="B431" i="4"/>
  <c r="I431" i="4"/>
  <c r="H432" i="4"/>
  <c r="E429" i="4"/>
  <c r="F429" i="4" s="1"/>
  <c r="K429" i="4"/>
  <c r="D429" i="4" s="1"/>
  <c r="H331" i="11" l="1"/>
  <c r="I330" i="11"/>
  <c r="B330" i="11"/>
  <c r="J329" i="11"/>
  <c r="D329" i="11" s="1"/>
  <c r="F329" i="11" s="1"/>
  <c r="C329" i="11"/>
  <c r="K329" i="11" s="1"/>
  <c r="E329" i="11" s="1"/>
  <c r="K430" i="4"/>
  <c r="D430" i="4" s="1"/>
  <c r="E430" i="4"/>
  <c r="F430" i="4" s="1"/>
  <c r="C431" i="4"/>
  <c r="J431" i="4"/>
  <c r="B432" i="4"/>
  <c r="H433" i="4"/>
  <c r="I432" i="4"/>
  <c r="H332" i="11" l="1"/>
  <c r="I331" i="11"/>
  <c r="B331" i="11"/>
  <c r="J330" i="11"/>
  <c r="D330" i="11" s="1"/>
  <c r="F330" i="11" s="1"/>
  <c r="C330" i="11"/>
  <c r="K330" i="11" s="1"/>
  <c r="J432" i="4"/>
  <c r="C432" i="4"/>
  <c r="H434" i="4"/>
  <c r="I433" i="4"/>
  <c r="B433" i="4"/>
  <c r="K431" i="4"/>
  <c r="D431" i="4" s="1"/>
  <c r="E431" i="4"/>
  <c r="F431" i="4" s="1"/>
  <c r="B332" i="11" l="1"/>
  <c r="H333" i="11"/>
  <c r="I332" i="11"/>
  <c r="E330" i="11"/>
  <c r="C331" i="11"/>
  <c r="K331" i="11" s="1"/>
  <c r="E331" i="11" s="1"/>
  <c r="J331" i="11"/>
  <c r="D331" i="11" s="1"/>
  <c r="F331" i="11" s="1"/>
  <c r="H435" i="4"/>
  <c r="I434" i="4"/>
  <c r="B434" i="4"/>
  <c r="J433" i="4"/>
  <c r="C433" i="4"/>
  <c r="K432" i="4"/>
  <c r="D432" i="4" s="1"/>
  <c r="E432" i="4"/>
  <c r="F432" i="4" s="1"/>
  <c r="C332" i="11" l="1"/>
  <c r="K332" i="11" s="1"/>
  <c r="E332" i="11" s="1"/>
  <c r="J332" i="11"/>
  <c r="D332" i="11" s="1"/>
  <c r="F332" i="11" s="1"/>
  <c r="I333" i="11"/>
  <c r="B333" i="11"/>
  <c r="H334" i="11"/>
  <c r="C434" i="4"/>
  <c r="J434" i="4"/>
  <c r="B435" i="4"/>
  <c r="I435" i="4"/>
  <c r="H436" i="4"/>
  <c r="E433" i="4"/>
  <c r="F433" i="4" s="1"/>
  <c r="K433" i="4"/>
  <c r="D433" i="4" s="1"/>
  <c r="J333" i="11" l="1"/>
  <c r="D333" i="11" s="1"/>
  <c r="F333" i="11" s="1"/>
  <c r="C333" i="11"/>
  <c r="K333" i="11" s="1"/>
  <c r="E333" i="11" s="1"/>
  <c r="H335" i="11"/>
  <c r="I334" i="11"/>
  <c r="B334" i="11"/>
  <c r="C435" i="4"/>
  <c r="J435" i="4"/>
  <c r="B436" i="4"/>
  <c r="H437" i="4"/>
  <c r="I436" i="4"/>
  <c r="K434" i="4"/>
  <c r="D434" i="4" s="1"/>
  <c r="E434" i="4"/>
  <c r="F434" i="4" s="1"/>
  <c r="H336" i="11" l="1"/>
  <c r="B335" i="11"/>
  <c r="I335" i="11"/>
  <c r="J334" i="11"/>
  <c r="D334" i="11" s="1"/>
  <c r="F334" i="11" s="1"/>
  <c r="C334" i="11"/>
  <c r="K334" i="11" s="1"/>
  <c r="E334" i="11" s="1"/>
  <c r="J436" i="4"/>
  <c r="C436" i="4"/>
  <c r="H438" i="4"/>
  <c r="I437" i="4"/>
  <c r="B437" i="4"/>
  <c r="K435" i="4"/>
  <c r="D435" i="4" s="1"/>
  <c r="E435" i="4"/>
  <c r="F435" i="4" s="1"/>
  <c r="C335" i="11" l="1"/>
  <c r="K335" i="11" s="1"/>
  <c r="J335" i="11"/>
  <c r="D335" i="11" s="1"/>
  <c r="F335" i="11" s="1"/>
  <c r="H337" i="11"/>
  <c r="I336" i="11"/>
  <c r="B336" i="11"/>
  <c r="H439" i="4"/>
  <c r="I438" i="4"/>
  <c r="B438" i="4"/>
  <c r="K436" i="4"/>
  <c r="D436" i="4" s="1"/>
  <c r="E436" i="4"/>
  <c r="F436" i="4" s="1"/>
  <c r="J437" i="4"/>
  <c r="C437" i="4"/>
  <c r="B337" i="11" l="1"/>
  <c r="H338" i="11"/>
  <c r="I337" i="11"/>
  <c r="C336" i="11"/>
  <c r="K336" i="11" s="1"/>
  <c r="E336" i="11" s="1"/>
  <c r="J336" i="11"/>
  <c r="D336" i="11" s="1"/>
  <c r="F336" i="11" s="1"/>
  <c r="E335" i="11"/>
  <c r="C438" i="4"/>
  <c r="J438" i="4"/>
  <c r="E437" i="4"/>
  <c r="F437" i="4" s="1"/>
  <c r="K437" i="4"/>
  <c r="D437" i="4" s="1"/>
  <c r="B439" i="4"/>
  <c r="H440" i="4"/>
  <c r="I439" i="4"/>
  <c r="J337" i="11" l="1"/>
  <c r="D337" i="11" s="1"/>
  <c r="F337" i="11" s="1"/>
  <c r="C337" i="11"/>
  <c r="K337" i="11" s="1"/>
  <c r="E337" i="11" s="1"/>
  <c r="B338" i="11"/>
  <c r="I338" i="11"/>
  <c r="H339" i="11"/>
  <c r="C439" i="4"/>
  <c r="J439" i="4"/>
  <c r="B440" i="4"/>
  <c r="H441" i="4"/>
  <c r="I440" i="4"/>
  <c r="K438" i="4"/>
  <c r="D438" i="4" s="1"/>
  <c r="E438" i="4"/>
  <c r="F438" i="4" s="1"/>
  <c r="J338" i="11" l="1"/>
  <c r="D338" i="11" s="1"/>
  <c r="F338" i="11" s="1"/>
  <c r="C338" i="11"/>
  <c r="K338" i="11" s="1"/>
  <c r="E338" i="11" s="1"/>
  <c r="B339" i="11"/>
  <c r="H340" i="11"/>
  <c r="I339" i="11"/>
  <c r="H442" i="4"/>
  <c r="I441" i="4"/>
  <c r="B441" i="4"/>
  <c r="K439" i="4"/>
  <c r="D439" i="4" s="1"/>
  <c r="E439" i="4"/>
  <c r="F439" i="4" s="1"/>
  <c r="J440" i="4"/>
  <c r="C440" i="4"/>
  <c r="H341" i="11" l="1"/>
  <c r="B340" i="11"/>
  <c r="I340" i="11"/>
  <c r="J339" i="11"/>
  <c r="D339" i="11" s="1"/>
  <c r="F339" i="11" s="1"/>
  <c r="C339" i="11"/>
  <c r="K339" i="11" s="1"/>
  <c r="E339" i="11" s="1"/>
  <c r="K440" i="4"/>
  <c r="D440" i="4" s="1"/>
  <c r="E440" i="4"/>
  <c r="F440" i="4" s="1"/>
  <c r="H443" i="4"/>
  <c r="I442" i="4"/>
  <c r="B442" i="4"/>
  <c r="J441" i="4"/>
  <c r="C441" i="4"/>
  <c r="C340" i="11" l="1"/>
  <c r="K340" i="11" s="1"/>
  <c r="J340" i="11"/>
  <c r="D340" i="11" s="1"/>
  <c r="F340" i="11" s="1"/>
  <c r="B341" i="11"/>
  <c r="I341" i="11"/>
  <c r="H342" i="11"/>
  <c r="C442" i="4"/>
  <c r="J442" i="4"/>
  <c r="B443" i="4"/>
  <c r="H444" i="4"/>
  <c r="I443" i="4"/>
  <c r="E441" i="4"/>
  <c r="F441" i="4" s="1"/>
  <c r="K441" i="4"/>
  <c r="D441" i="4" s="1"/>
  <c r="C341" i="11" l="1"/>
  <c r="K341" i="11" s="1"/>
  <c r="J341" i="11"/>
  <c r="D341" i="11" s="1"/>
  <c r="F341" i="11" s="1"/>
  <c r="I342" i="11"/>
  <c r="B342" i="11"/>
  <c r="H343" i="11"/>
  <c r="E340" i="11"/>
  <c r="C443" i="4"/>
  <c r="J443" i="4"/>
  <c r="K442" i="4"/>
  <c r="D442" i="4" s="1"/>
  <c r="E442" i="4"/>
  <c r="F442" i="4" s="1"/>
  <c r="B444" i="4"/>
  <c r="H445" i="4"/>
  <c r="I444" i="4"/>
  <c r="J342" i="11" l="1"/>
  <c r="D342" i="11" s="1"/>
  <c r="F342" i="11" s="1"/>
  <c r="C342" i="11"/>
  <c r="K342" i="11" s="1"/>
  <c r="E342" i="11" s="1"/>
  <c r="H344" i="11"/>
  <c r="I343" i="11"/>
  <c r="B343" i="11"/>
  <c r="E341" i="11"/>
  <c r="J444" i="4"/>
  <c r="C444" i="4"/>
  <c r="K443" i="4"/>
  <c r="D443" i="4" s="1"/>
  <c r="E443" i="4"/>
  <c r="F443" i="4" s="1"/>
  <c r="H446" i="4"/>
  <c r="I445" i="4"/>
  <c r="B445" i="4"/>
  <c r="B344" i="11" l="1"/>
  <c r="I344" i="11"/>
  <c r="H345" i="11"/>
  <c r="J343" i="11"/>
  <c r="D343" i="11" s="1"/>
  <c r="F343" i="11" s="1"/>
  <c r="C343" i="11"/>
  <c r="K343" i="11" s="1"/>
  <c r="H447" i="4"/>
  <c r="I446" i="4"/>
  <c r="B446" i="4"/>
  <c r="J445" i="4"/>
  <c r="C445" i="4"/>
  <c r="K444" i="4"/>
  <c r="D444" i="4" s="1"/>
  <c r="E444" i="4"/>
  <c r="F444" i="4" s="1"/>
  <c r="B345" i="11" l="1"/>
  <c r="H346" i="11"/>
  <c r="I345" i="11"/>
  <c r="C344" i="11"/>
  <c r="K344" i="11" s="1"/>
  <c r="E344" i="11" s="1"/>
  <c r="J344" i="11"/>
  <c r="D344" i="11" s="1"/>
  <c r="F344" i="11" s="1"/>
  <c r="E343" i="11"/>
  <c r="E445" i="4"/>
  <c r="F445" i="4" s="1"/>
  <c r="K445" i="4"/>
  <c r="D445" i="4" s="1"/>
  <c r="C446" i="4"/>
  <c r="J446" i="4"/>
  <c r="B447" i="4"/>
  <c r="I447" i="4"/>
  <c r="H448" i="4"/>
  <c r="J345" i="11" l="1"/>
  <c r="D345" i="11" s="1"/>
  <c r="F345" i="11" s="1"/>
  <c r="C345" i="11"/>
  <c r="K345" i="11" s="1"/>
  <c r="E345" i="11" s="1"/>
  <c r="H347" i="11"/>
  <c r="B346" i="11"/>
  <c r="I346" i="11"/>
  <c r="C447" i="4"/>
  <c r="J447" i="4"/>
  <c r="K446" i="4"/>
  <c r="D446" i="4" s="1"/>
  <c r="E446" i="4"/>
  <c r="F446" i="4" s="1"/>
  <c r="B448" i="4"/>
  <c r="H449" i="4"/>
  <c r="I448" i="4"/>
  <c r="B347" i="11" l="1"/>
  <c r="I347" i="11"/>
  <c r="H348" i="11"/>
  <c r="J346" i="11"/>
  <c r="D346" i="11" s="1"/>
  <c r="F346" i="11" s="1"/>
  <c r="C346" i="11"/>
  <c r="K346" i="11" s="1"/>
  <c r="H450" i="4"/>
  <c r="I449" i="4"/>
  <c r="B449" i="4"/>
  <c r="K447" i="4"/>
  <c r="D447" i="4" s="1"/>
  <c r="E447" i="4"/>
  <c r="F447" i="4" s="1"/>
  <c r="J448" i="4"/>
  <c r="C448" i="4"/>
  <c r="I348" i="11" l="1"/>
  <c r="B348" i="11"/>
  <c r="H349" i="11"/>
  <c r="C347" i="11"/>
  <c r="K347" i="11" s="1"/>
  <c r="E347" i="11" s="1"/>
  <c r="J347" i="11"/>
  <c r="D347" i="11" s="1"/>
  <c r="F347" i="11" s="1"/>
  <c r="E346" i="11"/>
  <c r="H451" i="4"/>
  <c r="I450" i="4"/>
  <c r="B450" i="4"/>
  <c r="K448" i="4"/>
  <c r="D448" i="4" s="1"/>
  <c r="E448" i="4"/>
  <c r="F448" i="4" s="1"/>
  <c r="J449" i="4"/>
  <c r="C449" i="4"/>
  <c r="H350" i="11" l="1"/>
  <c r="I349" i="11"/>
  <c r="B349" i="11"/>
  <c r="C348" i="11"/>
  <c r="K348" i="11" s="1"/>
  <c r="E348" i="11" s="1"/>
  <c r="J348" i="11"/>
  <c r="D348" i="11" s="1"/>
  <c r="F348" i="11" s="1"/>
  <c r="E449" i="4"/>
  <c r="F449" i="4" s="1"/>
  <c r="K449" i="4"/>
  <c r="D449" i="4" s="1"/>
  <c r="C450" i="4"/>
  <c r="J450" i="4"/>
  <c r="B451" i="4"/>
  <c r="I451" i="4"/>
  <c r="H452" i="4"/>
  <c r="C349" i="11" l="1"/>
  <c r="K349" i="11" s="1"/>
  <c r="J349" i="11"/>
  <c r="D349" i="11" s="1"/>
  <c r="F349" i="11" s="1"/>
  <c r="H351" i="11"/>
  <c r="I350" i="11"/>
  <c r="B350" i="11"/>
  <c r="B452" i="4"/>
  <c r="H453" i="4"/>
  <c r="I452" i="4"/>
  <c r="C451" i="4"/>
  <c r="J451" i="4"/>
  <c r="K450" i="4"/>
  <c r="D450" i="4" s="1"/>
  <c r="E450" i="4"/>
  <c r="F450" i="4" s="1"/>
  <c r="J350" i="11" l="1"/>
  <c r="D350" i="11" s="1"/>
  <c r="F350" i="11" s="1"/>
  <c r="C350" i="11"/>
  <c r="K350" i="11" s="1"/>
  <c r="E350" i="11" s="1"/>
  <c r="I351" i="11"/>
  <c r="B351" i="11"/>
  <c r="H352" i="11"/>
  <c r="E349" i="11"/>
  <c r="K451" i="4"/>
  <c r="D451" i="4" s="1"/>
  <c r="E451" i="4"/>
  <c r="F451" i="4" s="1"/>
  <c r="J452" i="4"/>
  <c r="C452" i="4"/>
  <c r="H454" i="4"/>
  <c r="I453" i="4"/>
  <c r="B453" i="4"/>
  <c r="C351" i="11" l="1"/>
  <c r="K351" i="11" s="1"/>
  <c r="J351" i="11"/>
  <c r="D351" i="11" s="1"/>
  <c r="F351" i="11" s="1"/>
  <c r="B352" i="11"/>
  <c r="H353" i="11"/>
  <c r="I352" i="11"/>
  <c r="J453" i="4"/>
  <c r="C453" i="4"/>
  <c r="H455" i="4"/>
  <c r="I454" i="4"/>
  <c r="B454" i="4"/>
  <c r="K452" i="4"/>
  <c r="D452" i="4" s="1"/>
  <c r="E452" i="4"/>
  <c r="F452" i="4" s="1"/>
  <c r="I353" i="11" l="1"/>
  <c r="B353" i="11"/>
  <c r="H354" i="11"/>
  <c r="C352" i="11"/>
  <c r="K352" i="11" s="1"/>
  <c r="E352" i="11" s="1"/>
  <c r="J352" i="11"/>
  <c r="D352" i="11" s="1"/>
  <c r="F352" i="11" s="1"/>
  <c r="E351" i="11"/>
  <c r="C454" i="4"/>
  <c r="J454" i="4"/>
  <c r="B455" i="4"/>
  <c r="H456" i="4"/>
  <c r="I455" i="4"/>
  <c r="E453" i="4"/>
  <c r="F453" i="4" s="1"/>
  <c r="K453" i="4"/>
  <c r="D453" i="4" s="1"/>
  <c r="I354" i="11" l="1"/>
  <c r="H355" i="11"/>
  <c r="B354" i="11"/>
  <c r="J353" i="11"/>
  <c r="D353" i="11" s="1"/>
  <c r="F353" i="11" s="1"/>
  <c r="C353" i="11"/>
  <c r="K353" i="11" s="1"/>
  <c r="K454" i="4"/>
  <c r="D454" i="4" s="1"/>
  <c r="E454" i="4"/>
  <c r="F454" i="4" s="1"/>
  <c r="C455" i="4"/>
  <c r="J455" i="4"/>
  <c r="B456" i="4"/>
  <c r="H457" i="4"/>
  <c r="I456" i="4"/>
  <c r="H356" i="11" l="1"/>
  <c r="B355" i="11"/>
  <c r="I355" i="11"/>
  <c r="E353" i="11"/>
  <c r="J354" i="11"/>
  <c r="D354" i="11" s="1"/>
  <c r="F354" i="11" s="1"/>
  <c r="C354" i="11"/>
  <c r="K354" i="11" s="1"/>
  <c r="E354" i="11" s="1"/>
  <c r="J456" i="4"/>
  <c r="C456" i="4"/>
  <c r="K455" i="4"/>
  <c r="D455" i="4" s="1"/>
  <c r="E455" i="4"/>
  <c r="F455" i="4" s="1"/>
  <c r="H458" i="4"/>
  <c r="I457" i="4"/>
  <c r="B457" i="4"/>
  <c r="C355" i="11" l="1"/>
  <c r="K355" i="11" s="1"/>
  <c r="J355" i="11"/>
  <c r="D355" i="11" s="1"/>
  <c r="F355" i="11" s="1"/>
  <c r="H357" i="11"/>
  <c r="I356" i="11"/>
  <c r="B356" i="11"/>
  <c r="H459" i="4"/>
  <c r="I458" i="4"/>
  <c r="B458" i="4"/>
  <c r="J457" i="4"/>
  <c r="C457" i="4"/>
  <c r="K456" i="4"/>
  <c r="D456" i="4" s="1"/>
  <c r="E456" i="4"/>
  <c r="F456" i="4" s="1"/>
  <c r="C356" i="11" l="1"/>
  <c r="K356" i="11" s="1"/>
  <c r="J356" i="11"/>
  <c r="D356" i="11" s="1"/>
  <c r="F356" i="11" s="1"/>
  <c r="B357" i="11"/>
  <c r="H358" i="11"/>
  <c r="I357" i="11"/>
  <c r="E355" i="11"/>
  <c r="E457" i="4"/>
  <c r="F457" i="4" s="1"/>
  <c r="K457" i="4"/>
  <c r="D457" i="4" s="1"/>
  <c r="C458" i="4"/>
  <c r="J458" i="4"/>
  <c r="B459" i="4"/>
  <c r="H460" i="4"/>
  <c r="I459" i="4"/>
  <c r="B358" i="11" l="1"/>
  <c r="H359" i="11"/>
  <c r="I358" i="11"/>
  <c r="J357" i="11"/>
  <c r="D357" i="11" s="1"/>
  <c r="F357" i="11" s="1"/>
  <c r="C357" i="11"/>
  <c r="K357" i="11" s="1"/>
  <c r="E356" i="11"/>
  <c r="C459" i="4"/>
  <c r="J459" i="4"/>
  <c r="B460" i="4"/>
  <c r="H461" i="4"/>
  <c r="I460" i="4"/>
  <c r="K458" i="4"/>
  <c r="D458" i="4" s="1"/>
  <c r="E458" i="4"/>
  <c r="F458" i="4" s="1"/>
  <c r="H360" i="11" l="1"/>
  <c r="I359" i="11"/>
  <c r="B359" i="11"/>
  <c r="C358" i="11"/>
  <c r="K358" i="11" s="1"/>
  <c r="E358" i="11" s="1"/>
  <c r="J358" i="11"/>
  <c r="D358" i="11" s="1"/>
  <c r="F358" i="11" s="1"/>
  <c r="E357" i="11"/>
  <c r="J460" i="4"/>
  <c r="C460" i="4"/>
  <c r="H462" i="4"/>
  <c r="I461" i="4"/>
  <c r="B461" i="4"/>
  <c r="K459" i="4"/>
  <c r="D459" i="4" s="1"/>
  <c r="E459" i="4"/>
  <c r="F459" i="4" s="1"/>
  <c r="C359" i="11" l="1"/>
  <c r="K359" i="11" s="1"/>
  <c r="J359" i="11"/>
  <c r="D359" i="11" s="1"/>
  <c r="F359" i="11" s="1"/>
  <c r="I360" i="11"/>
  <c r="B360" i="11"/>
  <c r="H361" i="11"/>
  <c r="H463" i="4"/>
  <c r="I462" i="4"/>
  <c r="B462" i="4"/>
  <c r="J461" i="4"/>
  <c r="C461" i="4"/>
  <c r="K460" i="4"/>
  <c r="D460" i="4" s="1"/>
  <c r="E460" i="4"/>
  <c r="F460" i="4" s="1"/>
  <c r="J360" i="11" l="1"/>
  <c r="D360" i="11" s="1"/>
  <c r="F360" i="11" s="1"/>
  <c r="C360" i="11"/>
  <c r="K360" i="11" s="1"/>
  <c r="E360" i="11" s="1"/>
  <c r="B361" i="11"/>
  <c r="H362" i="11"/>
  <c r="I361" i="11"/>
  <c r="E359" i="11"/>
  <c r="B463" i="4"/>
  <c r="I463" i="4"/>
  <c r="H464" i="4"/>
  <c r="E461" i="4"/>
  <c r="F461" i="4" s="1"/>
  <c r="K461" i="4"/>
  <c r="D461" i="4" s="1"/>
  <c r="C462" i="4"/>
  <c r="J462" i="4"/>
  <c r="B362" i="11" l="1"/>
  <c r="H363" i="11"/>
  <c r="I362" i="11"/>
  <c r="C361" i="11"/>
  <c r="K361" i="11" s="1"/>
  <c r="E361" i="11" s="1"/>
  <c r="J361" i="11"/>
  <c r="D361" i="11" s="1"/>
  <c r="F361" i="11" s="1"/>
  <c r="B464" i="4"/>
  <c r="H465" i="4"/>
  <c r="I464" i="4"/>
  <c r="C463" i="4"/>
  <c r="J463" i="4"/>
  <c r="K462" i="4"/>
  <c r="D462" i="4" s="1"/>
  <c r="E462" i="4"/>
  <c r="F462" i="4" s="1"/>
  <c r="C362" i="11" l="1"/>
  <c r="K362" i="11" s="1"/>
  <c r="J362" i="11"/>
  <c r="D362" i="11" s="1"/>
  <c r="F362" i="11" s="1"/>
  <c r="I363" i="11"/>
  <c r="B363" i="11"/>
  <c r="H364" i="11"/>
  <c r="H466" i="4"/>
  <c r="I465" i="4"/>
  <c r="B465" i="4"/>
  <c r="K463" i="4"/>
  <c r="D463" i="4" s="1"/>
  <c r="E463" i="4"/>
  <c r="F463" i="4" s="1"/>
  <c r="J464" i="4"/>
  <c r="C464" i="4"/>
  <c r="C363" i="11" l="1"/>
  <c r="K363" i="11" s="1"/>
  <c r="J363" i="11"/>
  <c r="D363" i="11" s="1"/>
  <c r="F363" i="11" s="1"/>
  <c r="I364" i="11"/>
  <c r="B364" i="11"/>
  <c r="H365" i="11"/>
  <c r="E362" i="11"/>
  <c r="J465" i="4"/>
  <c r="C465" i="4"/>
  <c r="K464" i="4"/>
  <c r="D464" i="4" s="1"/>
  <c r="E464" i="4"/>
  <c r="F464" i="4" s="1"/>
  <c r="H467" i="4"/>
  <c r="I466" i="4"/>
  <c r="B466" i="4"/>
  <c r="J364" i="11" l="1"/>
  <c r="D364" i="11" s="1"/>
  <c r="F364" i="11" s="1"/>
  <c r="C364" i="11"/>
  <c r="K364" i="11" s="1"/>
  <c r="E364" i="11" s="1"/>
  <c r="I365" i="11"/>
  <c r="B365" i="11"/>
  <c r="H366" i="11"/>
  <c r="E363" i="11"/>
  <c r="B467" i="4"/>
  <c r="I467" i="4"/>
  <c r="H468" i="4"/>
  <c r="C466" i="4"/>
  <c r="J466" i="4"/>
  <c r="E465" i="4"/>
  <c r="F465" i="4" s="1"/>
  <c r="K465" i="4"/>
  <c r="D465" i="4" s="1"/>
  <c r="C365" i="11" l="1"/>
  <c r="K365" i="11" s="1"/>
  <c r="J365" i="11"/>
  <c r="D365" i="11" s="1"/>
  <c r="F365" i="11" s="1"/>
  <c r="H367" i="11"/>
  <c r="I366" i="11"/>
  <c r="B366" i="11"/>
  <c r="C467" i="4"/>
  <c r="J467" i="4"/>
  <c r="K466" i="4"/>
  <c r="D466" i="4" s="1"/>
  <c r="E466" i="4"/>
  <c r="F466" i="4" s="1"/>
  <c r="B468" i="4"/>
  <c r="H469" i="4"/>
  <c r="I468" i="4"/>
  <c r="J366" i="11" l="1"/>
  <c r="D366" i="11" s="1"/>
  <c r="F366" i="11" s="1"/>
  <c r="C366" i="11"/>
  <c r="K366" i="11" s="1"/>
  <c r="E366" i="11" s="1"/>
  <c r="I367" i="11"/>
  <c r="B367" i="11"/>
  <c r="H368" i="11"/>
  <c r="E365" i="11"/>
  <c r="J468" i="4"/>
  <c r="C468" i="4"/>
  <c r="H470" i="4"/>
  <c r="I469" i="4"/>
  <c r="B469" i="4"/>
  <c r="K467" i="4"/>
  <c r="D467" i="4" s="1"/>
  <c r="E467" i="4"/>
  <c r="F467" i="4" s="1"/>
  <c r="C367" i="11" l="1"/>
  <c r="K367" i="11" s="1"/>
  <c r="J367" i="11"/>
  <c r="D367" i="11" s="1"/>
  <c r="F367" i="11" s="1"/>
  <c r="B368" i="11"/>
  <c r="H369" i="11"/>
  <c r="I368" i="11"/>
  <c r="J469" i="4"/>
  <c r="C469" i="4"/>
  <c r="H471" i="4"/>
  <c r="I470" i="4"/>
  <c r="B470" i="4"/>
  <c r="K468" i="4"/>
  <c r="D468" i="4" s="1"/>
  <c r="E468" i="4"/>
  <c r="F468" i="4" s="1"/>
  <c r="H370" i="11" l="1"/>
  <c r="I369" i="11"/>
  <c r="B369" i="11"/>
  <c r="J368" i="11"/>
  <c r="D368" i="11" s="1"/>
  <c r="F368" i="11" s="1"/>
  <c r="C368" i="11"/>
  <c r="K368" i="11" s="1"/>
  <c r="E367" i="11"/>
  <c r="C470" i="4"/>
  <c r="J470" i="4"/>
  <c r="B471" i="4"/>
  <c r="H472" i="4"/>
  <c r="I471" i="4"/>
  <c r="E469" i="4"/>
  <c r="F469" i="4" s="1"/>
  <c r="K469" i="4"/>
  <c r="D469" i="4" s="1"/>
  <c r="C369" i="11" l="1"/>
  <c r="K369" i="11" s="1"/>
  <c r="J369" i="11"/>
  <c r="D369" i="11" s="1"/>
  <c r="F369" i="11" s="1"/>
  <c r="E368" i="11"/>
  <c r="H371" i="11"/>
  <c r="B370" i="11"/>
  <c r="I370" i="11"/>
  <c r="B472" i="4"/>
  <c r="H473" i="4"/>
  <c r="I472" i="4"/>
  <c r="C471" i="4"/>
  <c r="J471" i="4"/>
  <c r="K470" i="4"/>
  <c r="D470" i="4" s="1"/>
  <c r="E470" i="4"/>
  <c r="F470" i="4" s="1"/>
  <c r="B371" i="11" l="1"/>
  <c r="I371" i="11"/>
  <c r="H372" i="11"/>
  <c r="C370" i="11"/>
  <c r="K370" i="11" s="1"/>
  <c r="E370" i="11" s="1"/>
  <c r="J370" i="11"/>
  <c r="D370" i="11" s="1"/>
  <c r="F370" i="11" s="1"/>
  <c r="E369" i="11"/>
  <c r="H474" i="4"/>
  <c r="I473" i="4"/>
  <c r="B473" i="4"/>
  <c r="J472" i="4"/>
  <c r="C472" i="4"/>
  <c r="K471" i="4"/>
  <c r="D471" i="4" s="1"/>
  <c r="E471" i="4"/>
  <c r="F471" i="4" s="1"/>
  <c r="H373" i="11" l="1"/>
  <c r="B372" i="11"/>
  <c r="I372" i="11"/>
  <c r="J371" i="11"/>
  <c r="D371" i="11" s="1"/>
  <c r="F371" i="11" s="1"/>
  <c r="C371" i="11"/>
  <c r="K371" i="11" s="1"/>
  <c r="H475" i="4"/>
  <c r="I474" i="4"/>
  <c r="B474" i="4"/>
  <c r="J473" i="4"/>
  <c r="C473" i="4"/>
  <c r="K472" i="4"/>
  <c r="D472" i="4" s="1"/>
  <c r="E472" i="4"/>
  <c r="F472" i="4" s="1"/>
  <c r="C372" i="11" l="1"/>
  <c r="K372" i="11" s="1"/>
  <c r="J372" i="11"/>
  <c r="D372" i="11" s="1"/>
  <c r="F372" i="11" s="1"/>
  <c r="E371" i="11"/>
  <c r="I373" i="11"/>
  <c r="B373" i="11"/>
  <c r="H374" i="11"/>
  <c r="C474" i="4"/>
  <c r="J474" i="4"/>
  <c r="B475" i="4"/>
  <c r="H476" i="4"/>
  <c r="I475" i="4"/>
  <c r="E473" i="4"/>
  <c r="F473" i="4" s="1"/>
  <c r="K473" i="4"/>
  <c r="D473" i="4" s="1"/>
  <c r="J373" i="11" l="1"/>
  <c r="D373" i="11" s="1"/>
  <c r="F373" i="11" s="1"/>
  <c r="C373" i="11"/>
  <c r="K373" i="11" s="1"/>
  <c r="E373" i="11" s="1"/>
  <c r="B374" i="11"/>
  <c r="H375" i="11"/>
  <c r="I374" i="11"/>
  <c r="E372" i="11"/>
  <c r="B476" i="4"/>
  <c r="H477" i="4"/>
  <c r="I476" i="4"/>
  <c r="K474" i="4"/>
  <c r="D474" i="4" s="1"/>
  <c r="E474" i="4"/>
  <c r="F474" i="4" s="1"/>
  <c r="C475" i="4"/>
  <c r="J475" i="4"/>
  <c r="H376" i="11" l="1"/>
  <c r="I375" i="11"/>
  <c r="B375" i="11"/>
  <c r="C374" i="11"/>
  <c r="K374" i="11" s="1"/>
  <c r="E374" i="11" s="1"/>
  <c r="J374" i="11"/>
  <c r="D374" i="11" s="1"/>
  <c r="F374" i="11" s="1"/>
  <c r="K475" i="4"/>
  <c r="D475" i="4" s="1"/>
  <c r="E475" i="4"/>
  <c r="F475" i="4" s="1"/>
  <c r="H478" i="4"/>
  <c r="I477" i="4"/>
  <c r="B477" i="4"/>
  <c r="J476" i="4"/>
  <c r="C476" i="4"/>
  <c r="C375" i="11" l="1"/>
  <c r="K375" i="11" s="1"/>
  <c r="E375" i="11" s="1"/>
  <c r="J375" i="11"/>
  <c r="D375" i="11" s="1"/>
  <c r="F375" i="11" s="1"/>
  <c r="B376" i="11"/>
  <c r="H377" i="11"/>
  <c r="I376" i="11"/>
  <c r="J477" i="4"/>
  <c r="C477" i="4"/>
  <c r="K476" i="4"/>
  <c r="D476" i="4" s="1"/>
  <c r="E476" i="4"/>
  <c r="F476" i="4" s="1"/>
  <c r="H479" i="4"/>
  <c r="I478" i="4"/>
  <c r="B478" i="4"/>
  <c r="C376" i="11" l="1"/>
  <c r="K376" i="11" s="1"/>
  <c r="E376" i="11" s="1"/>
  <c r="J376" i="11"/>
  <c r="D376" i="11" s="1"/>
  <c r="F376" i="11" s="1"/>
  <c r="H378" i="11"/>
  <c r="I377" i="11"/>
  <c r="B377" i="11"/>
  <c r="C478" i="4"/>
  <c r="J478" i="4"/>
  <c r="E477" i="4"/>
  <c r="F477" i="4" s="1"/>
  <c r="K477" i="4"/>
  <c r="D477" i="4" s="1"/>
  <c r="B479" i="4"/>
  <c r="I479" i="4"/>
  <c r="H480" i="4"/>
  <c r="J377" i="11" l="1"/>
  <c r="D377" i="11" s="1"/>
  <c r="F377" i="11" s="1"/>
  <c r="C377" i="11"/>
  <c r="K377" i="11" s="1"/>
  <c r="E377" i="11" s="1"/>
  <c r="B378" i="11"/>
  <c r="H379" i="11"/>
  <c r="I378" i="11"/>
  <c r="K478" i="4"/>
  <c r="D478" i="4" s="1"/>
  <c r="E478" i="4"/>
  <c r="F478" i="4" s="1"/>
  <c r="C479" i="4"/>
  <c r="J479" i="4"/>
  <c r="B480" i="4"/>
  <c r="H481" i="4"/>
  <c r="I480" i="4"/>
  <c r="H380" i="11" l="1"/>
  <c r="I379" i="11"/>
  <c r="B379" i="11"/>
  <c r="J378" i="11"/>
  <c r="D378" i="11" s="1"/>
  <c r="F378" i="11" s="1"/>
  <c r="C378" i="11"/>
  <c r="K378" i="11" s="1"/>
  <c r="E378" i="11" s="1"/>
  <c r="H482" i="4"/>
  <c r="I481" i="4"/>
  <c r="B481" i="4"/>
  <c r="K479" i="4"/>
  <c r="D479" i="4" s="1"/>
  <c r="E479" i="4"/>
  <c r="F479" i="4" s="1"/>
  <c r="J480" i="4"/>
  <c r="C480" i="4"/>
  <c r="I380" i="11" l="1"/>
  <c r="H381" i="11"/>
  <c r="B380" i="11"/>
  <c r="C379" i="11"/>
  <c r="K379" i="11" s="1"/>
  <c r="J379" i="11"/>
  <c r="D379" i="11" s="1"/>
  <c r="F379" i="11" s="1"/>
  <c r="H483" i="4"/>
  <c r="I482" i="4"/>
  <c r="B482" i="4"/>
  <c r="J481" i="4"/>
  <c r="C481" i="4"/>
  <c r="K480" i="4"/>
  <c r="D480" i="4" s="1"/>
  <c r="E480" i="4"/>
  <c r="F480" i="4" s="1"/>
  <c r="E379" i="11" l="1"/>
  <c r="C380" i="11"/>
  <c r="K380" i="11" s="1"/>
  <c r="J380" i="11"/>
  <c r="D380" i="11" s="1"/>
  <c r="F380" i="11" s="1"/>
  <c r="H382" i="11"/>
  <c r="I381" i="11"/>
  <c r="B381" i="11"/>
  <c r="C482" i="4"/>
  <c r="J482" i="4"/>
  <c r="E481" i="4"/>
  <c r="F481" i="4" s="1"/>
  <c r="K481" i="4"/>
  <c r="D481" i="4" s="1"/>
  <c r="B483" i="4"/>
  <c r="I483" i="4"/>
  <c r="H484" i="4"/>
  <c r="C381" i="11" l="1"/>
  <c r="K381" i="11" s="1"/>
  <c r="J381" i="11"/>
  <c r="D381" i="11" s="1"/>
  <c r="F381" i="11" s="1"/>
  <c r="H383" i="11"/>
  <c r="I382" i="11"/>
  <c r="B382" i="11"/>
  <c r="E380" i="11"/>
  <c r="C483" i="4"/>
  <c r="J483" i="4"/>
  <c r="K482" i="4"/>
  <c r="D482" i="4" s="1"/>
  <c r="E482" i="4"/>
  <c r="F482" i="4" s="1"/>
  <c r="B484" i="4"/>
  <c r="H485" i="4"/>
  <c r="I484" i="4"/>
  <c r="I383" i="11" l="1"/>
  <c r="H384" i="11"/>
  <c r="B383" i="11"/>
  <c r="C382" i="11"/>
  <c r="K382" i="11" s="1"/>
  <c r="J382" i="11"/>
  <c r="D382" i="11" s="1"/>
  <c r="F382" i="11" s="1"/>
  <c r="E381" i="11"/>
  <c r="H486" i="4"/>
  <c r="I485" i="4"/>
  <c r="B485" i="4"/>
  <c r="K483" i="4"/>
  <c r="D483" i="4" s="1"/>
  <c r="E483" i="4"/>
  <c r="F483" i="4" s="1"/>
  <c r="J484" i="4"/>
  <c r="C484" i="4"/>
  <c r="E382" i="11" l="1"/>
  <c r="C383" i="11"/>
  <c r="K383" i="11" s="1"/>
  <c r="J383" i="11"/>
  <c r="D383" i="11" s="1"/>
  <c r="F383" i="11" s="1"/>
  <c r="B384" i="11"/>
  <c r="H385" i="11"/>
  <c r="I384" i="11"/>
  <c r="K484" i="4"/>
  <c r="D484" i="4" s="1"/>
  <c r="E484" i="4"/>
  <c r="F484" i="4" s="1"/>
  <c r="J485" i="4"/>
  <c r="C485" i="4"/>
  <c r="H487" i="4"/>
  <c r="I486" i="4"/>
  <c r="B486" i="4"/>
  <c r="B385" i="11" l="1"/>
  <c r="I385" i="11"/>
  <c r="H386" i="11"/>
  <c r="C384" i="11"/>
  <c r="K384" i="11" s="1"/>
  <c r="E384" i="11" s="1"/>
  <c r="J384" i="11"/>
  <c r="D384" i="11" s="1"/>
  <c r="F384" i="11" s="1"/>
  <c r="E383" i="11"/>
  <c r="C486" i="4"/>
  <c r="J486" i="4"/>
  <c r="B487" i="4"/>
  <c r="H488" i="4"/>
  <c r="I487" i="4"/>
  <c r="E485" i="4"/>
  <c r="F485" i="4" s="1"/>
  <c r="K485" i="4"/>
  <c r="D485" i="4" s="1"/>
  <c r="I386" i="11" l="1"/>
  <c r="B386" i="11"/>
  <c r="H387" i="11"/>
  <c r="J385" i="11"/>
  <c r="D385" i="11" s="1"/>
  <c r="F385" i="11" s="1"/>
  <c r="C385" i="11"/>
  <c r="K385" i="11" s="1"/>
  <c r="E385" i="11" s="1"/>
  <c r="K486" i="4"/>
  <c r="D486" i="4" s="1"/>
  <c r="E486" i="4"/>
  <c r="F486" i="4" s="1"/>
  <c r="C487" i="4"/>
  <c r="J487" i="4"/>
  <c r="B488" i="4"/>
  <c r="H489" i="4"/>
  <c r="I488" i="4"/>
  <c r="J386" i="11" l="1"/>
  <c r="D386" i="11" s="1"/>
  <c r="F386" i="11" s="1"/>
  <c r="C386" i="11"/>
  <c r="K386" i="11" s="1"/>
  <c r="E386" i="11" s="1"/>
  <c r="H388" i="11"/>
  <c r="I387" i="11"/>
  <c r="B387" i="11"/>
  <c r="H490" i="4"/>
  <c r="I489" i="4"/>
  <c r="B489" i="4"/>
  <c r="J488" i="4"/>
  <c r="C488" i="4"/>
  <c r="K487" i="4"/>
  <c r="D487" i="4" s="1"/>
  <c r="E487" i="4"/>
  <c r="F487" i="4" s="1"/>
  <c r="I388" i="11" l="1"/>
  <c r="B388" i="11"/>
  <c r="H389" i="11"/>
  <c r="J387" i="11"/>
  <c r="D387" i="11" s="1"/>
  <c r="F387" i="11" s="1"/>
  <c r="C387" i="11"/>
  <c r="K387" i="11" s="1"/>
  <c r="E387" i="11" s="1"/>
  <c r="K488" i="4"/>
  <c r="D488" i="4" s="1"/>
  <c r="E488" i="4"/>
  <c r="F488" i="4" s="1"/>
  <c r="J489" i="4"/>
  <c r="C489" i="4"/>
  <c r="H491" i="4"/>
  <c r="I490" i="4"/>
  <c r="B490" i="4"/>
  <c r="J388" i="11" l="1"/>
  <c r="D388" i="11" s="1"/>
  <c r="F388" i="11" s="1"/>
  <c r="C388" i="11"/>
  <c r="K388" i="11" s="1"/>
  <c r="B389" i="11"/>
  <c r="H390" i="11"/>
  <c r="I389" i="11"/>
  <c r="E489" i="4"/>
  <c r="F489" i="4" s="1"/>
  <c r="K489" i="4"/>
  <c r="D489" i="4" s="1"/>
  <c r="C490" i="4"/>
  <c r="J490" i="4"/>
  <c r="B491" i="4"/>
  <c r="H492" i="4"/>
  <c r="I491" i="4"/>
  <c r="C389" i="11" l="1"/>
  <c r="K389" i="11" s="1"/>
  <c r="E389" i="11" s="1"/>
  <c r="J389" i="11"/>
  <c r="D389" i="11" s="1"/>
  <c r="F389" i="11" s="1"/>
  <c r="I390" i="11"/>
  <c r="B390" i="11"/>
  <c r="H391" i="11"/>
  <c r="E388" i="11"/>
  <c r="K490" i="4"/>
  <c r="D490" i="4" s="1"/>
  <c r="E490" i="4"/>
  <c r="F490" i="4" s="1"/>
  <c r="C491" i="4"/>
  <c r="J491" i="4"/>
  <c r="B492" i="4"/>
  <c r="H493" i="4"/>
  <c r="I492" i="4"/>
  <c r="B391" i="11" l="1"/>
  <c r="H392" i="11"/>
  <c r="I391" i="11"/>
  <c r="J390" i="11"/>
  <c r="D390" i="11" s="1"/>
  <c r="F390" i="11" s="1"/>
  <c r="C390" i="11"/>
  <c r="K390" i="11" s="1"/>
  <c r="E390" i="11" s="1"/>
  <c r="H494" i="4"/>
  <c r="I493" i="4"/>
  <c r="B493" i="4"/>
  <c r="K491" i="4"/>
  <c r="D491" i="4" s="1"/>
  <c r="E491" i="4"/>
  <c r="F491" i="4" s="1"/>
  <c r="J492" i="4"/>
  <c r="C492" i="4"/>
  <c r="C391" i="11" l="1"/>
  <c r="K391" i="11" s="1"/>
  <c r="J391" i="11"/>
  <c r="D391" i="11" s="1"/>
  <c r="F391" i="11" s="1"/>
  <c r="I392" i="11"/>
  <c r="H393" i="11"/>
  <c r="B392" i="11"/>
  <c r="H495" i="4"/>
  <c r="I494" i="4"/>
  <c r="B494" i="4"/>
  <c r="J493" i="4"/>
  <c r="C493" i="4"/>
  <c r="K492" i="4"/>
  <c r="D492" i="4" s="1"/>
  <c r="E492" i="4"/>
  <c r="F492" i="4" s="1"/>
  <c r="C392" i="11" l="1"/>
  <c r="K392" i="11" s="1"/>
  <c r="E392" i="11" s="1"/>
  <c r="J392" i="11"/>
  <c r="D392" i="11" s="1"/>
  <c r="F392" i="11" s="1"/>
  <c r="H394" i="11"/>
  <c r="I393" i="11"/>
  <c r="B393" i="11"/>
  <c r="E391" i="11"/>
  <c r="E493" i="4"/>
  <c r="F493" i="4" s="1"/>
  <c r="K493" i="4"/>
  <c r="D493" i="4" s="1"/>
  <c r="C494" i="4"/>
  <c r="J494" i="4"/>
  <c r="B495" i="4"/>
  <c r="I495" i="4"/>
  <c r="H496" i="4"/>
  <c r="J393" i="11" l="1"/>
  <c r="D393" i="11" s="1"/>
  <c r="F393" i="11" s="1"/>
  <c r="C393" i="11"/>
  <c r="K393" i="11" s="1"/>
  <c r="E393" i="11" s="1"/>
  <c r="B394" i="11"/>
  <c r="H395" i="11"/>
  <c r="I394" i="11"/>
  <c r="C495" i="4"/>
  <c r="J495" i="4"/>
  <c r="B496" i="4"/>
  <c r="H497" i="4"/>
  <c r="I496" i="4"/>
  <c r="K494" i="4"/>
  <c r="D494" i="4" s="1"/>
  <c r="E494" i="4"/>
  <c r="F494" i="4" s="1"/>
  <c r="I395" i="11" l="1"/>
  <c r="B395" i="11"/>
  <c r="H396" i="11"/>
  <c r="C394" i="11"/>
  <c r="K394" i="11" s="1"/>
  <c r="J394" i="11"/>
  <c r="D394" i="11" s="1"/>
  <c r="F394" i="11" s="1"/>
  <c r="K495" i="4"/>
  <c r="D495" i="4" s="1"/>
  <c r="E495" i="4"/>
  <c r="F495" i="4" s="1"/>
  <c r="H498" i="4"/>
  <c r="I497" i="4"/>
  <c r="B497" i="4"/>
  <c r="J496" i="4"/>
  <c r="C496" i="4"/>
  <c r="C395" i="11" l="1"/>
  <c r="K395" i="11" s="1"/>
  <c r="E395" i="11" s="1"/>
  <c r="J395" i="11"/>
  <c r="D395" i="11" s="1"/>
  <c r="F395" i="11" s="1"/>
  <c r="E394" i="11"/>
  <c r="I396" i="11"/>
  <c r="H397" i="11"/>
  <c r="B396" i="11"/>
  <c r="J497" i="4"/>
  <c r="C497" i="4"/>
  <c r="K496" i="4"/>
  <c r="D496" i="4" s="1"/>
  <c r="E496" i="4"/>
  <c r="F496" i="4" s="1"/>
  <c r="H499" i="4"/>
  <c r="I498" i="4"/>
  <c r="B498" i="4"/>
  <c r="C396" i="11" l="1"/>
  <c r="K396" i="11" s="1"/>
  <c r="E396" i="11" s="1"/>
  <c r="J396" i="11"/>
  <c r="D396" i="11" s="1"/>
  <c r="F396" i="11" s="1"/>
  <c r="H398" i="11"/>
  <c r="I397" i="11"/>
  <c r="B397" i="11"/>
  <c r="C498" i="4"/>
  <c r="J498" i="4"/>
  <c r="E497" i="4"/>
  <c r="F497" i="4" s="1"/>
  <c r="K497" i="4"/>
  <c r="D497" i="4" s="1"/>
  <c r="B499" i="4"/>
  <c r="I499" i="4"/>
  <c r="H500" i="4"/>
  <c r="J397" i="11" l="1"/>
  <c r="D397" i="11" s="1"/>
  <c r="F397" i="11" s="1"/>
  <c r="C397" i="11"/>
  <c r="K397" i="11" s="1"/>
  <c r="E397" i="11" s="1"/>
  <c r="I398" i="11"/>
  <c r="B398" i="11"/>
  <c r="H399" i="11"/>
  <c r="C499" i="4"/>
  <c r="J499" i="4"/>
  <c r="B500" i="4"/>
  <c r="H501" i="4"/>
  <c r="I500" i="4"/>
  <c r="K498" i="4"/>
  <c r="D498" i="4" s="1"/>
  <c r="E498" i="4"/>
  <c r="F498" i="4" s="1"/>
  <c r="J398" i="11" l="1"/>
  <c r="D398" i="11" s="1"/>
  <c r="F398" i="11" s="1"/>
  <c r="C398" i="11"/>
  <c r="K398" i="11" s="1"/>
  <c r="E398" i="11" s="1"/>
  <c r="H400" i="11"/>
  <c r="I399" i="11"/>
  <c r="B399" i="11"/>
  <c r="K499" i="4"/>
  <c r="D499" i="4" s="1"/>
  <c r="E499" i="4"/>
  <c r="F499" i="4" s="1"/>
  <c r="H502" i="4"/>
  <c r="I501" i="4"/>
  <c r="B501" i="4"/>
  <c r="J500" i="4"/>
  <c r="C500" i="4"/>
  <c r="C399" i="11" l="1"/>
  <c r="K399" i="11" s="1"/>
  <c r="E399" i="11" s="1"/>
  <c r="J399" i="11"/>
  <c r="D399" i="11" s="1"/>
  <c r="F399" i="11" s="1"/>
  <c r="I400" i="11"/>
  <c r="B400" i="11"/>
  <c r="H401" i="11"/>
  <c r="J501" i="4"/>
  <c r="C501" i="4"/>
  <c r="H503" i="4"/>
  <c r="I502" i="4"/>
  <c r="B502" i="4"/>
  <c r="K500" i="4"/>
  <c r="D500" i="4" s="1"/>
  <c r="E500" i="4"/>
  <c r="F500" i="4" s="1"/>
  <c r="B401" i="11" l="1"/>
  <c r="H402" i="11"/>
  <c r="I401" i="11"/>
  <c r="C400" i="11"/>
  <c r="K400" i="11" s="1"/>
  <c r="J400" i="11"/>
  <c r="D400" i="11" s="1"/>
  <c r="F400" i="11" s="1"/>
  <c r="C502" i="4"/>
  <c r="J502" i="4"/>
  <c r="B503" i="4"/>
  <c r="H504" i="4"/>
  <c r="I503" i="4"/>
  <c r="E501" i="4"/>
  <c r="F501" i="4" s="1"/>
  <c r="K501" i="4"/>
  <c r="D501" i="4" s="1"/>
  <c r="E400" i="11" l="1"/>
  <c r="J401" i="11"/>
  <c r="D401" i="11" s="1"/>
  <c r="F401" i="11" s="1"/>
  <c r="C401" i="11"/>
  <c r="K401" i="11" s="1"/>
  <c r="E401" i="11" s="1"/>
  <c r="H403" i="11"/>
  <c r="I402" i="11"/>
  <c r="B402" i="11"/>
  <c r="B504" i="4"/>
  <c r="H505" i="4"/>
  <c r="I504" i="4"/>
  <c r="K502" i="4"/>
  <c r="D502" i="4" s="1"/>
  <c r="E502" i="4"/>
  <c r="F502" i="4" s="1"/>
  <c r="C503" i="4"/>
  <c r="J503" i="4"/>
  <c r="C402" i="11" l="1"/>
  <c r="K402" i="11" s="1"/>
  <c r="J402" i="11"/>
  <c r="D402" i="11" s="1"/>
  <c r="F402" i="11" s="1"/>
  <c r="I403" i="11"/>
  <c r="B403" i="11"/>
  <c r="H404" i="11"/>
  <c r="K503" i="4"/>
  <c r="D503" i="4" s="1"/>
  <c r="E503" i="4"/>
  <c r="F503" i="4" s="1"/>
  <c r="J504" i="4"/>
  <c r="C504" i="4"/>
  <c r="H506" i="4"/>
  <c r="I505" i="4"/>
  <c r="B505" i="4"/>
  <c r="C403" i="11" l="1"/>
  <c r="K403" i="11" s="1"/>
  <c r="E403" i="11" s="1"/>
  <c r="J403" i="11"/>
  <c r="D403" i="11" s="1"/>
  <c r="F403" i="11" s="1"/>
  <c r="H405" i="11"/>
  <c r="I404" i="11"/>
  <c r="B404" i="11"/>
  <c r="E402" i="11"/>
  <c r="K504" i="4"/>
  <c r="D504" i="4" s="1"/>
  <c r="E504" i="4"/>
  <c r="F504" i="4" s="1"/>
  <c r="J505" i="4"/>
  <c r="C505" i="4"/>
  <c r="H507" i="4"/>
  <c r="I506" i="4"/>
  <c r="B506" i="4"/>
  <c r="J404" i="11" l="1"/>
  <c r="D404" i="11" s="1"/>
  <c r="F404" i="11" s="1"/>
  <c r="C404" i="11"/>
  <c r="K404" i="11" s="1"/>
  <c r="E404" i="11" s="1"/>
  <c r="H406" i="11"/>
  <c r="B405" i="11"/>
  <c r="I405" i="11"/>
  <c r="C506" i="4"/>
  <c r="J506" i="4"/>
  <c r="B507" i="4"/>
  <c r="H508" i="4"/>
  <c r="I507" i="4"/>
  <c r="E505" i="4"/>
  <c r="F505" i="4" s="1"/>
  <c r="K505" i="4"/>
  <c r="D505" i="4" s="1"/>
  <c r="I406" i="11" l="1"/>
  <c r="B406" i="11"/>
  <c r="H407" i="11"/>
  <c r="J405" i="11"/>
  <c r="D405" i="11" s="1"/>
  <c r="F405" i="11" s="1"/>
  <c r="C405" i="11"/>
  <c r="K405" i="11" s="1"/>
  <c r="E405" i="11" s="1"/>
  <c r="K506" i="4"/>
  <c r="D506" i="4" s="1"/>
  <c r="E506" i="4"/>
  <c r="F506" i="4" s="1"/>
  <c r="C507" i="4"/>
  <c r="J507" i="4"/>
  <c r="B508" i="4"/>
  <c r="H509" i="4"/>
  <c r="I508" i="4"/>
  <c r="J406" i="11" l="1"/>
  <c r="D406" i="11" s="1"/>
  <c r="F406" i="11" s="1"/>
  <c r="C406" i="11"/>
  <c r="K406" i="11" s="1"/>
  <c r="E406" i="11" s="1"/>
  <c r="H408" i="11"/>
  <c r="I407" i="11"/>
  <c r="B407" i="11"/>
  <c r="H510" i="4"/>
  <c r="I509" i="4"/>
  <c r="B509" i="4"/>
  <c r="K507" i="4"/>
  <c r="D507" i="4" s="1"/>
  <c r="E507" i="4"/>
  <c r="F507" i="4" s="1"/>
  <c r="J508" i="4"/>
  <c r="C508" i="4"/>
  <c r="C407" i="11" l="1"/>
  <c r="K407" i="11" s="1"/>
  <c r="J407" i="11"/>
  <c r="D407" i="11" s="1"/>
  <c r="F407" i="11" s="1"/>
  <c r="B408" i="11"/>
  <c r="I408" i="11"/>
  <c r="H409" i="11"/>
  <c r="K508" i="4"/>
  <c r="D508" i="4" s="1"/>
  <c r="E508" i="4"/>
  <c r="F508" i="4" s="1"/>
  <c r="J509" i="4"/>
  <c r="C509" i="4"/>
  <c r="H511" i="4"/>
  <c r="I510" i="4"/>
  <c r="B510" i="4"/>
  <c r="C408" i="11" l="1"/>
  <c r="K408" i="11" s="1"/>
  <c r="E408" i="11" s="1"/>
  <c r="J408" i="11"/>
  <c r="D408" i="11" s="1"/>
  <c r="F408" i="11" s="1"/>
  <c r="B409" i="11"/>
  <c r="H410" i="11"/>
  <c r="I409" i="11"/>
  <c r="E407" i="11"/>
  <c r="B511" i="4"/>
  <c r="I511" i="4"/>
  <c r="H512" i="4"/>
  <c r="C510" i="4"/>
  <c r="J510" i="4"/>
  <c r="E509" i="4"/>
  <c r="F509" i="4" s="1"/>
  <c r="K509" i="4"/>
  <c r="D509" i="4" s="1"/>
  <c r="C409" i="11" l="1"/>
  <c r="K409" i="11" s="1"/>
  <c r="E409" i="11" s="1"/>
  <c r="J409" i="11"/>
  <c r="D409" i="11" s="1"/>
  <c r="F409" i="11" s="1"/>
  <c r="I410" i="11"/>
  <c r="B410" i="11"/>
  <c r="H411" i="11"/>
  <c r="C511" i="4"/>
  <c r="J511" i="4"/>
  <c r="K510" i="4"/>
  <c r="D510" i="4" s="1"/>
  <c r="E510" i="4"/>
  <c r="F510" i="4" s="1"/>
  <c r="B512" i="4"/>
  <c r="H513" i="4"/>
  <c r="I512" i="4"/>
  <c r="H412" i="11" l="1"/>
  <c r="I411" i="11"/>
  <c r="B411" i="11"/>
  <c r="J410" i="11"/>
  <c r="D410" i="11" s="1"/>
  <c r="F410" i="11" s="1"/>
  <c r="C410" i="11"/>
  <c r="K410" i="11" s="1"/>
  <c r="J512" i="4"/>
  <c r="C512" i="4"/>
  <c r="K511" i="4"/>
  <c r="D511" i="4" s="1"/>
  <c r="E511" i="4"/>
  <c r="F511" i="4" s="1"/>
  <c r="H514" i="4"/>
  <c r="I513" i="4"/>
  <c r="B513" i="4"/>
  <c r="J411" i="11" l="1"/>
  <c r="D411" i="11" s="1"/>
  <c r="F411" i="11" s="1"/>
  <c r="C411" i="11"/>
  <c r="K411" i="11" s="1"/>
  <c r="E410" i="11"/>
  <c r="I412" i="11"/>
  <c r="H413" i="11"/>
  <c r="B412" i="11"/>
  <c r="H515" i="4"/>
  <c r="I514" i="4"/>
  <c r="B514" i="4"/>
  <c r="K512" i="4"/>
  <c r="D512" i="4" s="1"/>
  <c r="E512" i="4"/>
  <c r="F512" i="4" s="1"/>
  <c r="J513" i="4"/>
  <c r="C513" i="4"/>
  <c r="B413" i="11" l="1"/>
  <c r="H414" i="11"/>
  <c r="I413" i="11"/>
  <c r="J412" i="11"/>
  <c r="D412" i="11" s="1"/>
  <c r="F412" i="11" s="1"/>
  <c r="C412" i="11"/>
  <c r="K412" i="11" s="1"/>
  <c r="E412" i="11" s="1"/>
  <c r="E411" i="11"/>
  <c r="E513" i="4"/>
  <c r="F513" i="4" s="1"/>
  <c r="K513" i="4"/>
  <c r="D513" i="4" s="1"/>
  <c r="C514" i="4"/>
  <c r="J514" i="4"/>
  <c r="B515" i="4"/>
  <c r="I515" i="4"/>
  <c r="H516" i="4"/>
  <c r="J413" i="11" l="1"/>
  <c r="D413" i="11" s="1"/>
  <c r="F413" i="11" s="1"/>
  <c r="C413" i="11"/>
  <c r="K413" i="11" s="1"/>
  <c r="E413" i="11" s="1"/>
  <c r="H415" i="11"/>
  <c r="I414" i="11"/>
  <c r="B414" i="11"/>
  <c r="C515" i="4"/>
  <c r="J515" i="4"/>
  <c r="K514" i="4"/>
  <c r="D514" i="4" s="1"/>
  <c r="E514" i="4"/>
  <c r="F514" i="4" s="1"/>
  <c r="B516" i="4"/>
  <c r="H517" i="4"/>
  <c r="I516" i="4"/>
  <c r="J414" i="11" l="1"/>
  <c r="D414" i="11" s="1"/>
  <c r="F414" i="11" s="1"/>
  <c r="C414" i="11"/>
  <c r="K414" i="11" s="1"/>
  <c r="B415" i="11"/>
  <c r="I415" i="11"/>
  <c r="H416" i="11"/>
  <c r="H518" i="4"/>
  <c r="I517" i="4"/>
  <c r="B517" i="4"/>
  <c r="K515" i="4"/>
  <c r="D515" i="4" s="1"/>
  <c r="E515" i="4"/>
  <c r="F515" i="4" s="1"/>
  <c r="J516" i="4"/>
  <c r="C516" i="4"/>
  <c r="H417" i="11" l="1"/>
  <c r="I416" i="11"/>
  <c r="B416" i="11"/>
  <c r="C415" i="11"/>
  <c r="K415" i="11" s="1"/>
  <c r="E415" i="11" s="1"/>
  <c r="J415" i="11"/>
  <c r="D415" i="11" s="1"/>
  <c r="F415" i="11" s="1"/>
  <c r="E414" i="11"/>
  <c r="H519" i="4"/>
  <c r="I518" i="4"/>
  <c r="B518" i="4"/>
  <c r="K516" i="4"/>
  <c r="D516" i="4" s="1"/>
  <c r="E516" i="4"/>
  <c r="F516" i="4" s="1"/>
  <c r="J517" i="4"/>
  <c r="C517" i="4"/>
  <c r="C416" i="11" l="1"/>
  <c r="K416" i="11" s="1"/>
  <c r="E416" i="11" s="1"/>
  <c r="J416" i="11"/>
  <c r="D416" i="11" s="1"/>
  <c r="F416" i="11" s="1"/>
  <c r="B417" i="11"/>
  <c r="H418" i="11"/>
  <c r="I417" i="11"/>
  <c r="E517" i="4"/>
  <c r="F517" i="4" s="1"/>
  <c r="K517" i="4"/>
  <c r="D517" i="4" s="1"/>
  <c r="C518" i="4"/>
  <c r="J518" i="4"/>
  <c r="B519" i="4"/>
  <c r="H520" i="4"/>
  <c r="I519" i="4"/>
  <c r="C417" i="11" l="1"/>
  <c r="K417" i="11" s="1"/>
  <c r="E417" i="11" s="1"/>
  <c r="J417" i="11"/>
  <c r="D417" i="11" s="1"/>
  <c r="F417" i="11" s="1"/>
  <c r="I418" i="11"/>
  <c r="B418" i="11"/>
  <c r="H419" i="11"/>
  <c r="C519" i="4"/>
  <c r="J519" i="4"/>
  <c r="B520" i="4"/>
  <c r="H521" i="4"/>
  <c r="I520" i="4"/>
  <c r="K518" i="4"/>
  <c r="D518" i="4" s="1"/>
  <c r="E518" i="4"/>
  <c r="F518" i="4" s="1"/>
  <c r="C418" i="11" l="1"/>
  <c r="K418" i="11" s="1"/>
  <c r="J418" i="11"/>
  <c r="D418" i="11" s="1"/>
  <c r="F418" i="11" s="1"/>
  <c r="B419" i="11"/>
  <c r="H420" i="11"/>
  <c r="I419" i="11"/>
  <c r="J520" i="4"/>
  <c r="C520" i="4"/>
  <c r="H522" i="4"/>
  <c r="I521" i="4"/>
  <c r="B521" i="4"/>
  <c r="K519" i="4"/>
  <c r="D519" i="4" s="1"/>
  <c r="E519" i="4"/>
  <c r="F519" i="4" s="1"/>
  <c r="H421" i="11" l="1"/>
  <c r="B420" i="11"/>
  <c r="I420" i="11"/>
  <c r="J419" i="11"/>
  <c r="D419" i="11" s="1"/>
  <c r="F419" i="11" s="1"/>
  <c r="C419" i="11"/>
  <c r="K419" i="11" s="1"/>
  <c r="E419" i="11" s="1"/>
  <c r="E418" i="11"/>
  <c r="K520" i="4"/>
  <c r="D520" i="4" s="1"/>
  <c r="E520" i="4"/>
  <c r="F520" i="4" s="1"/>
  <c r="J521" i="4"/>
  <c r="C521" i="4"/>
  <c r="H523" i="4"/>
  <c r="I522" i="4"/>
  <c r="B522" i="4"/>
  <c r="J420" i="11" l="1"/>
  <c r="D420" i="11" s="1"/>
  <c r="F420" i="11" s="1"/>
  <c r="C420" i="11"/>
  <c r="K420" i="11" s="1"/>
  <c r="E420" i="11" s="1"/>
  <c r="I421" i="11"/>
  <c r="B421" i="11"/>
  <c r="H422" i="11"/>
  <c r="C522" i="4"/>
  <c r="J522" i="4"/>
  <c r="B523" i="4"/>
  <c r="H524" i="4"/>
  <c r="I523" i="4"/>
  <c r="E521" i="4"/>
  <c r="F521" i="4" s="1"/>
  <c r="K521" i="4"/>
  <c r="D521" i="4" s="1"/>
  <c r="J421" i="11" l="1"/>
  <c r="D421" i="11" s="1"/>
  <c r="F421" i="11" s="1"/>
  <c r="C421" i="11"/>
  <c r="K421" i="11" s="1"/>
  <c r="E421" i="11" s="1"/>
  <c r="H423" i="11"/>
  <c r="I422" i="11"/>
  <c r="B422" i="11"/>
  <c r="C523" i="4"/>
  <c r="J523" i="4"/>
  <c r="K522" i="4"/>
  <c r="D522" i="4" s="1"/>
  <c r="E522" i="4"/>
  <c r="F522" i="4" s="1"/>
  <c r="B524" i="4"/>
  <c r="H525" i="4"/>
  <c r="I524" i="4"/>
  <c r="I423" i="11" l="1"/>
  <c r="H424" i="11"/>
  <c r="B423" i="11"/>
  <c r="C422" i="11"/>
  <c r="K422" i="11" s="1"/>
  <c r="E422" i="11" s="1"/>
  <c r="J422" i="11"/>
  <c r="D422" i="11" s="1"/>
  <c r="F422" i="11" s="1"/>
  <c r="K523" i="4"/>
  <c r="D523" i="4" s="1"/>
  <c r="E523" i="4"/>
  <c r="F523" i="4" s="1"/>
  <c r="H526" i="4"/>
  <c r="I525" i="4"/>
  <c r="B525" i="4"/>
  <c r="J524" i="4"/>
  <c r="C524" i="4"/>
  <c r="H425" i="11" l="1"/>
  <c r="B424" i="11"/>
  <c r="I424" i="11"/>
  <c r="C423" i="11"/>
  <c r="K423" i="11" s="1"/>
  <c r="E423" i="11" s="1"/>
  <c r="J423" i="11"/>
  <c r="D423" i="11" s="1"/>
  <c r="F423" i="11" s="1"/>
  <c r="H527" i="4"/>
  <c r="I526" i="4"/>
  <c r="B526" i="4"/>
  <c r="J525" i="4"/>
  <c r="C525" i="4"/>
  <c r="K524" i="4"/>
  <c r="D524" i="4" s="1"/>
  <c r="E524" i="4"/>
  <c r="F524" i="4" s="1"/>
  <c r="J424" i="11" l="1"/>
  <c r="D424" i="11" s="1"/>
  <c r="F424" i="11" s="1"/>
  <c r="C424" i="11"/>
  <c r="K424" i="11" s="1"/>
  <c r="E424" i="11" s="1"/>
  <c r="B425" i="11"/>
  <c r="H426" i="11"/>
  <c r="I425" i="11"/>
  <c r="C526" i="4"/>
  <c r="J526" i="4"/>
  <c r="E525" i="4"/>
  <c r="F525" i="4" s="1"/>
  <c r="K525" i="4"/>
  <c r="D525" i="4" s="1"/>
  <c r="B527" i="4"/>
  <c r="I527" i="4"/>
  <c r="H528" i="4"/>
  <c r="H427" i="11" l="1"/>
  <c r="I426" i="11"/>
  <c r="B426" i="11"/>
  <c r="J425" i="11"/>
  <c r="D425" i="11" s="1"/>
  <c r="F425" i="11" s="1"/>
  <c r="C425" i="11"/>
  <c r="K425" i="11" s="1"/>
  <c r="B528" i="4"/>
  <c r="H529" i="4"/>
  <c r="I528" i="4"/>
  <c r="C527" i="4"/>
  <c r="J527" i="4"/>
  <c r="K526" i="4"/>
  <c r="D526" i="4" s="1"/>
  <c r="E526" i="4"/>
  <c r="F526" i="4" s="1"/>
  <c r="J426" i="11" l="1"/>
  <c r="D426" i="11" s="1"/>
  <c r="F426" i="11" s="1"/>
  <c r="C426" i="11"/>
  <c r="K426" i="11" s="1"/>
  <c r="E426" i="11" s="1"/>
  <c r="E425" i="11"/>
  <c r="B427" i="11"/>
  <c r="H428" i="11"/>
  <c r="I427" i="11"/>
  <c r="H530" i="4"/>
  <c r="I529" i="4"/>
  <c r="B529" i="4"/>
  <c r="K527" i="4"/>
  <c r="D527" i="4" s="1"/>
  <c r="E527" i="4"/>
  <c r="F527" i="4" s="1"/>
  <c r="J528" i="4"/>
  <c r="C528" i="4"/>
  <c r="C427" i="11" l="1"/>
  <c r="K427" i="11" s="1"/>
  <c r="J427" i="11"/>
  <c r="D427" i="11" s="1"/>
  <c r="F427" i="11" s="1"/>
  <c r="H429" i="11"/>
  <c r="I428" i="11"/>
  <c r="B428" i="11"/>
  <c r="H531" i="4"/>
  <c r="I530" i="4"/>
  <c r="B530" i="4"/>
  <c r="K528" i="4"/>
  <c r="D528" i="4" s="1"/>
  <c r="E528" i="4"/>
  <c r="F528" i="4" s="1"/>
  <c r="J529" i="4"/>
  <c r="C529" i="4"/>
  <c r="C428" i="11" l="1"/>
  <c r="K428" i="11" s="1"/>
  <c r="J428" i="11"/>
  <c r="D428" i="11" s="1"/>
  <c r="F428" i="11" s="1"/>
  <c r="I429" i="11"/>
  <c r="H430" i="11"/>
  <c r="B429" i="11"/>
  <c r="E427" i="11"/>
  <c r="E529" i="4"/>
  <c r="F529" i="4" s="1"/>
  <c r="K529" i="4"/>
  <c r="D529" i="4" s="1"/>
  <c r="C530" i="4"/>
  <c r="J530" i="4"/>
  <c r="B531" i="4"/>
  <c r="I531" i="4"/>
  <c r="H532" i="4"/>
  <c r="H431" i="11" l="1"/>
  <c r="I430" i="11"/>
  <c r="B430" i="11"/>
  <c r="J429" i="11"/>
  <c r="D429" i="11" s="1"/>
  <c r="F429" i="11" s="1"/>
  <c r="C429" i="11"/>
  <c r="K429" i="11" s="1"/>
  <c r="E428" i="11"/>
  <c r="C531" i="4"/>
  <c r="J531" i="4"/>
  <c r="K530" i="4"/>
  <c r="D530" i="4" s="1"/>
  <c r="E530" i="4"/>
  <c r="F530" i="4" s="1"/>
  <c r="B532" i="4"/>
  <c r="H533" i="4"/>
  <c r="I532" i="4"/>
  <c r="C430" i="11" l="1"/>
  <c r="K430" i="11" s="1"/>
  <c r="J430" i="11"/>
  <c r="D430" i="11" s="1"/>
  <c r="F430" i="11" s="1"/>
  <c r="E429" i="11"/>
  <c r="H432" i="11"/>
  <c r="I431" i="11"/>
  <c r="B431" i="11"/>
  <c r="H534" i="4"/>
  <c r="I533" i="4"/>
  <c r="B533" i="4"/>
  <c r="K531" i="4"/>
  <c r="D531" i="4" s="1"/>
  <c r="E531" i="4"/>
  <c r="F531" i="4" s="1"/>
  <c r="J532" i="4"/>
  <c r="C532" i="4"/>
  <c r="B432" i="11" l="1"/>
  <c r="H433" i="11"/>
  <c r="I432" i="11"/>
  <c r="C431" i="11"/>
  <c r="K431" i="11" s="1"/>
  <c r="E431" i="11" s="1"/>
  <c r="J431" i="11"/>
  <c r="D431" i="11" s="1"/>
  <c r="F431" i="11" s="1"/>
  <c r="E430" i="11"/>
  <c r="J533" i="4"/>
  <c r="C533" i="4"/>
  <c r="K532" i="4"/>
  <c r="D532" i="4" s="1"/>
  <c r="E532" i="4"/>
  <c r="F532" i="4" s="1"/>
  <c r="H535" i="4"/>
  <c r="I534" i="4"/>
  <c r="B534" i="4"/>
  <c r="J432" i="11" l="1"/>
  <c r="D432" i="11" s="1"/>
  <c r="F432" i="11" s="1"/>
  <c r="C432" i="11"/>
  <c r="K432" i="11" s="1"/>
  <c r="E432" i="11" s="1"/>
  <c r="I433" i="11"/>
  <c r="B433" i="11"/>
  <c r="H434" i="11"/>
  <c r="C534" i="4"/>
  <c r="J534" i="4"/>
  <c r="E533" i="4"/>
  <c r="F533" i="4" s="1"/>
  <c r="K533" i="4"/>
  <c r="D533" i="4" s="1"/>
  <c r="B535" i="4"/>
  <c r="H536" i="4"/>
  <c r="I535" i="4"/>
  <c r="C433" i="11" l="1"/>
  <c r="K433" i="11" s="1"/>
  <c r="J433" i="11"/>
  <c r="D433" i="11" s="1"/>
  <c r="F433" i="11" s="1"/>
  <c r="B434" i="11"/>
  <c r="H435" i="11"/>
  <c r="I434" i="11"/>
  <c r="K534" i="4"/>
  <c r="D534" i="4" s="1"/>
  <c r="E534" i="4"/>
  <c r="F534" i="4" s="1"/>
  <c r="C535" i="4"/>
  <c r="J535" i="4"/>
  <c r="B536" i="4"/>
  <c r="H537" i="4"/>
  <c r="I536" i="4"/>
  <c r="I435" i="11" l="1"/>
  <c r="H436" i="11"/>
  <c r="B435" i="11"/>
  <c r="C434" i="11"/>
  <c r="K434" i="11" s="1"/>
  <c r="E434" i="11" s="1"/>
  <c r="J434" i="11"/>
  <c r="D434" i="11" s="1"/>
  <c r="F434" i="11" s="1"/>
  <c r="E433" i="11"/>
  <c r="J536" i="4"/>
  <c r="C536" i="4"/>
  <c r="H538" i="4"/>
  <c r="I537" i="4"/>
  <c r="B537" i="4"/>
  <c r="K535" i="4"/>
  <c r="D535" i="4" s="1"/>
  <c r="E535" i="4"/>
  <c r="F535" i="4" s="1"/>
  <c r="H437" i="11" l="1"/>
  <c r="I436" i="11"/>
  <c r="B436" i="11"/>
  <c r="J435" i="11"/>
  <c r="D435" i="11" s="1"/>
  <c r="F435" i="11" s="1"/>
  <c r="C435" i="11"/>
  <c r="K435" i="11" s="1"/>
  <c r="K536" i="4"/>
  <c r="D536" i="4" s="1"/>
  <c r="E536" i="4"/>
  <c r="F536" i="4" s="1"/>
  <c r="J537" i="4"/>
  <c r="C537" i="4"/>
  <c r="H539" i="4"/>
  <c r="I538" i="4"/>
  <c r="B538" i="4"/>
  <c r="J436" i="11" l="1"/>
  <c r="D436" i="11" s="1"/>
  <c r="F436" i="11" s="1"/>
  <c r="C436" i="11"/>
  <c r="K436" i="11" s="1"/>
  <c r="E436" i="11" s="1"/>
  <c r="E435" i="11"/>
  <c r="H438" i="11"/>
  <c r="B437" i="11"/>
  <c r="I437" i="11"/>
  <c r="B539" i="4"/>
  <c r="H540" i="4"/>
  <c r="I539" i="4"/>
  <c r="E537" i="4"/>
  <c r="F537" i="4" s="1"/>
  <c r="K537" i="4"/>
  <c r="D537" i="4" s="1"/>
  <c r="C538" i="4"/>
  <c r="J538" i="4"/>
  <c r="C437" i="11" l="1"/>
  <c r="K437" i="11" s="1"/>
  <c r="E437" i="11" s="1"/>
  <c r="J437" i="11"/>
  <c r="D437" i="11" s="1"/>
  <c r="F437" i="11" s="1"/>
  <c r="H439" i="11"/>
  <c r="I438" i="11"/>
  <c r="B438" i="11"/>
  <c r="K538" i="4"/>
  <c r="D538" i="4" s="1"/>
  <c r="E538" i="4"/>
  <c r="F538" i="4" s="1"/>
  <c r="C539" i="4"/>
  <c r="J539" i="4"/>
  <c r="B540" i="4"/>
  <c r="H541" i="4"/>
  <c r="I540" i="4"/>
  <c r="J438" i="11" l="1"/>
  <c r="D438" i="11" s="1"/>
  <c r="F438" i="11" s="1"/>
  <c r="C438" i="11"/>
  <c r="K438" i="11" s="1"/>
  <c r="B439" i="11"/>
  <c r="H440" i="11"/>
  <c r="I439" i="11"/>
  <c r="J540" i="4"/>
  <c r="C540" i="4"/>
  <c r="H542" i="4"/>
  <c r="I541" i="4"/>
  <c r="B541" i="4"/>
  <c r="K539" i="4"/>
  <c r="D539" i="4" s="1"/>
  <c r="E539" i="4"/>
  <c r="F539" i="4" s="1"/>
  <c r="J439" i="11" l="1"/>
  <c r="D439" i="11" s="1"/>
  <c r="F439" i="11" s="1"/>
  <c r="C439" i="11"/>
  <c r="K439" i="11" s="1"/>
  <c r="B440" i="11"/>
  <c r="I440" i="11"/>
  <c r="H441" i="11"/>
  <c r="E438" i="11"/>
  <c r="J541" i="4"/>
  <c r="C541" i="4"/>
  <c r="H543" i="4"/>
  <c r="I542" i="4"/>
  <c r="B542" i="4"/>
  <c r="K540" i="4"/>
  <c r="D540" i="4" s="1"/>
  <c r="E540" i="4"/>
  <c r="F540" i="4" s="1"/>
  <c r="J440" i="11" l="1"/>
  <c r="D440" i="11" s="1"/>
  <c r="F440" i="11" s="1"/>
  <c r="C440" i="11"/>
  <c r="K440" i="11" s="1"/>
  <c r="E440" i="11" s="1"/>
  <c r="E439" i="11"/>
  <c r="B441" i="11"/>
  <c r="H442" i="11"/>
  <c r="I441" i="11"/>
  <c r="B543" i="4"/>
  <c r="I543" i="4"/>
  <c r="H544" i="4"/>
  <c r="E541" i="4"/>
  <c r="F541" i="4" s="1"/>
  <c r="K541" i="4"/>
  <c r="D541" i="4" s="1"/>
  <c r="C542" i="4"/>
  <c r="J542" i="4"/>
  <c r="J441" i="11" l="1"/>
  <c r="D441" i="11" s="1"/>
  <c r="F441" i="11" s="1"/>
  <c r="C441" i="11"/>
  <c r="K441" i="11" s="1"/>
  <c r="E441" i="11" s="1"/>
  <c r="I442" i="11"/>
  <c r="B442" i="11"/>
  <c r="H443" i="11"/>
  <c r="K542" i="4"/>
  <c r="D542" i="4" s="1"/>
  <c r="E542" i="4"/>
  <c r="F542" i="4" s="1"/>
  <c r="C543" i="4"/>
  <c r="J543" i="4"/>
  <c r="B544" i="4"/>
  <c r="H545" i="4"/>
  <c r="I544" i="4"/>
  <c r="J442" i="11" l="1"/>
  <c r="D442" i="11" s="1"/>
  <c r="F442" i="11" s="1"/>
  <c r="C442" i="11"/>
  <c r="K442" i="11" s="1"/>
  <c r="H444" i="11"/>
  <c r="I443" i="11"/>
  <c r="B443" i="11"/>
  <c r="H546" i="4"/>
  <c r="I545" i="4"/>
  <c r="B545" i="4"/>
  <c r="J544" i="4"/>
  <c r="C544" i="4"/>
  <c r="K543" i="4"/>
  <c r="D543" i="4" s="1"/>
  <c r="E543" i="4"/>
  <c r="F543" i="4" s="1"/>
  <c r="C443" i="11" l="1"/>
  <c r="K443" i="11" s="1"/>
  <c r="E443" i="11" s="1"/>
  <c r="J443" i="11"/>
  <c r="D443" i="11" s="1"/>
  <c r="F443" i="11" s="1"/>
  <c r="H445" i="11"/>
  <c r="B444" i="11"/>
  <c r="I444" i="11"/>
  <c r="E442" i="11"/>
  <c r="K544" i="4"/>
  <c r="D544" i="4" s="1"/>
  <c r="E544" i="4"/>
  <c r="F544" i="4" s="1"/>
  <c r="H547" i="4"/>
  <c r="I546" i="4"/>
  <c r="B546" i="4"/>
  <c r="J545" i="4"/>
  <c r="C545" i="4"/>
  <c r="B445" i="11" l="1"/>
  <c r="H446" i="11"/>
  <c r="I445" i="11"/>
  <c r="C444" i="11"/>
  <c r="K444" i="11" s="1"/>
  <c r="J444" i="11"/>
  <c r="D444" i="11" s="1"/>
  <c r="F444" i="11" s="1"/>
  <c r="C546" i="4"/>
  <c r="J546" i="4"/>
  <c r="E545" i="4"/>
  <c r="F545" i="4" s="1"/>
  <c r="K545" i="4"/>
  <c r="D545" i="4" s="1"/>
  <c r="B547" i="4"/>
  <c r="I547" i="4"/>
  <c r="H548" i="4"/>
  <c r="E444" i="11" l="1"/>
  <c r="C445" i="11"/>
  <c r="K445" i="11" s="1"/>
  <c r="J445" i="11"/>
  <c r="D445" i="11" s="1"/>
  <c r="F445" i="11" s="1"/>
  <c r="I446" i="11"/>
  <c r="B446" i="11"/>
  <c r="H447" i="11"/>
  <c r="C547" i="4"/>
  <c r="J547" i="4"/>
  <c r="K546" i="4"/>
  <c r="D546" i="4" s="1"/>
  <c r="E546" i="4"/>
  <c r="F546" i="4" s="1"/>
  <c r="B548" i="4"/>
  <c r="H549" i="4"/>
  <c r="I548" i="4"/>
  <c r="J446" i="11" l="1"/>
  <c r="D446" i="11" s="1"/>
  <c r="F446" i="11" s="1"/>
  <c r="C446" i="11"/>
  <c r="K446" i="11" s="1"/>
  <c r="E446" i="11" s="1"/>
  <c r="H448" i="11"/>
  <c r="I447" i="11"/>
  <c r="B447" i="11"/>
  <c r="E445" i="11"/>
  <c r="J548" i="4"/>
  <c r="C548" i="4"/>
  <c r="H550" i="4"/>
  <c r="I549" i="4"/>
  <c r="B549" i="4"/>
  <c r="K547" i="4"/>
  <c r="D547" i="4" s="1"/>
  <c r="E547" i="4"/>
  <c r="F547" i="4" s="1"/>
  <c r="J447" i="11" l="1"/>
  <c r="D447" i="11" s="1"/>
  <c r="F447" i="11" s="1"/>
  <c r="C447" i="11"/>
  <c r="K447" i="11" s="1"/>
  <c r="H449" i="11"/>
  <c r="B448" i="11"/>
  <c r="I448" i="11"/>
  <c r="J549" i="4"/>
  <c r="C549" i="4"/>
  <c r="H551" i="4"/>
  <c r="I550" i="4"/>
  <c r="B550" i="4"/>
  <c r="K548" i="4"/>
  <c r="D548" i="4" s="1"/>
  <c r="E548" i="4"/>
  <c r="F548" i="4" s="1"/>
  <c r="H450" i="11" l="1"/>
  <c r="I449" i="11"/>
  <c r="B449" i="11"/>
  <c r="C448" i="11"/>
  <c r="K448" i="11" s="1"/>
  <c r="E448" i="11" s="1"/>
  <c r="J448" i="11"/>
  <c r="D448" i="11" s="1"/>
  <c r="F448" i="11" s="1"/>
  <c r="E447" i="11"/>
  <c r="B551" i="4"/>
  <c r="H552" i="4"/>
  <c r="I551" i="4"/>
  <c r="E549" i="4"/>
  <c r="F549" i="4" s="1"/>
  <c r="K549" i="4"/>
  <c r="D549" i="4" s="1"/>
  <c r="C550" i="4"/>
  <c r="J550" i="4"/>
  <c r="C449" i="11" l="1"/>
  <c r="K449" i="11" s="1"/>
  <c r="E449" i="11" s="1"/>
  <c r="J449" i="11"/>
  <c r="D449" i="11" s="1"/>
  <c r="F449" i="11" s="1"/>
  <c r="H451" i="11"/>
  <c r="B450" i="11"/>
  <c r="I450" i="11"/>
  <c r="C551" i="4"/>
  <c r="J551" i="4"/>
  <c r="B552" i="4"/>
  <c r="H553" i="4"/>
  <c r="I552" i="4"/>
  <c r="K550" i="4"/>
  <c r="D550" i="4" s="1"/>
  <c r="E550" i="4"/>
  <c r="F550" i="4" s="1"/>
  <c r="C450" i="11" l="1"/>
  <c r="K450" i="11" s="1"/>
  <c r="J450" i="11"/>
  <c r="D450" i="11" s="1"/>
  <c r="F450" i="11" s="1"/>
  <c r="H452" i="11"/>
  <c r="I451" i="11"/>
  <c r="B451" i="11"/>
  <c r="J552" i="4"/>
  <c r="C552" i="4"/>
  <c r="K551" i="4"/>
  <c r="D551" i="4" s="1"/>
  <c r="E551" i="4"/>
  <c r="F551" i="4" s="1"/>
  <c r="H554" i="4"/>
  <c r="I553" i="4"/>
  <c r="B553" i="4"/>
  <c r="B452" i="11" l="1"/>
  <c r="I452" i="11"/>
  <c r="H453" i="11"/>
  <c r="J451" i="11"/>
  <c r="D451" i="11" s="1"/>
  <c r="F451" i="11" s="1"/>
  <c r="C451" i="11"/>
  <c r="K451" i="11" s="1"/>
  <c r="E451" i="11" s="1"/>
  <c r="E450" i="11"/>
  <c r="J553" i="4"/>
  <c r="C553" i="4"/>
  <c r="H555" i="4"/>
  <c r="I554" i="4"/>
  <c r="B554" i="4"/>
  <c r="K552" i="4"/>
  <c r="D552" i="4" s="1"/>
  <c r="E552" i="4"/>
  <c r="F552" i="4" s="1"/>
  <c r="B453" i="11" l="1"/>
  <c r="I453" i="11"/>
  <c r="H454" i="11"/>
  <c r="J452" i="11"/>
  <c r="D452" i="11" s="1"/>
  <c r="F452" i="11" s="1"/>
  <c r="C452" i="11"/>
  <c r="K452" i="11" s="1"/>
  <c r="B555" i="4"/>
  <c r="H556" i="4"/>
  <c r="I555" i="4"/>
  <c r="C554" i="4"/>
  <c r="J554" i="4"/>
  <c r="E553" i="4"/>
  <c r="F553" i="4" s="1"/>
  <c r="K553" i="4"/>
  <c r="D553" i="4" s="1"/>
  <c r="H455" i="11" l="1"/>
  <c r="I454" i="11"/>
  <c r="B454" i="11"/>
  <c r="J453" i="11"/>
  <c r="D453" i="11" s="1"/>
  <c r="F453" i="11" s="1"/>
  <c r="C453" i="11"/>
  <c r="K453" i="11" s="1"/>
  <c r="E452" i="11"/>
  <c r="K554" i="4"/>
  <c r="D554" i="4" s="1"/>
  <c r="E554" i="4"/>
  <c r="F554" i="4" s="1"/>
  <c r="C555" i="4"/>
  <c r="J555" i="4"/>
  <c r="B556" i="4"/>
  <c r="H557" i="4"/>
  <c r="I556" i="4"/>
  <c r="J454" i="11" l="1"/>
  <c r="D454" i="11" s="1"/>
  <c r="F454" i="11" s="1"/>
  <c r="C454" i="11"/>
  <c r="K454" i="11" s="1"/>
  <c r="E454" i="11" s="1"/>
  <c r="E453" i="11"/>
  <c r="H456" i="11"/>
  <c r="I455" i="11"/>
  <c r="B455" i="11"/>
  <c r="K555" i="4"/>
  <c r="D555" i="4" s="1"/>
  <c r="E555" i="4"/>
  <c r="F555" i="4" s="1"/>
  <c r="J556" i="4"/>
  <c r="C556" i="4"/>
  <c r="H558" i="4"/>
  <c r="I557" i="4"/>
  <c r="B557" i="4"/>
  <c r="B456" i="11" l="1"/>
  <c r="I456" i="11"/>
  <c r="H457" i="11"/>
  <c r="C455" i="11"/>
  <c r="K455" i="11" s="1"/>
  <c r="E455" i="11" s="1"/>
  <c r="J455" i="11"/>
  <c r="D455" i="11" s="1"/>
  <c r="F455" i="11" s="1"/>
  <c r="H559" i="4"/>
  <c r="I558" i="4"/>
  <c r="B558" i="4"/>
  <c r="K556" i="4"/>
  <c r="D556" i="4" s="1"/>
  <c r="E556" i="4"/>
  <c r="F556" i="4" s="1"/>
  <c r="J557" i="4"/>
  <c r="C557" i="4"/>
  <c r="I457" i="11" l="1"/>
  <c r="H458" i="11"/>
  <c r="B457" i="11"/>
  <c r="C456" i="11"/>
  <c r="K456" i="11" s="1"/>
  <c r="J456" i="11"/>
  <c r="D456" i="11" s="1"/>
  <c r="F456" i="11" s="1"/>
  <c r="E557" i="4"/>
  <c r="F557" i="4" s="1"/>
  <c r="K557" i="4"/>
  <c r="D557" i="4" s="1"/>
  <c r="C558" i="4"/>
  <c r="J558" i="4"/>
  <c r="B559" i="4"/>
  <c r="I559" i="4"/>
  <c r="H560" i="4"/>
  <c r="J457" i="11" l="1"/>
  <c r="D457" i="11" s="1"/>
  <c r="F457" i="11" s="1"/>
  <c r="C457" i="11"/>
  <c r="K457" i="11" s="1"/>
  <c r="E457" i="11" s="1"/>
  <c r="E456" i="11"/>
  <c r="H459" i="11"/>
  <c r="I458" i="11"/>
  <c r="B458" i="11"/>
  <c r="C559" i="4"/>
  <c r="J559" i="4"/>
  <c r="B560" i="4"/>
  <c r="H561" i="4"/>
  <c r="I560" i="4"/>
  <c r="K558" i="4"/>
  <c r="D558" i="4" s="1"/>
  <c r="E558" i="4"/>
  <c r="F558" i="4" s="1"/>
  <c r="B459" i="11" l="1"/>
  <c r="H460" i="11"/>
  <c r="I459" i="11"/>
  <c r="J458" i="11"/>
  <c r="D458" i="11" s="1"/>
  <c r="F458" i="11" s="1"/>
  <c r="C458" i="11"/>
  <c r="K458" i="11" s="1"/>
  <c r="E458" i="11" s="1"/>
  <c r="H562" i="4"/>
  <c r="I561" i="4"/>
  <c r="B561" i="4"/>
  <c r="J560" i="4"/>
  <c r="C560" i="4"/>
  <c r="K559" i="4"/>
  <c r="D559" i="4" s="1"/>
  <c r="E559" i="4"/>
  <c r="F559" i="4" s="1"/>
  <c r="C459" i="11" l="1"/>
  <c r="K459" i="11" s="1"/>
  <c r="J459" i="11"/>
  <c r="D459" i="11" s="1"/>
  <c r="F459" i="11" s="1"/>
  <c r="B460" i="11"/>
  <c r="H461" i="11"/>
  <c r="I460" i="11"/>
  <c r="J561" i="4"/>
  <c r="C561" i="4"/>
  <c r="K560" i="4"/>
  <c r="D560" i="4" s="1"/>
  <c r="E560" i="4"/>
  <c r="F560" i="4" s="1"/>
  <c r="H563" i="4"/>
  <c r="I562" i="4"/>
  <c r="B562" i="4"/>
  <c r="I461" i="11" l="1"/>
  <c r="B461" i="11"/>
  <c r="H462" i="11"/>
  <c r="J460" i="11"/>
  <c r="D460" i="11" s="1"/>
  <c r="F460" i="11" s="1"/>
  <c r="C460" i="11"/>
  <c r="K460" i="11" s="1"/>
  <c r="E459" i="11"/>
  <c r="C562" i="4"/>
  <c r="J562" i="4"/>
  <c r="B563" i="4"/>
  <c r="I563" i="4"/>
  <c r="H564" i="4"/>
  <c r="E561" i="4"/>
  <c r="F561" i="4" s="1"/>
  <c r="K561" i="4"/>
  <c r="D561" i="4" s="1"/>
  <c r="H463" i="11" l="1"/>
  <c r="I462" i="11"/>
  <c r="B462" i="11"/>
  <c r="E460" i="11"/>
  <c r="J461" i="11"/>
  <c r="D461" i="11" s="1"/>
  <c r="F461" i="11" s="1"/>
  <c r="C461" i="11"/>
  <c r="K461" i="11" s="1"/>
  <c r="B564" i="4"/>
  <c r="H565" i="4"/>
  <c r="I564" i="4"/>
  <c r="C563" i="4"/>
  <c r="J563" i="4"/>
  <c r="K562" i="4"/>
  <c r="D562" i="4" s="1"/>
  <c r="E562" i="4"/>
  <c r="F562" i="4" s="1"/>
  <c r="H464" i="11" l="1"/>
  <c r="B463" i="11"/>
  <c r="I463" i="11"/>
  <c r="E461" i="11"/>
  <c r="J462" i="11"/>
  <c r="D462" i="11" s="1"/>
  <c r="F462" i="11" s="1"/>
  <c r="C462" i="11"/>
  <c r="K462" i="11" s="1"/>
  <c r="E462" i="11" s="1"/>
  <c r="K563" i="4"/>
  <c r="D563" i="4" s="1"/>
  <c r="E563" i="4"/>
  <c r="F563" i="4" s="1"/>
  <c r="J564" i="4"/>
  <c r="C564" i="4"/>
  <c r="H566" i="4"/>
  <c r="I565" i="4"/>
  <c r="B565" i="4"/>
  <c r="C463" i="11" l="1"/>
  <c r="K463" i="11" s="1"/>
  <c r="J463" i="11"/>
  <c r="D463" i="11" s="1"/>
  <c r="F463" i="11" s="1"/>
  <c r="H465" i="11"/>
  <c r="B464" i="11"/>
  <c r="I464" i="11"/>
  <c r="K564" i="4"/>
  <c r="D564" i="4" s="1"/>
  <c r="E564" i="4"/>
  <c r="F564" i="4" s="1"/>
  <c r="J565" i="4"/>
  <c r="C565" i="4"/>
  <c r="H567" i="4"/>
  <c r="I566" i="4"/>
  <c r="B566" i="4"/>
  <c r="I465" i="11" l="1"/>
  <c r="H466" i="11"/>
  <c r="B465" i="11"/>
  <c r="C464" i="11"/>
  <c r="K464" i="11" s="1"/>
  <c r="E464" i="11" s="1"/>
  <c r="J464" i="11"/>
  <c r="D464" i="11" s="1"/>
  <c r="F464" i="11" s="1"/>
  <c r="E463" i="11"/>
  <c r="B567" i="4"/>
  <c r="H568" i="4"/>
  <c r="I567" i="4"/>
  <c r="C566" i="4"/>
  <c r="J566" i="4"/>
  <c r="E565" i="4"/>
  <c r="F565" i="4" s="1"/>
  <c r="K565" i="4"/>
  <c r="D565" i="4" s="1"/>
  <c r="H467" i="11" l="1"/>
  <c r="I466" i="11"/>
  <c r="B466" i="11"/>
  <c r="C465" i="11"/>
  <c r="K465" i="11" s="1"/>
  <c r="E465" i="11" s="1"/>
  <c r="J465" i="11"/>
  <c r="D465" i="11" s="1"/>
  <c r="F465" i="11" s="1"/>
  <c r="K566" i="4"/>
  <c r="D566" i="4" s="1"/>
  <c r="E566" i="4"/>
  <c r="F566" i="4" s="1"/>
  <c r="B568" i="4"/>
  <c r="H569" i="4"/>
  <c r="I568" i="4"/>
  <c r="C567" i="4"/>
  <c r="J567" i="4"/>
  <c r="C466" i="11" l="1"/>
  <c r="K466" i="11" s="1"/>
  <c r="J466" i="11"/>
  <c r="D466" i="11" s="1"/>
  <c r="F466" i="11" s="1"/>
  <c r="H468" i="11"/>
  <c r="B467" i="11"/>
  <c r="I467" i="11"/>
  <c r="K567" i="4"/>
  <c r="D567" i="4" s="1"/>
  <c r="E567" i="4"/>
  <c r="F567" i="4" s="1"/>
  <c r="J568" i="4"/>
  <c r="C568" i="4"/>
  <c r="H570" i="4"/>
  <c r="I569" i="4"/>
  <c r="B569" i="4"/>
  <c r="I468" i="11" l="1"/>
  <c r="H469" i="11"/>
  <c r="B468" i="11"/>
  <c r="C467" i="11"/>
  <c r="K467" i="11" s="1"/>
  <c r="E467" i="11" s="1"/>
  <c r="J467" i="11"/>
  <c r="D467" i="11" s="1"/>
  <c r="F467" i="11" s="1"/>
  <c r="E466" i="11"/>
  <c r="J569" i="4"/>
  <c r="C569" i="4"/>
  <c r="H571" i="4"/>
  <c r="I570" i="4"/>
  <c r="B570" i="4"/>
  <c r="K568" i="4"/>
  <c r="D568" i="4" s="1"/>
  <c r="E568" i="4"/>
  <c r="F568" i="4" s="1"/>
  <c r="H470" i="11" l="1"/>
  <c r="I469" i="11"/>
  <c r="B469" i="11"/>
  <c r="J468" i="11"/>
  <c r="D468" i="11" s="1"/>
  <c r="F468" i="11" s="1"/>
  <c r="C468" i="11"/>
  <c r="K468" i="11" s="1"/>
  <c r="E569" i="4"/>
  <c r="F569" i="4" s="1"/>
  <c r="K569" i="4"/>
  <c r="D569" i="4" s="1"/>
  <c r="B571" i="4"/>
  <c r="H572" i="4"/>
  <c r="I571" i="4"/>
  <c r="C570" i="4"/>
  <c r="J570" i="4"/>
  <c r="J469" i="11" l="1"/>
  <c r="D469" i="11" s="1"/>
  <c r="F469" i="11" s="1"/>
  <c r="C469" i="11"/>
  <c r="K469" i="11" s="1"/>
  <c r="E469" i="11" s="1"/>
  <c r="E468" i="11"/>
  <c r="B470" i="11"/>
  <c r="H471" i="11"/>
  <c r="I470" i="11"/>
  <c r="K570" i="4"/>
  <c r="D570" i="4" s="1"/>
  <c r="E570" i="4"/>
  <c r="F570" i="4" s="1"/>
  <c r="B572" i="4"/>
  <c r="H573" i="4"/>
  <c r="I572" i="4"/>
  <c r="C571" i="4"/>
  <c r="J571" i="4"/>
  <c r="J470" i="11" l="1"/>
  <c r="D470" i="11" s="1"/>
  <c r="F470" i="11" s="1"/>
  <c r="C470" i="11"/>
  <c r="K470" i="11" s="1"/>
  <c r="E470" i="11" s="1"/>
  <c r="B471" i="11"/>
  <c r="H472" i="11"/>
  <c r="I471" i="11"/>
  <c r="J572" i="4"/>
  <c r="C572" i="4"/>
  <c r="K571" i="4"/>
  <c r="D571" i="4" s="1"/>
  <c r="E571" i="4"/>
  <c r="F571" i="4" s="1"/>
  <c r="H574" i="4"/>
  <c r="I573" i="4"/>
  <c r="B573" i="4"/>
  <c r="H473" i="11" l="1"/>
  <c r="B472" i="11"/>
  <c r="I472" i="11"/>
  <c r="C471" i="11"/>
  <c r="K471" i="11" s="1"/>
  <c r="E471" i="11" s="1"/>
  <c r="J471" i="11"/>
  <c r="D471" i="11" s="1"/>
  <c r="F471" i="11" s="1"/>
  <c r="J573" i="4"/>
  <c r="C573" i="4"/>
  <c r="H575" i="4"/>
  <c r="I574" i="4"/>
  <c r="B574" i="4"/>
  <c r="K572" i="4"/>
  <c r="D572" i="4" s="1"/>
  <c r="E572" i="4"/>
  <c r="F572" i="4" s="1"/>
  <c r="J472" i="11" l="1"/>
  <c r="D472" i="11" s="1"/>
  <c r="F472" i="11" s="1"/>
  <c r="C472" i="11"/>
  <c r="K472" i="11" s="1"/>
  <c r="B473" i="11"/>
  <c r="H474" i="11"/>
  <c r="I473" i="11"/>
  <c r="B575" i="4"/>
  <c r="I575" i="4"/>
  <c r="H576" i="4"/>
  <c r="E573" i="4"/>
  <c r="F573" i="4" s="1"/>
  <c r="K573" i="4"/>
  <c r="D573" i="4" s="1"/>
  <c r="C574" i="4"/>
  <c r="J574" i="4"/>
  <c r="C473" i="11" l="1"/>
  <c r="K473" i="11" s="1"/>
  <c r="E473" i="11" s="1"/>
  <c r="J473" i="11"/>
  <c r="D473" i="11" s="1"/>
  <c r="F473" i="11" s="1"/>
  <c r="I474" i="11"/>
  <c r="B474" i="11"/>
  <c r="H475" i="11"/>
  <c r="E472" i="11"/>
  <c r="B576" i="4"/>
  <c r="H577" i="4"/>
  <c r="I576" i="4"/>
  <c r="C575" i="4"/>
  <c r="J575" i="4"/>
  <c r="K574" i="4"/>
  <c r="D574" i="4" s="1"/>
  <c r="E574" i="4"/>
  <c r="F574" i="4" s="1"/>
  <c r="J474" i="11" l="1"/>
  <c r="D474" i="11" s="1"/>
  <c r="F474" i="11" s="1"/>
  <c r="C474" i="11"/>
  <c r="K474" i="11" s="1"/>
  <c r="E474" i="11" s="1"/>
  <c r="H476" i="11"/>
  <c r="B475" i="11"/>
  <c r="I475" i="11"/>
  <c r="J576" i="4"/>
  <c r="C576" i="4"/>
  <c r="K575" i="4"/>
  <c r="D575" i="4" s="1"/>
  <c r="E575" i="4"/>
  <c r="F575" i="4" s="1"/>
  <c r="H578" i="4"/>
  <c r="I577" i="4"/>
  <c r="B577" i="4"/>
  <c r="H477" i="11" l="1"/>
  <c r="I476" i="11"/>
  <c r="B476" i="11"/>
  <c r="C475" i="11"/>
  <c r="K475" i="11" s="1"/>
  <c r="J475" i="11"/>
  <c r="D475" i="11" s="1"/>
  <c r="F475" i="11" s="1"/>
  <c r="J577" i="4"/>
  <c r="C577" i="4"/>
  <c r="H579" i="4"/>
  <c r="I578" i="4"/>
  <c r="B578" i="4"/>
  <c r="K576" i="4"/>
  <c r="D576" i="4" s="1"/>
  <c r="E576" i="4"/>
  <c r="F576" i="4" s="1"/>
  <c r="B477" i="11" l="1"/>
  <c r="H478" i="11"/>
  <c r="I477" i="11"/>
  <c r="E475" i="11"/>
  <c r="C476" i="11"/>
  <c r="K476" i="11" s="1"/>
  <c r="J476" i="11"/>
  <c r="D476" i="11" s="1"/>
  <c r="F476" i="11" s="1"/>
  <c r="B579" i="4"/>
  <c r="I579" i="4"/>
  <c r="H580" i="4"/>
  <c r="E577" i="4"/>
  <c r="F577" i="4" s="1"/>
  <c r="K577" i="4"/>
  <c r="D577" i="4" s="1"/>
  <c r="C578" i="4"/>
  <c r="J578" i="4"/>
  <c r="J477" i="11" l="1"/>
  <c r="D477" i="11" s="1"/>
  <c r="F477" i="11" s="1"/>
  <c r="C477" i="11"/>
  <c r="K477" i="11" s="1"/>
  <c r="B478" i="11"/>
  <c r="I478" i="11"/>
  <c r="H479" i="11"/>
  <c r="E476" i="11"/>
  <c r="B580" i="4"/>
  <c r="H581" i="4"/>
  <c r="I580" i="4"/>
  <c r="K578" i="4"/>
  <c r="D578" i="4" s="1"/>
  <c r="E578" i="4"/>
  <c r="F578" i="4" s="1"/>
  <c r="C579" i="4"/>
  <c r="J579" i="4"/>
  <c r="I479" i="11" l="1"/>
  <c r="H480" i="11"/>
  <c r="B479" i="11"/>
  <c r="J478" i="11"/>
  <c r="D478" i="11" s="1"/>
  <c r="F478" i="11" s="1"/>
  <c r="C478" i="11"/>
  <c r="K478" i="11" s="1"/>
  <c r="E478" i="11" s="1"/>
  <c r="E477" i="11"/>
  <c r="J580" i="4"/>
  <c r="C580" i="4"/>
  <c r="K579" i="4"/>
  <c r="D579" i="4" s="1"/>
  <c r="E579" i="4"/>
  <c r="F579" i="4" s="1"/>
  <c r="H582" i="4"/>
  <c r="I581" i="4"/>
  <c r="B581" i="4"/>
  <c r="C479" i="11" l="1"/>
  <c r="K479" i="11" s="1"/>
  <c r="E479" i="11" s="1"/>
  <c r="J479" i="11"/>
  <c r="D479" i="11" s="1"/>
  <c r="F479" i="11" s="1"/>
  <c r="B480" i="11"/>
  <c r="I480" i="11"/>
  <c r="H481" i="11"/>
  <c r="K580" i="4"/>
  <c r="D580" i="4" s="1"/>
  <c r="E580" i="4"/>
  <c r="F580" i="4" s="1"/>
  <c r="J581" i="4"/>
  <c r="C581" i="4"/>
  <c r="H583" i="4"/>
  <c r="I582" i="4"/>
  <c r="B582" i="4"/>
  <c r="I481" i="11" l="1"/>
  <c r="H482" i="11"/>
  <c r="B481" i="11"/>
  <c r="C480" i="11"/>
  <c r="K480" i="11" s="1"/>
  <c r="J480" i="11"/>
  <c r="D480" i="11" s="1"/>
  <c r="F480" i="11" s="1"/>
  <c r="E581" i="4"/>
  <c r="F581" i="4" s="1"/>
  <c r="K581" i="4"/>
  <c r="D581" i="4" s="1"/>
  <c r="C582" i="4"/>
  <c r="J582" i="4"/>
  <c r="B583" i="4"/>
  <c r="H584" i="4"/>
  <c r="I583" i="4"/>
  <c r="J481" i="11" l="1"/>
  <c r="D481" i="11" s="1"/>
  <c r="F481" i="11" s="1"/>
  <c r="C481" i="11"/>
  <c r="K481" i="11" s="1"/>
  <c r="E480" i="11"/>
  <c r="H483" i="11"/>
  <c r="I482" i="11"/>
  <c r="B482" i="11"/>
  <c r="K582" i="4"/>
  <c r="D582" i="4" s="1"/>
  <c r="E582" i="4"/>
  <c r="F582" i="4" s="1"/>
  <c r="C583" i="4"/>
  <c r="J583" i="4"/>
  <c r="B584" i="4"/>
  <c r="H585" i="4"/>
  <c r="I584" i="4"/>
  <c r="C482" i="11" l="1"/>
  <c r="K482" i="11" s="1"/>
  <c r="E482" i="11" s="1"/>
  <c r="J482" i="11"/>
  <c r="D482" i="11" s="1"/>
  <c r="F482" i="11" s="1"/>
  <c r="I483" i="11"/>
  <c r="B483" i="11"/>
  <c r="H484" i="11"/>
  <c r="E481" i="11"/>
  <c r="H586" i="4"/>
  <c r="I585" i="4"/>
  <c r="B585" i="4"/>
  <c r="J584" i="4"/>
  <c r="C584" i="4"/>
  <c r="K583" i="4"/>
  <c r="D583" i="4" s="1"/>
  <c r="E583" i="4"/>
  <c r="F583" i="4" s="1"/>
  <c r="J483" i="11" l="1"/>
  <c r="D483" i="11" s="1"/>
  <c r="F483" i="11" s="1"/>
  <c r="C483" i="11"/>
  <c r="K483" i="11" s="1"/>
  <c r="I484" i="11"/>
  <c r="H485" i="11"/>
  <c r="B484" i="11"/>
  <c r="J585" i="4"/>
  <c r="C585" i="4"/>
  <c r="K584" i="4"/>
  <c r="D584" i="4" s="1"/>
  <c r="E584" i="4"/>
  <c r="F584" i="4" s="1"/>
  <c r="H587" i="4"/>
  <c r="I586" i="4"/>
  <c r="B586" i="4"/>
  <c r="C484" i="11" l="1"/>
  <c r="K484" i="11" s="1"/>
  <c r="E484" i="11" s="1"/>
  <c r="J484" i="11"/>
  <c r="D484" i="11" s="1"/>
  <c r="F484" i="11" s="1"/>
  <c r="B485" i="11"/>
  <c r="H486" i="11"/>
  <c r="I485" i="11"/>
  <c r="E483" i="11"/>
  <c r="E585" i="4"/>
  <c r="F585" i="4" s="1"/>
  <c r="K585" i="4"/>
  <c r="D585" i="4" s="1"/>
  <c r="B587" i="4"/>
  <c r="H588" i="4"/>
  <c r="I587" i="4"/>
  <c r="C586" i="4"/>
  <c r="J586" i="4"/>
  <c r="C485" i="11" l="1"/>
  <c r="K485" i="11" s="1"/>
  <c r="E485" i="11" s="1"/>
  <c r="J485" i="11"/>
  <c r="D485" i="11" s="1"/>
  <c r="F485" i="11" s="1"/>
  <c r="H487" i="11"/>
  <c r="I486" i="11"/>
  <c r="B486" i="11"/>
  <c r="B588" i="4"/>
  <c r="H589" i="4"/>
  <c r="I588" i="4"/>
  <c r="K586" i="4"/>
  <c r="D586" i="4" s="1"/>
  <c r="E586" i="4"/>
  <c r="F586" i="4" s="1"/>
  <c r="C587" i="4"/>
  <c r="J587" i="4"/>
  <c r="C486" i="11" l="1"/>
  <c r="K486" i="11" s="1"/>
  <c r="J486" i="11"/>
  <c r="D486" i="11" s="1"/>
  <c r="F486" i="11" s="1"/>
  <c r="B487" i="11"/>
  <c r="H488" i="11"/>
  <c r="I487" i="11"/>
  <c r="K587" i="4"/>
  <c r="D587" i="4" s="1"/>
  <c r="E587" i="4"/>
  <c r="F587" i="4" s="1"/>
  <c r="H590" i="4"/>
  <c r="I589" i="4"/>
  <c r="B589" i="4"/>
  <c r="J588" i="4"/>
  <c r="C588" i="4"/>
  <c r="B488" i="11" l="1"/>
  <c r="H489" i="11"/>
  <c r="I488" i="11"/>
  <c r="C487" i="11"/>
  <c r="K487" i="11" s="1"/>
  <c r="J487" i="11"/>
  <c r="D487" i="11" s="1"/>
  <c r="F487" i="11" s="1"/>
  <c r="E486" i="11"/>
  <c r="K588" i="4"/>
  <c r="D588" i="4" s="1"/>
  <c r="E588" i="4"/>
  <c r="F588" i="4" s="1"/>
  <c r="J589" i="4"/>
  <c r="C589" i="4"/>
  <c r="H591" i="4"/>
  <c r="I590" i="4"/>
  <c r="B590" i="4"/>
  <c r="E487" i="11" l="1"/>
  <c r="J488" i="11"/>
  <c r="D488" i="11" s="1"/>
  <c r="F488" i="11" s="1"/>
  <c r="C488" i="11"/>
  <c r="K488" i="11" s="1"/>
  <c r="E488" i="11" s="1"/>
  <c r="B489" i="11"/>
  <c r="H490" i="11"/>
  <c r="I489" i="11"/>
  <c r="B591" i="4"/>
  <c r="I591" i="4"/>
  <c r="H592" i="4"/>
  <c r="C590" i="4"/>
  <c r="J590" i="4"/>
  <c r="E589" i="4"/>
  <c r="F589" i="4" s="1"/>
  <c r="K589" i="4"/>
  <c r="D589" i="4" s="1"/>
  <c r="J489" i="11" l="1"/>
  <c r="D489" i="11" s="1"/>
  <c r="F489" i="11" s="1"/>
  <c r="C489" i="11"/>
  <c r="K489" i="11" s="1"/>
  <c r="I490" i="11"/>
  <c r="B490" i="11"/>
  <c r="H491" i="11"/>
  <c r="K590" i="4"/>
  <c r="D590" i="4" s="1"/>
  <c r="E590" i="4"/>
  <c r="F590" i="4" s="1"/>
  <c r="B592" i="4"/>
  <c r="H593" i="4"/>
  <c r="I592" i="4"/>
  <c r="C591" i="4"/>
  <c r="J591" i="4"/>
  <c r="B491" i="11" l="1"/>
  <c r="H492" i="11"/>
  <c r="I491" i="11"/>
  <c r="J490" i="11"/>
  <c r="D490" i="11" s="1"/>
  <c r="F490" i="11" s="1"/>
  <c r="C490" i="11"/>
  <c r="K490" i="11" s="1"/>
  <c r="E489" i="11"/>
  <c r="J592" i="4"/>
  <c r="C592" i="4"/>
  <c r="K591" i="4"/>
  <c r="D591" i="4" s="1"/>
  <c r="E591" i="4"/>
  <c r="F591" i="4" s="1"/>
  <c r="H594" i="4"/>
  <c r="I593" i="4"/>
  <c r="B593" i="4"/>
  <c r="C491" i="11" l="1"/>
  <c r="K491" i="11" s="1"/>
  <c r="J491" i="11"/>
  <c r="D491" i="11" s="1"/>
  <c r="F491" i="11" s="1"/>
  <c r="H493" i="11"/>
  <c r="B492" i="11"/>
  <c r="I492" i="11"/>
  <c r="E490" i="11"/>
  <c r="H595" i="4"/>
  <c r="I594" i="4"/>
  <c r="B594" i="4"/>
  <c r="J593" i="4"/>
  <c r="C593" i="4"/>
  <c r="K592" i="4"/>
  <c r="D592" i="4" s="1"/>
  <c r="E592" i="4"/>
  <c r="F592" i="4" s="1"/>
  <c r="B493" i="11" l="1"/>
  <c r="I493" i="11"/>
  <c r="H494" i="11"/>
  <c r="J492" i="11"/>
  <c r="D492" i="11" s="1"/>
  <c r="F492" i="11" s="1"/>
  <c r="C492" i="11"/>
  <c r="K492" i="11" s="1"/>
  <c r="E491" i="11"/>
  <c r="E593" i="4"/>
  <c r="F593" i="4" s="1"/>
  <c r="K593" i="4"/>
  <c r="D593" i="4" s="1"/>
  <c r="C594" i="4"/>
  <c r="J594" i="4"/>
  <c r="B595" i="4"/>
  <c r="I595" i="4"/>
  <c r="H596" i="4"/>
  <c r="B494" i="11" l="1"/>
  <c r="I494" i="11"/>
  <c r="H495" i="11"/>
  <c r="J493" i="11"/>
  <c r="D493" i="11" s="1"/>
  <c r="F493" i="11" s="1"/>
  <c r="C493" i="11"/>
  <c r="K493" i="11" s="1"/>
  <c r="E492" i="11"/>
  <c r="K594" i="4"/>
  <c r="D594" i="4" s="1"/>
  <c r="E594" i="4"/>
  <c r="F594" i="4" s="1"/>
  <c r="B596" i="4"/>
  <c r="H597" i="4"/>
  <c r="I596" i="4"/>
  <c r="C595" i="4"/>
  <c r="J595" i="4"/>
  <c r="H496" i="11" l="1"/>
  <c r="I495" i="11"/>
  <c r="B495" i="11"/>
  <c r="J494" i="11"/>
  <c r="D494" i="11" s="1"/>
  <c r="F494" i="11" s="1"/>
  <c r="C494" i="11"/>
  <c r="K494" i="11" s="1"/>
  <c r="E494" i="11" s="1"/>
  <c r="E493" i="11"/>
  <c r="J596" i="4"/>
  <c r="C596" i="4"/>
  <c r="K595" i="4"/>
  <c r="D595" i="4" s="1"/>
  <c r="E595" i="4"/>
  <c r="F595" i="4" s="1"/>
  <c r="H598" i="4"/>
  <c r="I597" i="4"/>
  <c r="B597" i="4"/>
  <c r="H497" i="11" l="1"/>
  <c r="B496" i="11"/>
  <c r="I496" i="11"/>
  <c r="C495" i="11"/>
  <c r="K495" i="11" s="1"/>
  <c r="E495" i="11" s="1"/>
  <c r="J495" i="11"/>
  <c r="D495" i="11" s="1"/>
  <c r="F495" i="11" s="1"/>
  <c r="K596" i="4"/>
  <c r="D596" i="4" s="1"/>
  <c r="E596" i="4"/>
  <c r="F596" i="4" s="1"/>
  <c r="J597" i="4"/>
  <c r="C597" i="4"/>
  <c r="H599" i="4"/>
  <c r="I598" i="4"/>
  <c r="B598" i="4"/>
  <c r="J496" i="11" l="1"/>
  <c r="D496" i="11" s="1"/>
  <c r="F496" i="11" s="1"/>
  <c r="C496" i="11"/>
  <c r="K496" i="11" s="1"/>
  <c r="E496" i="11" s="1"/>
  <c r="I497" i="11"/>
  <c r="B497" i="11"/>
  <c r="H498" i="11"/>
  <c r="B599" i="4"/>
  <c r="H600" i="4"/>
  <c r="I599" i="4"/>
  <c r="C598" i="4"/>
  <c r="J598" i="4"/>
  <c r="E597" i="4"/>
  <c r="F597" i="4" s="1"/>
  <c r="K597" i="4"/>
  <c r="D597" i="4" s="1"/>
  <c r="J497" i="11" l="1"/>
  <c r="D497" i="11" s="1"/>
  <c r="F497" i="11" s="1"/>
  <c r="C497" i="11"/>
  <c r="K497" i="11" s="1"/>
  <c r="E497" i="11" s="1"/>
  <c r="I498" i="11"/>
  <c r="B498" i="11"/>
  <c r="H499" i="11"/>
  <c r="K598" i="4"/>
  <c r="D598" i="4" s="1"/>
  <c r="E598" i="4"/>
  <c r="F598" i="4" s="1"/>
  <c r="C599" i="4"/>
  <c r="J599" i="4"/>
  <c r="B600" i="4"/>
  <c r="H601" i="4"/>
  <c r="I600" i="4"/>
  <c r="J498" i="11" l="1"/>
  <c r="D498" i="11" s="1"/>
  <c r="F498" i="11" s="1"/>
  <c r="C498" i="11"/>
  <c r="K498" i="11" s="1"/>
  <c r="E498" i="11" s="1"/>
  <c r="H500" i="11"/>
  <c r="I499" i="11"/>
  <c r="B499" i="11"/>
  <c r="K599" i="4"/>
  <c r="D599" i="4" s="1"/>
  <c r="E599" i="4"/>
  <c r="F599" i="4" s="1"/>
  <c r="J600" i="4"/>
  <c r="C600" i="4"/>
  <c r="H602" i="4"/>
  <c r="I601" i="4"/>
  <c r="B601" i="4"/>
  <c r="B500" i="11" l="1"/>
  <c r="I500" i="11"/>
  <c r="H501" i="11"/>
  <c r="J499" i="11"/>
  <c r="D499" i="11" s="1"/>
  <c r="F499" i="11" s="1"/>
  <c r="C499" i="11"/>
  <c r="K499" i="11" s="1"/>
  <c r="E499" i="11" s="1"/>
  <c r="H603" i="4"/>
  <c r="I602" i="4"/>
  <c r="B602" i="4"/>
  <c r="K600" i="4"/>
  <c r="D600" i="4" s="1"/>
  <c r="E600" i="4"/>
  <c r="F600" i="4" s="1"/>
  <c r="J601" i="4"/>
  <c r="C601" i="4"/>
  <c r="C500" i="11" l="1"/>
  <c r="K500" i="11" s="1"/>
  <c r="J500" i="11"/>
  <c r="D500" i="11" s="1"/>
  <c r="F500" i="11" s="1"/>
  <c r="B501" i="11"/>
  <c r="H502" i="11"/>
  <c r="I501" i="11"/>
  <c r="E601" i="4"/>
  <c r="F601" i="4" s="1"/>
  <c r="K601" i="4"/>
  <c r="D601" i="4" s="1"/>
  <c r="C602" i="4"/>
  <c r="J602" i="4"/>
  <c r="B603" i="4"/>
  <c r="H604" i="4"/>
  <c r="I603" i="4"/>
  <c r="J501" i="11" l="1"/>
  <c r="D501" i="11" s="1"/>
  <c r="F501" i="11" s="1"/>
  <c r="C501" i="11"/>
  <c r="K501" i="11" s="1"/>
  <c r="E501" i="11" s="1"/>
  <c r="E500" i="11"/>
  <c r="B502" i="11"/>
  <c r="I502" i="11"/>
  <c r="H503" i="11"/>
  <c r="B604" i="4"/>
  <c r="H605" i="4"/>
  <c r="I604" i="4"/>
  <c r="K602" i="4"/>
  <c r="D602" i="4" s="1"/>
  <c r="E602" i="4"/>
  <c r="F602" i="4" s="1"/>
  <c r="C603" i="4"/>
  <c r="J603" i="4"/>
  <c r="J502" i="11" l="1"/>
  <c r="D502" i="11" s="1"/>
  <c r="F502" i="11" s="1"/>
  <c r="C502" i="11"/>
  <c r="K502" i="11" s="1"/>
  <c r="B503" i="11"/>
  <c r="H504" i="11"/>
  <c r="I503" i="11"/>
  <c r="H606" i="4"/>
  <c r="I605" i="4"/>
  <c r="B605" i="4"/>
  <c r="K603" i="4"/>
  <c r="D603" i="4" s="1"/>
  <c r="E603" i="4"/>
  <c r="F603" i="4" s="1"/>
  <c r="J604" i="4"/>
  <c r="C604" i="4"/>
  <c r="E502" i="11" l="1"/>
  <c r="C503" i="11"/>
  <c r="K503" i="11" s="1"/>
  <c r="E503" i="11" s="1"/>
  <c r="J503" i="11"/>
  <c r="D503" i="11" s="1"/>
  <c r="F503" i="11" s="1"/>
  <c r="I504" i="11"/>
  <c r="B504" i="11"/>
  <c r="H505" i="11"/>
  <c r="K604" i="4"/>
  <c r="D604" i="4" s="1"/>
  <c r="E604" i="4"/>
  <c r="F604" i="4" s="1"/>
  <c r="J605" i="4"/>
  <c r="C605" i="4"/>
  <c r="H607" i="4"/>
  <c r="I606" i="4"/>
  <c r="B606" i="4"/>
  <c r="C504" i="11" l="1"/>
  <c r="K504" i="11" s="1"/>
  <c r="J504" i="11"/>
  <c r="D504" i="11" s="1"/>
  <c r="F504" i="11" s="1"/>
  <c r="B505" i="11"/>
  <c r="H506" i="11"/>
  <c r="I505" i="11"/>
  <c r="C606" i="4"/>
  <c r="J606" i="4"/>
  <c r="B607" i="4"/>
  <c r="I607" i="4"/>
  <c r="H608" i="4"/>
  <c r="E605" i="4"/>
  <c r="F605" i="4" s="1"/>
  <c r="K605" i="4"/>
  <c r="D605" i="4" s="1"/>
  <c r="H507" i="11" l="1"/>
  <c r="I506" i="11"/>
  <c r="B506" i="11"/>
  <c r="J505" i="11"/>
  <c r="D505" i="11" s="1"/>
  <c r="F505" i="11" s="1"/>
  <c r="C505" i="11"/>
  <c r="K505" i="11" s="1"/>
  <c r="E504" i="11"/>
  <c r="K606" i="4"/>
  <c r="D606" i="4" s="1"/>
  <c r="E606" i="4"/>
  <c r="F606" i="4" s="1"/>
  <c r="B608" i="4"/>
  <c r="H609" i="4"/>
  <c r="I608" i="4"/>
  <c r="C607" i="4"/>
  <c r="J607" i="4"/>
  <c r="C506" i="11" l="1"/>
  <c r="K506" i="11" s="1"/>
  <c r="J506" i="11"/>
  <c r="D506" i="11" s="1"/>
  <c r="F506" i="11" s="1"/>
  <c r="E505" i="11"/>
  <c r="H508" i="11"/>
  <c r="I507" i="11"/>
  <c r="B507" i="11"/>
  <c r="H610" i="4"/>
  <c r="I609" i="4"/>
  <c r="B609" i="4"/>
  <c r="K607" i="4"/>
  <c r="D607" i="4" s="1"/>
  <c r="E607" i="4"/>
  <c r="F607" i="4" s="1"/>
  <c r="J608" i="4"/>
  <c r="C608" i="4"/>
  <c r="H509" i="11" l="1"/>
  <c r="B508" i="11"/>
  <c r="I508" i="11"/>
  <c r="J507" i="11"/>
  <c r="D507" i="11" s="1"/>
  <c r="F507" i="11" s="1"/>
  <c r="C507" i="11"/>
  <c r="K507" i="11" s="1"/>
  <c r="E506" i="11"/>
  <c r="J609" i="4"/>
  <c r="C609" i="4"/>
  <c r="K608" i="4"/>
  <c r="D608" i="4" s="1"/>
  <c r="E608" i="4"/>
  <c r="F608" i="4" s="1"/>
  <c r="H611" i="4"/>
  <c r="I610" i="4"/>
  <c r="B610" i="4"/>
  <c r="J508" i="11" l="1"/>
  <c r="D508" i="11" s="1"/>
  <c r="F508" i="11" s="1"/>
  <c r="C508" i="11"/>
  <c r="K508" i="11" s="1"/>
  <c r="E508" i="11" s="1"/>
  <c r="E507" i="11"/>
  <c r="H510" i="11"/>
  <c r="I509" i="11"/>
  <c r="B509" i="11"/>
  <c r="B611" i="4"/>
  <c r="I611" i="4"/>
  <c r="H612" i="4"/>
  <c r="C610" i="4"/>
  <c r="J610" i="4"/>
  <c r="E609" i="4"/>
  <c r="F609" i="4" s="1"/>
  <c r="K609" i="4"/>
  <c r="D609" i="4" s="1"/>
  <c r="J509" i="11" l="1"/>
  <c r="D509" i="11" s="1"/>
  <c r="F509" i="11" s="1"/>
  <c r="C509" i="11"/>
  <c r="K509" i="11" s="1"/>
  <c r="E509" i="11" s="1"/>
  <c r="B510" i="11"/>
  <c r="I510" i="11"/>
  <c r="H511" i="11"/>
  <c r="B612" i="4"/>
  <c r="H613" i="4"/>
  <c r="I612" i="4"/>
  <c r="C611" i="4"/>
  <c r="J611" i="4"/>
  <c r="K610" i="4"/>
  <c r="D610" i="4" s="1"/>
  <c r="E610" i="4"/>
  <c r="F610" i="4" s="1"/>
  <c r="I511" i="11" l="1"/>
  <c r="H512" i="11"/>
  <c r="B511" i="11"/>
  <c r="C510" i="11"/>
  <c r="K510" i="11" s="1"/>
  <c r="J510" i="11"/>
  <c r="D510" i="11" s="1"/>
  <c r="F510" i="11" s="1"/>
  <c r="J612" i="4"/>
  <c r="C612" i="4"/>
  <c r="K611" i="4"/>
  <c r="D611" i="4" s="1"/>
  <c r="E611" i="4"/>
  <c r="F611" i="4" s="1"/>
  <c r="H614" i="4"/>
  <c r="I613" i="4"/>
  <c r="B613" i="4"/>
  <c r="E510" i="11" l="1"/>
  <c r="C511" i="11"/>
  <c r="K511" i="11" s="1"/>
  <c r="J511" i="11"/>
  <c r="D511" i="11" s="1"/>
  <c r="F511" i="11" s="1"/>
  <c r="H513" i="11"/>
  <c r="I512" i="11"/>
  <c r="B512" i="11"/>
  <c r="J613" i="4"/>
  <c r="C613" i="4"/>
  <c r="H615" i="4"/>
  <c r="I614" i="4"/>
  <c r="B614" i="4"/>
  <c r="K612" i="4"/>
  <c r="D612" i="4" s="1"/>
  <c r="E612" i="4"/>
  <c r="F612" i="4" s="1"/>
  <c r="E511" i="11" l="1"/>
  <c r="C512" i="11"/>
  <c r="K512" i="11" s="1"/>
  <c r="J512" i="11"/>
  <c r="D512" i="11" s="1"/>
  <c r="F512" i="11" s="1"/>
  <c r="B513" i="11"/>
  <c r="I513" i="11"/>
  <c r="H514" i="11"/>
  <c r="B615" i="4"/>
  <c r="H616" i="4"/>
  <c r="I615" i="4"/>
  <c r="C614" i="4"/>
  <c r="J614" i="4"/>
  <c r="E613" i="4"/>
  <c r="F613" i="4" s="1"/>
  <c r="K613" i="4"/>
  <c r="D613" i="4" s="1"/>
  <c r="I514" i="11" l="1"/>
  <c r="B514" i="11"/>
  <c r="H515" i="11"/>
  <c r="E512" i="11"/>
  <c r="J513" i="11"/>
  <c r="D513" i="11" s="1"/>
  <c r="F513" i="11" s="1"/>
  <c r="C513" i="11"/>
  <c r="K513" i="11" s="1"/>
  <c r="E513" i="11" s="1"/>
  <c r="B616" i="4"/>
  <c r="H617" i="4"/>
  <c r="I616" i="4"/>
  <c r="K614" i="4"/>
  <c r="D614" i="4" s="1"/>
  <c r="E614" i="4"/>
  <c r="F614" i="4" s="1"/>
  <c r="C615" i="4"/>
  <c r="J615" i="4"/>
  <c r="C514" i="11" l="1"/>
  <c r="K514" i="11" s="1"/>
  <c r="J514" i="11"/>
  <c r="D514" i="11" s="1"/>
  <c r="F514" i="11" s="1"/>
  <c r="H516" i="11"/>
  <c r="B515" i="11"/>
  <c r="I515" i="11"/>
  <c r="J616" i="4"/>
  <c r="C616" i="4"/>
  <c r="K615" i="4"/>
  <c r="D615" i="4" s="1"/>
  <c r="E615" i="4"/>
  <c r="F615" i="4" s="1"/>
  <c r="H618" i="4"/>
  <c r="I617" i="4"/>
  <c r="B617" i="4"/>
  <c r="J515" i="11" l="1"/>
  <c r="D515" i="11" s="1"/>
  <c r="F515" i="11" s="1"/>
  <c r="C515" i="11"/>
  <c r="K515" i="11" s="1"/>
  <c r="E515" i="11" s="1"/>
  <c r="E514" i="11"/>
  <c r="I516" i="11"/>
  <c r="B516" i="11"/>
  <c r="H517" i="11"/>
  <c r="H619" i="4"/>
  <c r="I618" i="4"/>
  <c r="B618" i="4"/>
  <c r="J617" i="4"/>
  <c r="C617" i="4"/>
  <c r="K616" i="4"/>
  <c r="D616" i="4" s="1"/>
  <c r="E616" i="4"/>
  <c r="F616" i="4" s="1"/>
  <c r="C516" i="11" l="1"/>
  <c r="K516" i="11" s="1"/>
  <c r="J516" i="11"/>
  <c r="D516" i="11" s="1"/>
  <c r="F516" i="11" s="1"/>
  <c r="H518" i="11"/>
  <c r="I517" i="11"/>
  <c r="B517" i="11"/>
  <c r="B619" i="4"/>
  <c r="H620" i="4"/>
  <c r="I619" i="4"/>
  <c r="E617" i="4"/>
  <c r="F617" i="4" s="1"/>
  <c r="K617" i="4"/>
  <c r="D617" i="4" s="1"/>
  <c r="C618" i="4"/>
  <c r="J618" i="4"/>
  <c r="H519" i="11" l="1"/>
  <c r="I518" i="11"/>
  <c r="B518" i="11"/>
  <c r="E516" i="11"/>
  <c r="C517" i="11"/>
  <c r="K517" i="11" s="1"/>
  <c r="J517" i="11"/>
  <c r="D517" i="11" s="1"/>
  <c r="F517" i="11" s="1"/>
  <c r="K618" i="4"/>
  <c r="D618" i="4" s="1"/>
  <c r="E618" i="4"/>
  <c r="F618" i="4" s="1"/>
  <c r="C619" i="4"/>
  <c r="J619" i="4"/>
  <c r="B620" i="4"/>
  <c r="H621" i="4"/>
  <c r="I620" i="4"/>
  <c r="J518" i="11" l="1"/>
  <c r="D518" i="11" s="1"/>
  <c r="F518" i="11" s="1"/>
  <c r="C518" i="11"/>
  <c r="K518" i="11" s="1"/>
  <c r="E518" i="11" s="1"/>
  <c r="E517" i="11"/>
  <c r="I519" i="11"/>
  <c r="B519" i="11"/>
  <c r="H520" i="11"/>
  <c r="H622" i="4"/>
  <c r="I621" i="4"/>
  <c r="B621" i="4"/>
  <c r="K619" i="4"/>
  <c r="D619" i="4" s="1"/>
  <c r="E619" i="4"/>
  <c r="F619" i="4" s="1"/>
  <c r="J620" i="4"/>
  <c r="C620" i="4"/>
  <c r="C519" i="11" l="1"/>
  <c r="K519" i="11" s="1"/>
  <c r="J519" i="11"/>
  <c r="D519" i="11" s="1"/>
  <c r="F519" i="11" s="1"/>
  <c r="H521" i="11"/>
  <c r="B520" i="11"/>
  <c r="I520" i="11"/>
  <c r="J621" i="4"/>
  <c r="C621" i="4"/>
  <c r="H623" i="4"/>
  <c r="I622" i="4"/>
  <c r="B622" i="4"/>
  <c r="K620" i="4"/>
  <c r="D620" i="4" s="1"/>
  <c r="E620" i="4"/>
  <c r="F620" i="4" s="1"/>
  <c r="J520" i="11" l="1"/>
  <c r="D520" i="11" s="1"/>
  <c r="F520" i="11" s="1"/>
  <c r="C520" i="11"/>
  <c r="K520" i="11" s="1"/>
  <c r="E520" i="11" s="1"/>
  <c r="E519" i="11"/>
  <c r="B521" i="11"/>
  <c r="I521" i="11"/>
  <c r="H522" i="11"/>
  <c r="C622" i="4"/>
  <c r="J622" i="4"/>
  <c r="B623" i="4"/>
  <c r="I623" i="4"/>
  <c r="H624" i="4"/>
  <c r="E621" i="4"/>
  <c r="F621" i="4" s="1"/>
  <c r="K621" i="4"/>
  <c r="D621" i="4" s="1"/>
  <c r="J521" i="11" l="1"/>
  <c r="D521" i="11" s="1"/>
  <c r="F521" i="11" s="1"/>
  <c r="C521" i="11"/>
  <c r="K521" i="11" s="1"/>
  <c r="E521" i="11" s="1"/>
  <c r="H523" i="11"/>
  <c r="I522" i="11"/>
  <c r="B522" i="11"/>
  <c r="C623" i="4"/>
  <c r="J623" i="4"/>
  <c r="K622" i="4"/>
  <c r="D622" i="4" s="1"/>
  <c r="E622" i="4"/>
  <c r="F622" i="4" s="1"/>
  <c r="B624" i="4"/>
  <c r="H625" i="4"/>
  <c r="I624" i="4"/>
  <c r="I523" i="11" l="1"/>
  <c r="B523" i="11"/>
  <c r="H524" i="11"/>
  <c r="C522" i="11"/>
  <c r="K522" i="11" s="1"/>
  <c r="J522" i="11"/>
  <c r="D522" i="11" s="1"/>
  <c r="F522" i="11" s="1"/>
  <c r="J624" i="4"/>
  <c r="C624" i="4"/>
  <c r="H626" i="4"/>
  <c r="I625" i="4"/>
  <c r="B625" i="4"/>
  <c r="K623" i="4"/>
  <c r="D623" i="4" s="1"/>
  <c r="E623" i="4"/>
  <c r="F623" i="4" s="1"/>
  <c r="C523" i="11" l="1"/>
  <c r="K523" i="11" s="1"/>
  <c r="J523" i="11"/>
  <c r="D523" i="11" s="1"/>
  <c r="F523" i="11" s="1"/>
  <c r="E522" i="11"/>
  <c r="B524" i="11"/>
  <c r="H525" i="11"/>
  <c r="I524" i="11"/>
  <c r="J625" i="4"/>
  <c r="C625" i="4"/>
  <c r="H627" i="4"/>
  <c r="I626" i="4"/>
  <c r="B626" i="4"/>
  <c r="K624" i="4"/>
  <c r="D624" i="4" s="1"/>
  <c r="E624" i="4"/>
  <c r="F624" i="4" s="1"/>
  <c r="C524" i="11" l="1"/>
  <c r="K524" i="11" s="1"/>
  <c r="J524" i="11"/>
  <c r="D524" i="11" s="1"/>
  <c r="F524" i="11" s="1"/>
  <c r="B525" i="11"/>
  <c r="H526" i="11"/>
  <c r="I525" i="11"/>
  <c r="E523" i="11"/>
  <c r="C626" i="4"/>
  <c r="J626" i="4"/>
  <c r="B627" i="4"/>
  <c r="I627" i="4"/>
  <c r="H628" i="4"/>
  <c r="E625" i="4"/>
  <c r="F625" i="4" s="1"/>
  <c r="K625" i="4"/>
  <c r="D625" i="4" s="1"/>
  <c r="I526" i="11" l="1"/>
  <c r="B526" i="11"/>
  <c r="H527" i="11"/>
  <c r="J525" i="11"/>
  <c r="D525" i="11" s="1"/>
  <c r="F525" i="11" s="1"/>
  <c r="C525" i="11"/>
  <c r="K525" i="11" s="1"/>
  <c r="E525" i="11" s="1"/>
  <c r="E524" i="11"/>
  <c r="B628" i="4"/>
  <c r="H629" i="4"/>
  <c r="I628" i="4"/>
  <c r="C627" i="4"/>
  <c r="J627" i="4"/>
  <c r="K626" i="4"/>
  <c r="D626" i="4" s="1"/>
  <c r="E626" i="4"/>
  <c r="F626" i="4" s="1"/>
  <c r="B527" i="11" l="1"/>
  <c r="H528" i="11"/>
  <c r="I527" i="11"/>
  <c r="J526" i="11"/>
  <c r="D526" i="11" s="1"/>
  <c r="F526" i="11" s="1"/>
  <c r="C526" i="11"/>
  <c r="K526" i="11" s="1"/>
  <c r="E526" i="11" s="1"/>
  <c r="J628" i="4"/>
  <c r="C628" i="4"/>
  <c r="H630" i="4"/>
  <c r="I629" i="4"/>
  <c r="B629" i="4"/>
  <c r="K627" i="4"/>
  <c r="D627" i="4" s="1"/>
  <c r="E627" i="4"/>
  <c r="F627" i="4" s="1"/>
  <c r="J527" i="11" l="1"/>
  <c r="D527" i="11" s="1"/>
  <c r="F527" i="11" s="1"/>
  <c r="C527" i="11"/>
  <c r="K527" i="11" s="1"/>
  <c r="E527" i="11" s="1"/>
  <c r="H529" i="11"/>
  <c r="B528" i="11"/>
  <c r="I528" i="11"/>
  <c r="H631" i="4"/>
  <c r="I630" i="4"/>
  <c r="B630" i="4"/>
  <c r="K628" i="4"/>
  <c r="D628" i="4" s="1"/>
  <c r="E628" i="4"/>
  <c r="F628" i="4" s="1"/>
  <c r="J629" i="4"/>
  <c r="C629" i="4"/>
  <c r="C528" i="11" l="1"/>
  <c r="K528" i="11" s="1"/>
  <c r="J528" i="11"/>
  <c r="D528" i="11" s="1"/>
  <c r="F528" i="11" s="1"/>
  <c r="B529" i="11"/>
  <c r="H530" i="11"/>
  <c r="I529" i="11"/>
  <c r="E629" i="4"/>
  <c r="F629" i="4" s="1"/>
  <c r="K629" i="4"/>
  <c r="D629" i="4" s="1"/>
  <c r="C630" i="4"/>
  <c r="J630" i="4"/>
  <c r="B631" i="4"/>
  <c r="H632" i="4"/>
  <c r="I631" i="4"/>
  <c r="J529" i="11" l="1"/>
  <c r="D529" i="11" s="1"/>
  <c r="F529" i="11" s="1"/>
  <c r="C529" i="11"/>
  <c r="K529" i="11" s="1"/>
  <c r="E529" i="11" s="1"/>
  <c r="E528" i="11"/>
  <c r="I530" i="11"/>
  <c r="B530" i="11"/>
  <c r="H531" i="11"/>
  <c r="C631" i="4"/>
  <c r="J631" i="4"/>
  <c r="B632" i="4"/>
  <c r="H633" i="4"/>
  <c r="I632" i="4"/>
  <c r="K630" i="4"/>
  <c r="D630" i="4" s="1"/>
  <c r="E630" i="4"/>
  <c r="F630" i="4" s="1"/>
  <c r="B531" i="11" l="1"/>
  <c r="H532" i="11"/>
  <c r="I531" i="11"/>
  <c r="C530" i="11"/>
  <c r="K530" i="11" s="1"/>
  <c r="J530" i="11"/>
  <c r="D530" i="11" s="1"/>
  <c r="F530" i="11" s="1"/>
  <c r="J632" i="4"/>
  <c r="C632" i="4"/>
  <c r="H634" i="4"/>
  <c r="I633" i="4"/>
  <c r="B633" i="4"/>
  <c r="K631" i="4"/>
  <c r="D631" i="4" s="1"/>
  <c r="E631" i="4"/>
  <c r="F631" i="4" s="1"/>
  <c r="C531" i="11" l="1"/>
  <c r="K531" i="11" s="1"/>
  <c r="J531" i="11"/>
  <c r="D531" i="11" s="1"/>
  <c r="F531" i="11" s="1"/>
  <c r="B532" i="11"/>
  <c r="H533" i="11"/>
  <c r="I532" i="11"/>
  <c r="E530" i="11"/>
  <c r="H635" i="4"/>
  <c r="I634" i="4"/>
  <c r="B634" i="4"/>
  <c r="J633" i="4"/>
  <c r="C633" i="4"/>
  <c r="K632" i="4"/>
  <c r="D632" i="4" s="1"/>
  <c r="E632" i="4"/>
  <c r="F632" i="4" s="1"/>
  <c r="J532" i="11" l="1"/>
  <c r="D532" i="11" s="1"/>
  <c r="F532" i="11" s="1"/>
  <c r="C532" i="11"/>
  <c r="K532" i="11" s="1"/>
  <c r="E532" i="11" s="1"/>
  <c r="E531" i="11"/>
  <c r="H534" i="11"/>
  <c r="I533" i="11"/>
  <c r="B533" i="11"/>
  <c r="E633" i="4"/>
  <c r="F633" i="4" s="1"/>
  <c r="K633" i="4"/>
  <c r="D633" i="4" s="1"/>
  <c r="C634" i="4"/>
  <c r="J634" i="4"/>
  <c r="B635" i="4"/>
  <c r="H636" i="4"/>
  <c r="I635" i="4"/>
  <c r="J533" i="11" l="1"/>
  <c r="D533" i="11" s="1"/>
  <c r="F533" i="11" s="1"/>
  <c r="C533" i="11"/>
  <c r="K533" i="11" s="1"/>
  <c r="E533" i="11" s="1"/>
  <c r="I534" i="11"/>
  <c r="B534" i="11"/>
  <c r="H535" i="11"/>
  <c r="C635" i="4"/>
  <c r="J635" i="4"/>
  <c r="B636" i="4"/>
  <c r="H637" i="4"/>
  <c r="I636" i="4"/>
  <c r="K634" i="4"/>
  <c r="D634" i="4" s="1"/>
  <c r="E634" i="4"/>
  <c r="F634" i="4" s="1"/>
  <c r="I535" i="11" l="1"/>
  <c r="B535" i="11"/>
  <c r="H536" i="11"/>
  <c r="J534" i="11"/>
  <c r="D534" i="11" s="1"/>
  <c r="F534" i="11" s="1"/>
  <c r="C534" i="11"/>
  <c r="K534" i="11" s="1"/>
  <c r="H638" i="4"/>
  <c r="I637" i="4"/>
  <c r="B637" i="4"/>
  <c r="K635" i="4"/>
  <c r="D635" i="4" s="1"/>
  <c r="E635" i="4"/>
  <c r="F635" i="4" s="1"/>
  <c r="J636" i="4"/>
  <c r="C636" i="4"/>
  <c r="B536" i="11" l="1"/>
  <c r="H537" i="11"/>
  <c r="I536" i="11"/>
  <c r="E534" i="11"/>
  <c r="J535" i="11"/>
  <c r="D535" i="11" s="1"/>
  <c r="F535" i="11" s="1"/>
  <c r="C535" i="11"/>
  <c r="K535" i="11" s="1"/>
  <c r="E535" i="11" s="1"/>
  <c r="H639" i="4"/>
  <c r="I638" i="4"/>
  <c r="B638" i="4"/>
  <c r="K636" i="4"/>
  <c r="D636" i="4" s="1"/>
  <c r="E636" i="4"/>
  <c r="F636" i="4" s="1"/>
  <c r="J637" i="4"/>
  <c r="C637" i="4"/>
  <c r="J536" i="11" l="1"/>
  <c r="D536" i="11" s="1"/>
  <c r="F536" i="11" s="1"/>
  <c r="C536" i="11"/>
  <c r="K536" i="11" s="1"/>
  <c r="E536" i="11" s="1"/>
  <c r="H538" i="11"/>
  <c r="I537" i="11"/>
  <c r="B537" i="11"/>
  <c r="C638" i="4"/>
  <c r="J638" i="4"/>
  <c r="E637" i="4"/>
  <c r="F637" i="4" s="1"/>
  <c r="K637" i="4"/>
  <c r="D637" i="4" s="1"/>
  <c r="B639" i="4"/>
  <c r="I639" i="4"/>
  <c r="H640" i="4"/>
  <c r="I538" i="11" l="1"/>
  <c r="B538" i="11"/>
  <c r="H539" i="11"/>
  <c r="C537" i="11"/>
  <c r="K537" i="11" s="1"/>
  <c r="J537" i="11"/>
  <c r="D537" i="11" s="1"/>
  <c r="F537" i="11" s="1"/>
  <c r="C639" i="4"/>
  <c r="J639" i="4"/>
  <c r="K638" i="4"/>
  <c r="D638" i="4" s="1"/>
  <c r="E638" i="4"/>
  <c r="F638" i="4" s="1"/>
  <c r="B640" i="4"/>
  <c r="H641" i="4"/>
  <c r="I640" i="4"/>
  <c r="H540" i="11" l="1"/>
  <c r="I539" i="11"/>
  <c r="B539" i="11"/>
  <c r="J538" i="11"/>
  <c r="D538" i="11" s="1"/>
  <c r="F538" i="11" s="1"/>
  <c r="C538" i="11"/>
  <c r="K538" i="11" s="1"/>
  <c r="E538" i="11" s="1"/>
  <c r="E537" i="11"/>
  <c r="H642" i="4"/>
  <c r="I641" i="4"/>
  <c r="B641" i="4"/>
  <c r="K639" i="4"/>
  <c r="D639" i="4" s="1"/>
  <c r="E639" i="4"/>
  <c r="F639" i="4" s="1"/>
  <c r="J640" i="4"/>
  <c r="C640" i="4"/>
  <c r="C539" i="11" l="1"/>
  <c r="K539" i="11" s="1"/>
  <c r="J539" i="11"/>
  <c r="D539" i="11" s="1"/>
  <c r="F539" i="11" s="1"/>
  <c r="B540" i="11"/>
  <c r="H541" i="11"/>
  <c r="I540" i="11"/>
  <c r="K640" i="4"/>
  <c r="D640" i="4" s="1"/>
  <c r="E640" i="4"/>
  <c r="F640" i="4" s="1"/>
  <c r="J641" i="4"/>
  <c r="C641" i="4"/>
  <c r="H643" i="4"/>
  <c r="I642" i="4"/>
  <c r="B642" i="4"/>
  <c r="J540" i="11" l="1"/>
  <c r="D540" i="11" s="1"/>
  <c r="F540" i="11" s="1"/>
  <c r="C540" i="11"/>
  <c r="K540" i="11" s="1"/>
  <c r="E540" i="11" s="1"/>
  <c r="E539" i="11"/>
  <c r="H542" i="11"/>
  <c r="I541" i="11"/>
  <c r="B541" i="11"/>
  <c r="B643" i="4"/>
  <c r="I643" i="4"/>
  <c r="H644" i="4"/>
  <c r="C642" i="4"/>
  <c r="J642" i="4"/>
  <c r="E641" i="4"/>
  <c r="F641" i="4" s="1"/>
  <c r="K641" i="4"/>
  <c r="D641" i="4" s="1"/>
  <c r="J541" i="11" l="1"/>
  <c r="D541" i="11" s="1"/>
  <c r="F541" i="11" s="1"/>
  <c r="C541" i="11"/>
  <c r="K541" i="11" s="1"/>
  <c r="E541" i="11" s="1"/>
  <c r="I542" i="11"/>
  <c r="B542" i="11"/>
  <c r="H543" i="11"/>
  <c r="K642" i="4"/>
  <c r="D642" i="4" s="1"/>
  <c r="E642" i="4"/>
  <c r="F642" i="4" s="1"/>
  <c r="B644" i="4"/>
  <c r="H645" i="4"/>
  <c r="I644" i="4"/>
  <c r="C643" i="4"/>
  <c r="J643" i="4"/>
  <c r="J542" i="11" l="1"/>
  <c r="D542" i="11" s="1"/>
  <c r="F542" i="11" s="1"/>
  <c r="C542" i="11"/>
  <c r="K542" i="11" s="1"/>
  <c r="E542" i="11" s="1"/>
  <c r="B543" i="11"/>
  <c r="H544" i="11"/>
  <c r="I543" i="11"/>
  <c r="H646" i="4"/>
  <c r="I645" i="4"/>
  <c r="B645" i="4"/>
  <c r="K643" i="4"/>
  <c r="D643" i="4" s="1"/>
  <c r="E643" i="4"/>
  <c r="F643" i="4" s="1"/>
  <c r="J644" i="4"/>
  <c r="C644" i="4"/>
  <c r="C543" i="11" l="1"/>
  <c r="K543" i="11" s="1"/>
  <c r="E543" i="11" s="1"/>
  <c r="J543" i="11"/>
  <c r="D543" i="11" s="1"/>
  <c r="F543" i="11" s="1"/>
  <c r="B544" i="11"/>
  <c r="H545" i="11"/>
  <c r="I544" i="11"/>
  <c r="K644" i="4"/>
  <c r="D644" i="4" s="1"/>
  <c r="E644" i="4"/>
  <c r="F644" i="4" s="1"/>
  <c r="J645" i="4"/>
  <c r="C645" i="4"/>
  <c r="H647" i="4"/>
  <c r="I646" i="4"/>
  <c r="B646" i="4"/>
  <c r="C544" i="11" l="1"/>
  <c r="K544" i="11" s="1"/>
  <c r="J544" i="11"/>
  <c r="D544" i="11" s="1"/>
  <c r="F544" i="11" s="1"/>
  <c r="B545" i="11"/>
  <c r="H546" i="11"/>
  <c r="I545" i="11"/>
  <c r="C646" i="4"/>
  <c r="J646" i="4"/>
  <c r="B647" i="4"/>
  <c r="H648" i="4"/>
  <c r="I647" i="4"/>
  <c r="E645" i="4"/>
  <c r="F645" i="4" s="1"/>
  <c r="K645" i="4"/>
  <c r="D645" i="4" s="1"/>
  <c r="H547" i="11" l="1"/>
  <c r="I546" i="11"/>
  <c r="B546" i="11"/>
  <c r="J545" i="11"/>
  <c r="D545" i="11" s="1"/>
  <c r="F545" i="11" s="1"/>
  <c r="C545" i="11"/>
  <c r="K545" i="11" s="1"/>
  <c r="E545" i="11" s="1"/>
  <c r="E544" i="11"/>
  <c r="C647" i="4"/>
  <c r="J647" i="4"/>
  <c r="K646" i="4"/>
  <c r="D646" i="4" s="1"/>
  <c r="E646" i="4"/>
  <c r="F646" i="4" s="1"/>
  <c r="B648" i="4"/>
  <c r="H649" i="4"/>
  <c r="I648" i="4"/>
  <c r="C546" i="11" l="1"/>
  <c r="K546" i="11" s="1"/>
  <c r="J546" i="11"/>
  <c r="D546" i="11" s="1"/>
  <c r="F546" i="11" s="1"/>
  <c r="I547" i="11"/>
  <c r="B547" i="11"/>
  <c r="H548" i="11"/>
  <c r="H650" i="4"/>
  <c r="I649" i="4"/>
  <c r="B649" i="4"/>
  <c r="J648" i="4"/>
  <c r="C648" i="4"/>
  <c r="K647" i="4"/>
  <c r="D647" i="4" s="1"/>
  <c r="E647" i="4"/>
  <c r="F647" i="4" s="1"/>
  <c r="C547" i="11" l="1"/>
  <c r="K547" i="11" s="1"/>
  <c r="J547" i="11"/>
  <c r="D547" i="11" s="1"/>
  <c r="F547" i="11" s="1"/>
  <c r="I548" i="11"/>
  <c r="B548" i="11"/>
  <c r="H549" i="11"/>
  <c r="E546" i="11"/>
  <c r="K648" i="4"/>
  <c r="D648" i="4" s="1"/>
  <c r="E648" i="4"/>
  <c r="F648" i="4" s="1"/>
  <c r="J649" i="4"/>
  <c r="C649" i="4"/>
  <c r="H651" i="4"/>
  <c r="I650" i="4"/>
  <c r="B650" i="4"/>
  <c r="C548" i="11" l="1"/>
  <c r="K548" i="11" s="1"/>
  <c r="J548" i="11"/>
  <c r="D548" i="11" s="1"/>
  <c r="F548" i="11" s="1"/>
  <c r="H550" i="11"/>
  <c r="I549" i="11"/>
  <c r="B549" i="11"/>
  <c r="E547" i="11"/>
  <c r="E649" i="4"/>
  <c r="F649" i="4" s="1"/>
  <c r="K649" i="4"/>
  <c r="D649" i="4" s="1"/>
  <c r="C650" i="4"/>
  <c r="J650" i="4"/>
  <c r="B651" i="4"/>
  <c r="H652" i="4"/>
  <c r="I651" i="4"/>
  <c r="I550" i="11" l="1"/>
  <c r="B550" i="11"/>
  <c r="H551" i="11"/>
  <c r="E548" i="11"/>
  <c r="C549" i="11"/>
  <c r="K549" i="11" s="1"/>
  <c r="J549" i="11"/>
  <c r="D549" i="11" s="1"/>
  <c r="F549" i="11" s="1"/>
  <c r="K650" i="4"/>
  <c r="D650" i="4" s="1"/>
  <c r="E650" i="4"/>
  <c r="F650" i="4" s="1"/>
  <c r="C651" i="4"/>
  <c r="J651" i="4"/>
  <c r="B652" i="4"/>
  <c r="H653" i="4"/>
  <c r="I652" i="4"/>
  <c r="I551" i="11" l="1"/>
  <c r="B551" i="11"/>
  <c r="H552" i="11"/>
  <c r="E549" i="11"/>
  <c r="C550" i="11"/>
  <c r="K550" i="11" s="1"/>
  <c r="J550" i="11"/>
  <c r="D550" i="11" s="1"/>
  <c r="F550" i="11" s="1"/>
  <c r="H654" i="4"/>
  <c r="I653" i="4"/>
  <c r="B653" i="4"/>
  <c r="J652" i="4"/>
  <c r="C652" i="4"/>
  <c r="K651" i="4"/>
  <c r="D651" i="4" s="1"/>
  <c r="E651" i="4"/>
  <c r="F651" i="4" s="1"/>
  <c r="E550" i="11" l="1"/>
  <c r="J551" i="11"/>
  <c r="D551" i="11" s="1"/>
  <c r="F551" i="11" s="1"/>
  <c r="C551" i="11"/>
  <c r="K551" i="11" s="1"/>
  <c r="E551" i="11" s="1"/>
  <c r="H553" i="11"/>
  <c r="I552" i="11"/>
  <c r="B552" i="11"/>
  <c r="J653" i="4"/>
  <c r="C653" i="4"/>
  <c r="K652" i="4"/>
  <c r="D652" i="4" s="1"/>
  <c r="E652" i="4"/>
  <c r="F652" i="4" s="1"/>
  <c r="H655" i="4"/>
  <c r="I654" i="4"/>
  <c r="B654" i="4"/>
  <c r="C552" i="11" l="1"/>
  <c r="K552" i="11" s="1"/>
  <c r="J552" i="11"/>
  <c r="D552" i="11" s="1"/>
  <c r="F552" i="11" s="1"/>
  <c r="B553" i="11"/>
  <c r="H554" i="11"/>
  <c r="I553" i="11"/>
  <c r="C654" i="4"/>
  <c r="J654" i="4"/>
  <c r="E653" i="4"/>
  <c r="F653" i="4" s="1"/>
  <c r="K653" i="4"/>
  <c r="D653" i="4" s="1"/>
  <c r="B655" i="4"/>
  <c r="I655" i="4"/>
  <c r="H656" i="4"/>
  <c r="J553" i="11" l="1"/>
  <c r="D553" i="11" s="1"/>
  <c r="F553" i="11" s="1"/>
  <c r="C553" i="11"/>
  <c r="K553" i="11" s="1"/>
  <c r="E553" i="11" s="1"/>
  <c r="E552" i="11"/>
  <c r="H555" i="11"/>
  <c r="I554" i="11"/>
  <c r="B554" i="11"/>
  <c r="C655" i="4"/>
  <c r="J655" i="4"/>
  <c r="K654" i="4"/>
  <c r="D654" i="4" s="1"/>
  <c r="E654" i="4"/>
  <c r="F654" i="4" s="1"/>
  <c r="B656" i="4"/>
  <c r="H657" i="4"/>
  <c r="I656" i="4"/>
  <c r="J554" i="11" l="1"/>
  <c r="D554" i="11" s="1"/>
  <c r="F554" i="11" s="1"/>
  <c r="C554" i="11"/>
  <c r="K554" i="11" s="1"/>
  <c r="E554" i="11" s="1"/>
  <c r="H556" i="11"/>
  <c r="I555" i="11"/>
  <c r="B555" i="11"/>
  <c r="H658" i="4"/>
  <c r="I657" i="4"/>
  <c r="B657" i="4"/>
  <c r="J656" i="4"/>
  <c r="C656" i="4"/>
  <c r="K655" i="4"/>
  <c r="D655" i="4" s="1"/>
  <c r="E655" i="4"/>
  <c r="F655" i="4" s="1"/>
  <c r="H557" i="11" l="1"/>
  <c r="I556" i="11"/>
  <c r="B556" i="11"/>
  <c r="C555" i="11"/>
  <c r="K555" i="11" s="1"/>
  <c r="J555" i="11"/>
  <c r="D555" i="11" s="1"/>
  <c r="F555" i="11" s="1"/>
  <c r="J657" i="4"/>
  <c r="C657" i="4"/>
  <c r="K656" i="4"/>
  <c r="D656" i="4" s="1"/>
  <c r="E656" i="4"/>
  <c r="F656" i="4" s="1"/>
  <c r="H659" i="4"/>
  <c r="I658" i="4"/>
  <c r="B658" i="4"/>
  <c r="J556" i="11" l="1"/>
  <c r="D556" i="11" s="1"/>
  <c r="F556" i="11" s="1"/>
  <c r="C556" i="11"/>
  <c r="K556" i="11" s="1"/>
  <c r="E556" i="11" s="1"/>
  <c r="H558" i="11"/>
  <c r="B557" i="11"/>
  <c r="I557" i="11"/>
  <c r="E555" i="11"/>
  <c r="C658" i="4"/>
  <c r="J658" i="4"/>
  <c r="E657" i="4"/>
  <c r="F657" i="4" s="1"/>
  <c r="K657" i="4"/>
  <c r="D657" i="4" s="1"/>
  <c r="B659" i="4"/>
  <c r="I659" i="4"/>
  <c r="H660" i="4"/>
  <c r="B558" i="11" l="1"/>
  <c r="H559" i="11"/>
  <c r="I558" i="11"/>
  <c r="J557" i="11"/>
  <c r="D557" i="11" s="1"/>
  <c r="F557" i="11" s="1"/>
  <c r="C557" i="11"/>
  <c r="K557" i="11" s="1"/>
  <c r="E557" i="11" s="1"/>
  <c r="B660" i="4"/>
  <c r="H661" i="4"/>
  <c r="I660" i="4"/>
  <c r="K658" i="4"/>
  <c r="D658" i="4" s="1"/>
  <c r="E658" i="4"/>
  <c r="F658" i="4" s="1"/>
  <c r="C659" i="4"/>
  <c r="J659" i="4"/>
  <c r="C558" i="11" l="1"/>
  <c r="K558" i="11" s="1"/>
  <c r="J558" i="11"/>
  <c r="D558" i="11" s="1"/>
  <c r="F558" i="11" s="1"/>
  <c r="B559" i="11"/>
  <c r="I559" i="11"/>
  <c r="H560" i="11"/>
  <c r="K659" i="4"/>
  <c r="D659" i="4" s="1"/>
  <c r="E659" i="4"/>
  <c r="F659" i="4" s="1"/>
  <c r="J660" i="4"/>
  <c r="C660" i="4"/>
  <c r="H662" i="4"/>
  <c r="I661" i="4"/>
  <c r="B661" i="4"/>
  <c r="H561" i="11" l="1"/>
  <c r="I560" i="11"/>
  <c r="B560" i="11"/>
  <c r="E558" i="11"/>
  <c r="J559" i="11"/>
  <c r="D559" i="11" s="1"/>
  <c r="F559" i="11" s="1"/>
  <c r="C559" i="11"/>
  <c r="K559" i="11" s="1"/>
  <c r="E559" i="11" s="1"/>
  <c r="K660" i="4"/>
  <c r="D660" i="4" s="1"/>
  <c r="E660" i="4"/>
  <c r="F660" i="4" s="1"/>
  <c r="J661" i="4"/>
  <c r="C661" i="4"/>
  <c r="H663" i="4"/>
  <c r="I662" i="4"/>
  <c r="B662" i="4"/>
  <c r="C560" i="11" l="1"/>
  <c r="K560" i="11" s="1"/>
  <c r="J560" i="11"/>
  <c r="D560" i="11" s="1"/>
  <c r="F560" i="11" s="1"/>
  <c r="H562" i="11"/>
  <c r="I561" i="11"/>
  <c r="B561" i="11"/>
  <c r="C662" i="4"/>
  <c r="J662" i="4"/>
  <c r="E661" i="4"/>
  <c r="F661" i="4" s="1"/>
  <c r="K661" i="4"/>
  <c r="D661" i="4" s="1"/>
  <c r="B663" i="4"/>
  <c r="H664" i="4"/>
  <c r="I663" i="4"/>
  <c r="E560" i="11" l="1"/>
  <c r="C561" i="11"/>
  <c r="K561" i="11" s="1"/>
  <c r="J561" i="11"/>
  <c r="D561" i="11" s="1"/>
  <c r="F561" i="11" s="1"/>
  <c r="H563" i="11"/>
  <c r="I562" i="11"/>
  <c r="B562" i="11"/>
  <c r="B664" i="4"/>
  <c r="H665" i="4"/>
  <c r="I664" i="4"/>
  <c r="K662" i="4"/>
  <c r="D662" i="4" s="1"/>
  <c r="E662" i="4"/>
  <c r="F662" i="4" s="1"/>
  <c r="C663" i="4"/>
  <c r="J663" i="4"/>
  <c r="J562" i="11" l="1"/>
  <c r="D562" i="11" s="1"/>
  <c r="F562" i="11" s="1"/>
  <c r="C562" i="11"/>
  <c r="K562" i="11" s="1"/>
  <c r="E562" i="11" s="1"/>
  <c r="H564" i="11"/>
  <c r="I563" i="11"/>
  <c r="B563" i="11"/>
  <c r="E561" i="11"/>
  <c r="H666" i="4"/>
  <c r="I665" i="4"/>
  <c r="B665" i="4"/>
  <c r="K663" i="4"/>
  <c r="D663" i="4" s="1"/>
  <c r="E663" i="4"/>
  <c r="F663" i="4" s="1"/>
  <c r="J664" i="4"/>
  <c r="C664" i="4"/>
  <c r="I564" i="11" l="1"/>
  <c r="B564" i="11"/>
  <c r="H565" i="11"/>
  <c r="J563" i="11"/>
  <c r="D563" i="11" s="1"/>
  <c r="F563" i="11" s="1"/>
  <c r="C563" i="11"/>
  <c r="K563" i="11" s="1"/>
  <c r="E563" i="11" s="1"/>
  <c r="J665" i="4"/>
  <c r="C665" i="4"/>
  <c r="K664" i="4"/>
  <c r="D664" i="4" s="1"/>
  <c r="E664" i="4"/>
  <c r="F664" i="4" s="1"/>
  <c r="H667" i="4"/>
  <c r="I666" i="4"/>
  <c r="B666" i="4"/>
  <c r="J564" i="11" l="1"/>
  <c r="D564" i="11" s="1"/>
  <c r="F564" i="11" s="1"/>
  <c r="C564" i="11"/>
  <c r="K564" i="11" s="1"/>
  <c r="E564" i="11" s="1"/>
  <c r="B565" i="11"/>
  <c r="H566" i="11"/>
  <c r="I565" i="11"/>
  <c r="C666" i="4"/>
  <c r="J666" i="4"/>
  <c r="E665" i="4"/>
  <c r="F665" i="4" s="1"/>
  <c r="K665" i="4"/>
  <c r="D665" i="4" s="1"/>
  <c r="B667" i="4"/>
  <c r="H668" i="4"/>
  <c r="I667" i="4"/>
  <c r="C565" i="11" l="1"/>
  <c r="K565" i="11" s="1"/>
  <c r="J565" i="11"/>
  <c r="D565" i="11" s="1"/>
  <c r="F565" i="11" s="1"/>
  <c r="I566" i="11"/>
  <c r="B566" i="11"/>
  <c r="H567" i="11"/>
  <c r="C667" i="4"/>
  <c r="J667" i="4"/>
  <c r="B668" i="4"/>
  <c r="H669" i="4"/>
  <c r="I668" i="4"/>
  <c r="K666" i="4"/>
  <c r="D666" i="4" s="1"/>
  <c r="E666" i="4"/>
  <c r="F666" i="4" s="1"/>
  <c r="J566" i="11" l="1"/>
  <c r="D566" i="11" s="1"/>
  <c r="F566" i="11" s="1"/>
  <c r="C566" i="11"/>
  <c r="K566" i="11" s="1"/>
  <c r="E566" i="11" s="1"/>
  <c r="H568" i="11"/>
  <c r="I567" i="11"/>
  <c r="B567" i="11"/>
  <c r="E565" i="11"/>
  <c r="J668" i="4"/>
  <c r="C668" i="4"/>
  <c r="H670" i="4"/>
  <c r="I669" i="4"/>
  <c r="B669" i="4"/>
  <c r="K667" i="4"/>
  <c r="D667" i="4" s="1"/>
  <c r="E667" i="4"/>
  <c r="F667" i="4" s="1"/>
  <c r="J567" i="11" l="1"/>
  <c r="D567" i="11" s="1"/>
  <c r="F567" i="11" s="1"/>
  <c r="C567" i="11"/>
  <c r="K567" i="11" s="1"/>
  <c r="E567" i="11" s="1"/>
  <c r="H569" i="11"/>
  <c r="I568" i="11"/>
  <c r="B568" i="11"/>
  <c r="H671" i="4"/>
  <c r="I670" i="4"/>
  <c r="B670" i="4"/>
  <c r="K668" i="4"/>
  <c r="D668" i="4" s="1"/>
  <c r="E668" i="4"/>
  <c r="F668" i="4" s="1"/>
  <c r="J669" i="4"/>
  <c r="C669" i="4"/>
  <c r="I569" i="11" l="1"/>
  <c r="B569" i="11"/>
  <c r="H570" i="11"/>
  <c r="C568" i="11"/>
  <c r="K568" i="11" s="1"/>
  <c r="J568" i="11"/>
  <c r="D568" i="11" s="1"/>
  <c r="F568" i="11" s="1"/>
  <c r="E669" i="4"/>
  <c r="F669" i="4" s="1"/>
  <c r="K669" i="4"/>
  <c r="D669" i="4" s="1"/>
  <c r="C670" i="4"/>
  <c r="J670" i="4"/>
  <c r="B671" i="4"/>
  <c r="I671" i="4"/>
  <c r="H672" i="4"/>
  <c r="H571" i="11" l="1"/>
  <c r="I570" i="11"/>
  <c r="B570" i="11"/>
  <c r="C569" i="11"/>
  <c r="K569" i="11" s="1"/>
  <c r="J569" i="11"/>
  <c r="D569" i="11" s="1"/>
  <c r="F569" i="11" s="1"/>
  <c r="E568" i="11"/>
  <c r="B672" i="4"/>
  <c r="H673" i="4"/>
  <c r="I672" i="4"/>
  <c r="C671" i="4"/>
  <c r="J671" i="4"/>
  <c r="K670" i="4"/>
  <c r="D670" i="4" s="1"/>
  <c r="E670" i="4"/>
  <c r="F670" i="4" s="1"/>
  <c r="C570" i="11" l="1"/>
  <c r="K570" i="11" s="1"/>
  <c r="J570" i="11"/>
  <c r="D570" i="11" s="1"/>
  <c r="F570" i="11" s="1"/>
  <c r="B571" i="11"/>
  <c r="H572" i="11"/>
  <c r="I571" i="11"/>
  <c r="E569" i="11"/>
  <c r="J672" i="4"/>
  <c r="C672" i="4"/>
  <c r="H674" i="4"/>
  <c r="I673" i="4"/>
  <c r="B673" i="4"/>
  <c r="K671" i="4"/>
  <c r="D671" i="4" s="1"/>
  <c r="E671" i="4"/>
  <c r="F671" i="4" s="1"/>
  <c r="B572" i="11" l="1"/>
  <c r="H573" i="11"/>
  <c r="I572" i="11"/>
  <c r="C571" i="11"/>
  <c r="K571" i="11" s="1"/>
  <c r="J571" i="11"/>
  <c r="D571" i="11" s="1"/>
  <c r="F571" i="11" s="1"/>
  <c r="E570" i="11"/>
  <c r="H675" i="4"/>
  <c r="I674" i="4"/>
  <c r="B674" i="4"/>
  <c r="K672" i="4"/>
  <c r="D672" i="4" s="1"/>
  <c r="E672" i="4"/>
  <c r="F672" i="4" s="1"/>
  <c r="J673" i="4"/>
  <c r="C673" i="4"/>
  <c r="B573" i="11" l="1"/>
  <c r="H574" i="11"/>
  <c r="I573" i="11"/>
  <c r="E571" i="11"/>
  <c r="C572" i="11"/>
  <c r="K572" i="11" s="1"/>
  <c r="J572" i="11"/>
  <c r="D572" i="11" s="1"/>
  <c r="F572" i="11" s="1"/>
  <c r="E673" i="4"/>
  <c r="F673" i="4" s="1"/>
  <c r="K673" i="4"/>
  <c r="D673" i="4" s="1"/>
  <c r="C674" i="4"/>
  <c r="J674" i="4"/>
  <c r="B675" i="4"/>
  <c r="I675" i="4"/>
  <c r="H676" i="4"/>
  <c r="C573" i="11" l="1"/>
  <c r="K573" i="11" s="1"/>
  <c r="J573" i="11"/>
  <c r="D573" i="11" s="1"/>
  <c r="F573" i="11" s="1"/>
  <c r="B574" i="11"/>
  <c r="H575" i="11"/>
  <c r="I574" i="11"/>
  <c r="E572" i="11"/>
  <c r="B676" i="4"/>
  <c r="H677" i="4"/>
  <c r="I676" i="4"/>
  <c r="K674" i="4"/>
  <c r="D674" i="4" s="1"/>
  <c r="E674" i="4"/>
  <c r="F674" i="4" s="1"/>
  <c r="C675" i="4"/>
  <c r="J675" i="4"/>
  <c r="J574" i="11" l="1"/>
  <c r="D574" i="11" s="1"/>
  <c r="F574" i="11" s="1"/>
  <c r="C574" i="11"/>
  <c r="K574" i="11" s="1"/>
  <c r="E574" i="11" s="1"/>
  <c r="E573" i="11"/>
  <c r="I575" i="11"/>
  <c r="H576" i="11"/>
  <c r="B575" i="11"/>
  <c r="K675" i="4"/>
  <c r="D675" i="4" s="1"/>
  <c r="E675" i="4"/>
  <c r="F675" i="4" s="1"/>
  <c r="H678" i="4"/>
  <c r="I677" i="4"/>
  <c r="B677" i="4"/>
  <c r="J676" i="4"/>
  <c r="C676" i="4"/>
  <c r="H577" i="11" l="1"/>
  <c r="I576" i="11"/>
  <c r="B576" i="11"/>
  <c r="J575" i="11"/>
  <c r="D575" i="11" s="1"/>
  <c r="F575" i="11" s="1"/>
  <c r="C575" i="11"/>
  <c r="K575" i="11" s="1"/>
  <c r="E575" i="11" s="1"/>
  <c r="J677" i="4"/>
  <c r="C677" i="4"/>
  <c r="H679" i="4"/>
  <c r="I678" i="4"/>
  <c r="B678" i="4"/>
  <c r="K676" i="4"/>
  <c r="D676" i="4" s="1"/>
  <c r="E676" i="4"/>
  <c r="F676" i="4" s="1"/>
  <c r="H578" i="11" l="1"/>
  <c r="B577" i="11"/>
  <c r="I577" i="11"/>
  <c r="J576" i="11"/>
  <c r="D576" i="11" s="1"/>
  <c r="F576" i="11" s="1"/>
  <c r="C576" i="11"/>
  <c r="K576" i="11" s="1"/>
  <c r="E576" i="11" s="1"/>
  <c r="C678" i="4"/>
  <c r="J678" i="4"/>
  <c r="H680" i="4"/>
  <c r="B679" i="4"/>
  <c r="I679" i="4"/>
  <c r="E677" i="4"/>
  <c r="F677" i="4" s="1"/>
  <c r="K677" i="4"/>
  <c r="D677" i="4" s="1"/>
  <c r="J577" i="11" l="1"/>
  <c r="D577" i="11" s="1"/>
  <c r="F577" i="11" s="1"/>
  <c r="C577" i="11"/>
  <c r="K577" i="11" s="1"/>
  <c r="E577" i="11" s="1"/>
  <c r="B578" i="11"/>
  <c r="H579" i="11"/>
  <c r="I578" i="11"/>
  <c r="C679" i="4"/>
  <c r="J679" i="4"/>
  <c r="B680" i="4"/>
  <c r="H681" i="4"/>
  <c r="I680" i="4"/>
  <c r="K678" i="4"/>
  <c r="D678" i="4" s="1"/>
  <c r="E678" i="4"/>
  <c r="F678" i="4" s="1"/>
  <c r="J578" i="11" l="1"/>
  <c r="D578" i="11" s="1"/>
  <c r="F578" i="11" s="1"/>
  <c r="C578" i="11"/>
  <c r="K578" i="11" s="1"/>
  <c r="E578" i="11" s="1"/>
  <c r="B579" i="11"/>
  <c r="H580" i="11"/>
  <c r="I579" i="11"/>
  <c r="J680" i="4"/>
  <c r="C680" i="4"/>
  <c r="B681" i="4"/>
  <c r="H682" i="4"/>
  <c r="I681" i="4"/>
  <c r="K679" i="4"/>
  <c r="D679" i="4" s="1"/>
  <c r="E679" i="4"/>
  <c r="F679" i="4" s="1"/>
  <c r="J579" i="11" l="1"/>
  <c r="D579" i="11" s="1"/>
  <c r="F579" i="11" s="1"/>
  <c r="C579" i="11"/>
  <c r="K579" i="11" s="1"/>
  <c r="E579" i="11" s="1"/>
  <c r="H581" i="11"/>
  <c r="I580" i="11"/>
  <c r="B580" i="11"/>
  <c r="J681" i="4"/>
  <c r="C681" i="4"/>
  <c r="K680" i="4"/>
  <c r="D680" i="4" s="1"/>
  <c r="E680" i="4"/>
  <c r="F680" i="4" s="1"/>
  <c r="H683" i="4"/>
  <c r="I682" i="4"/>
  <c r="B682" i="4"/>
  <c r="I581" i="11" l="1"/>
  <c r="B581" i="11"/>
  <c r="H582" i="11"/>
  <c r="C580" i="11"/>
  <c r="K580" i="11" s="1"/>
  <c r="J580" i="11"/>
  <c r="D580" i="11" s="1"/>
  <c r="F580" i="11" s="1"/>
  <c r="J682" i="4"/>
  <c r="C682" i="4"/>
  <c r="H684" i="4"/>
  <c r="I683" i="4"/>
  <c r="B683" i="4"/>
  <c r="K681" i="4"/>
  <c r="D681" i="4" s="1"/>
  <c r="E681" i="4"/>
  <c r="F681" i="4" s="1"/>
  <c r="J581" i="11" l="1"/>
  <c r="D581" i="11" s="1"/>
  <c r="F581" i="11" s="1"/>
  <c r="C581" i="11"/>
  <c r="K581" i="11" s="1"/>
  <c r="E581" i="11" s="1"/>
  <c r="E580" i="11"/>
  <c r="B582" i="11"/>
  <c r="H583" i="11"/>
  <c r="I582" i="11"/>
  <c r="E682" i="4"/>
  <c r="F682" i="4" s="1"/>
  <c r="K682" i="4"/>
  <c r="D682" i="4" s="1"/>
  <c r="B684" i="4"/>
  <c r="H685" i="4"/>
  <c r="I684" i="4"/>
  <c r="C683" i="4"/>
  <c r="J683" i="4"/>
  <c r="B583" i="11" l="1"/>
  <c r="H584" i="11"/>
  <c r="I583" i="11"/>
  <c r="J582" i="11"/>
  <c r="D582" i="11" s="1"/>
  <c r="F582" i="11" s="1"/>
  <c r="C582" i="11"/>
  <c r="K582" i="11" s="1"/>
  <c r="E582" i="11" s="1"/>
  <c r="K683" i="4"/>
  <c r="D683" i="4" s="1"/>
  <c r="E683" i="4"/>
  <c r="F683" i="4" s="1"/>
  <c r="C684" i="4"/>
  <c r="J684" i="4"/>
  <c r="B685" i="4"/>
  <c r="H686" i="4"/>
  <c r="I685" i="4"/>
  <c r="H585" i="11" l="1"/>
  <c r="I584" i="11"/>
  <c r="B584" i="11"/>
  <c r="J583" i="11"/>
  <c r="D583" i="11" s="1"/>
  <c r="F583" i="11" s="1"/>
  <c r="C583" i="11"/>
  <c r="K583" i="11" s="1"/>
  <c r="E583" i="11" s="1"/>
  <c r="J685" i="4"/>
  <c r="C685" i="4"/>
  <c r="H687" i="4"/>
  <c r="I686" i="4"/>
  <c r="B686" i="4"/>
  <c r="K684" i="4"/>
  <c r="D684" i="4" s="1"/>
  <c r="E684" i="4"/>
  <c r="F684" i="4" s="1"/>
  <c r="B585" i="11" l="1"/>
  <c r="H586" i="11"/>
  <c r="I585" i="11"/>
  <c r="C584" i="11"/>
  <c r="K584" i="11" s="1"/>
  <c r="J584" i="11"/>
  <c r="D584" i="11" s="1"/>
  <c r="F584" i="11" s="1"/>
  <c r="H688" i="4"/>
  <c r="I687" i="4"/>
  <c r="B687" i="4"/>
  <c r="K685" i="4"/>
  <c r="D685" i="4" s="1"/>
  <c r="E685" i="4"/>
  <c r="F685" i="4" s="1"/>
  <c r="J686" i="4"/>
  <c r="C686" i="4"/>
  <c r="C585" i="11" l="1"/>
  <c r="K585" i="11" s="1"/>
  <c r="J585" i="11"/>
  <c r="D585" i="11" s="1"/>
  <c r="F585" i="11" s="1"/>
  <c r="B586" i="11"/>
  <c r="H587" i="11"/>
  <c r="I586" i="11"/>
  <c r="E584" i="11"/>
  <c r="E686" i="4"/>
  <c r="F686" i="4" s="1"/>
  <c r="K686" i="4"/>
  <c r="D686" i="4" s="1"/>
  <c r="C687" i="4"/>
  <c r="J687" i="4"/>
  <c r="B688" i="4"/>
  <c r="I688" i="4"/>
  <c r="H689" i="4"/>
  <c r="H588" i="11" l="1"/>
  <c r="I587" i="11"/>
  <c r="B587" i="11"/>
  <c r="J586" i="11"/>
  <c r="D586" i="11" s="1"/>
  <c r="F586" i="11" s="1"/>
  <c r="C586" i="11"/>
  <c r="K586" i="11" s="1"/>
  <c r="E586" i="11" s="1"/>
  <c r="E585" i="11"/>
  <c r="B689" i="4"/>
  <c r="H690" i="4"/>
  <c r="I689" i="4"/>
  <c r="E687" i="4"/>
  <c r="F687" i="4" s="1"/>
  <c r="K687" i="4"/>
  <c r="D687" i="4" s="1"/>
  <c r="C688" i="4"/>
  <c r="J688" i="4"/>
  <c r="J587" i="11" l="1"/>
  <c r="D587" i="11" s="1"/>
  <c r="F587" i="11" s="1"/>
  <c r="C587" i="11"/>
  <c r="K587" i="11" s="1"/>
  <c r="E587" i="11" s="1"/>
  <c r="B588" i="11"/>
  <c r="I588" i="11"/>
  <c r="K688" i="4"/>
  <c r="D688" i="4" s="1"/>
  <c r="E688" i="4"/>
  <c r="F688" i="4" s="1"/>
  <c r="H691" i="4"/>
  <c r="I690" i="4"/>
  <c r="B690" i="4"/>
  <c r="J689" i="4"/>
  <c r="C689" i="4"/>
  <c r="J588" i="11" l="1"/>
  <c r="D588" i="11" s="1"/>
  <c r="F588" i="11" s="1"/>
  <c r="C588" i="11"/>
  <c r="K588" i="11" s="1"/>
  <c r="E588" i="11" s="1"/>
  <c r="J690" i="4"/>
  <c r="C690" i="4"/>
  <c r="H692" i="4"/>
  <c r="I691" i="4"/>
  <c r="B691" i="4"/>
  <c r="K689" i="4"/>
  <c r="D689" i="4" s="1"/>
  <c r="E689" i="4"/>
  <c r="F689" i="4" s="1"/>
  <c r="B692" i="4" l="1"/>
  <c r="H693" i="4"/>
  <c r="I692" i="4"/>
  <c r="C691" i="4"/>
  <c r="J691" i="4"/>
  <c r="E690" i="4"/>
  <c r="F690" i="4" s="1"/>
  <c r="K690" i="4"/>
  <c r="D690" i="4" s="1"/>
  <c r="B693" i="4" l="1"/>
  <c r="H694" i="4"/>
  <c r="I693" i="4"/>
  <c r="C692" i="4"/>
  <c r="J692" i="4"/>
  <c r="K691" i="4"/>
  <c r="D691" i="4" s="1"/>
  <c r="E691" i="4"/>
  <c r="F691" i="4" s="1"/>
  <c r="H695" i="4" l="1"/>
  <c r="I694" i="4"/>
  <c r="B694" i="4"/>
  <c r="J693" i="4"/>
  <c r="C693" i="4"/>
  <c r="K692" i="4"/>
  <c r="D692" i="4" s="1"/>
  <c r="E692" i="4"/>
  <c r="F692" i="4" s="1"/>
  <c r="K693" i="4" l="1"/>
  <c r="D693" i="4" s="1"/>
  <c r="E693" i="4"/>
  <c r="F693" i="4" s="1"/>
  <c r="J694" i="4"/>
  <c r="C694" i="4"/>
  <c r="H696" i="4"/>
  <c r="I695" i="4"/>
  <c r="B695" i="4"/>
  <c r="C695" i="4" l="1"/>
  <c r="J695" i="4"/>
  <c r="E694" i="4"/>
  <c r="F694" i="4" s="1"/>
  <c r="K694" i="4"/>
  <c r="D694" i="4" s="1"/>
  <c r="B696" i="4"/>
  <c r="H697" i="4"/>
  <c r="I696" i="4"/>
  <c r="C696" i="4" l="1"/>
  <c r="J696" i="4"/>
  <c r="B697" i="4"/>
  <c r="H698" i="4"/>
  <c r="I697" i="4"/>
  <c r="E695" i="4"/>
  <c r="F695" i="4" s="1"/>
  <c r="K695" i="4"/>
  <c r="D695" i="4" s="1"/>
  <c r="H699" i="4" l="1"/>
  <c r="I698" i="4"/>
  <c r="B698" i="4"/>
  <c r="K696" i="4"/>
  <c r="D696" i="4" s="1"/>
  <c r="E696" i="4"/>
  <c r="F696" i="4" s="1"/>
  <c r="J697" i="4"/>
  <c r="C697" i="4"/>
  <c r="K697" i="4" l="1"/>
  <c r="D697" i="4" s="1"/>
  <c r="E697" i="4"/>
  <c r="F697" i="4" s="1"/>
  <c r="J698" i="4"/>
  <c r="C698" i="4"/>
  <c r="H700" i="4"/>
  <c r="I699" i="4"/>
  <c r="B699" i="4"/>
  <c r="E698" i="4" l="1"/>
  <c r="F698" i="4" s="1"/>
  <c r="K698" i="4"/>
  <c r="D698" i="4" s="1"/>
  <c r="C699" i="4"/>
  <c r="J699" i="4"/>
  <c r="B700" i="4"/>
  <c r="H701" i="4"/>
  <c r="I700" i="4"/>
  <c r="B701" i="4" l="1"/>
  <c r="H702" i="4"/>
  <c r="I701" i="4"/>
  <c r="K699" i="4"/>
  <c r="D699" i="4" s="1"/>
  <c r="E699" i="4"/>
  <c r="F699" i="4" s="1"/>
  <c r="C700" i="4"/>
  <c r="J700" i="4"/>
  <c r="K700" i="4" l="1"/>
  <c r="D700" i="4" s="1"/>
  <c r="E700" i="4"/>
  <c r="F700" i="4" s="1"/>
  <c r="J701" i="4"/>
  <c r="C701" i="4"/>
  <c r="H703" i="4"/>
  <c r="I702" i="4"/>
  <c r="B702" i="4"/>
  <c r="K701" i="4" l="1"/>
  <c r="D701" i="4" s="1"/>
  <c r="E701" i="4"/>
  <c r="F701" i="4" s="1"/>
  <c r="J702" i="4"/>
  <c r="C702" i="4"/>
  <c r="H704" i="4"/>
  <c r="I703" i="4"/>
  <c r="B703" i="4"/>
  <c r="E702" i="4" l="1"/>
  <c r="F702" i="4" s="1"/>
  <c r="K702" i="4"/>
  <c r="D702" i="4" s="1"/>
  <c r="C703" i="4"/>
  <c r="J703" i="4"/>
  <c r="B704" i="4"/>
  <c r="H705" i="4"/>
  <c r="I704" i="4"/>
  <c r="C704" i="4" l="1"/>
  <c r="J704" i="4"/>
  <c r="E703" i="4"/>
  <c r="F703" i="4" s="1"/>
  <c r="K703" i="4"/>
  <c r="D703" i="4" s="1"/>
  <c r="B705" i="4"/>
  <c r="H706" i="4"/>
  <c r="I705" i="4"/>
  <c r="H707" i="4" l="1"/>
  <c r="I706" i="4"/>
  <c r="B706" i="4"/>
  <c r="K704" i="4"/>
  <c r="D704" i="4" s="1"/>
  <c r="E704" i="4"/>
  <c r="F704" i="4" s="1"/>
  <c r="J705" i="4"/>
  <c r="C705" i="4"/>
  <c r="K705" i="4" l="1"/>
  <c r="D705" i="4" s="1"/>
  <c r="E705" i="4"/>
  <c r="F705" i="4" s="1"/>
  <c r="J706" i="4"/>
  <c r="C706" i="4"/>
  <c r="H708" i="4"/>
  <c r="I707" i="4"/>
  <c r="B707" i="4"/>
  <c r="E706" i="4" l="1"/>
  <c r="F706" i="4" s="1"/>
  <c r="K706" i="4"/>
  <c r="D706" i="4" s="1"/>
  <c r="C707" i="4"/>
  <c r="J707" i="4"/>
  <c r="B708" i="4"/>
  <c r="H709" i="4"/>
  <c r="I708" i="4"/>
  <c r="B709" i="4" l="1"/>
  <c r="H710" i="4"/>
  <c r="I709" i="4"/>
  <c r="K707" i="4"/>
  <c r="D707" i="4" s="1"/>
  <c r="E707" i="4"/>
  <c r="F707" i="4" s="1"/>
  <c r="C708" i="4"/>
  <c r="J708" i="4"/>
  <c r="H711" i="4" l="1"/>
  <c r="I710" i="4"/>
  <c r="B710" i="4"/>
  <c r="K708" i="4"/>
  <c r="D708" i="4" s="1"/>
  <c r="E708" i="4"/>
  <c r="F708" i="4" s="1"/>
  <c r="J709" i="4"/>
  <c r="C709" i="4"/>
  <c r="K709" i="4" l="1"/>
  <c r="D709" i="4" s="1"/>
  <c r="E709" i="4"/>
  <c r="F709" i="4" s="1"/>
  <c r="J710" i="4"/>
  <c r="C710" i="4"/>
  <c r="H712" i="4"/>
  <c r="I711" i="4"/>
  <c r="B711" i="4"/>
  <c r="E710" i="4" l="1"/>
  <c r="F710" i="4" s="1"/>
  <c r="K710" i="4"/>
  <c r="D710" i="4" s="1"/>
  <c r="C711" i="4"/>
  <c r="J711" i="4"/>
  <c r="B712" i="4"/>
  <c r="H713" i="4"/>
  <c r="I712" i="4"/>
  <c r="E711" i="4" l="1"/>
  <c r="F711" i="4" s="1"/>
  <c r="K711" i="4"/>
  <c r="D711" i="4" s="1"/>
  <c r="C712" i="4"/>
  <c r="J712" i="4"/>
  <c r="B713" i="4"/>
  <c r="H714" i="4"/>
  <c r="I713" i="4"/>
  <c r="H715" i="4" l="1"/>
  <c r="I714" i="4"/>
  <c r="B714" i="4"/>
  <c r="K712" i="4"/>
  <c r="D712" i="4" s="1"/>
  <c r="E712" i="4"/>
  <c r="F712" i="4" s="1"/>
  <c r="J713" i="4"/>
  <c r="C713" i="4"/>
  <c r="K713" i="4" l="1"/>
  <c r="D713" i="4" s="1"/>
  <c r="E713" i="4"/>
  <c r="F713" i="4" s="1"/>
  <c r="J714" i="4"/>
  <c r="C714" i="4"/>
  <c r="I715" i="4"/>
  <c r="B715" i="4"/>
  <c r="E714" i="4" l="1"/>
  <c r="F714" i="4" s="1"/>
  <c r="K714" i="4"/>
  <c r="D714" i="4" s="1"/>
  <c r="C715" i="4"/>
  <c r="J715" i="4"/>
  <c r="K715" i="4" l="1"/>
  <c r="D715" i="4" s="1"/>
  <c r="E715" i="4"/>
  <c r="F715" i="4" s="1"/>
</calcChain>
</file>

<file path=xl/sharedStrings.xml><?xml version="1.0" encoding="utf-8"?>
<sst xmlns="http://schemas.openxmlformats.org/spreadsheetml/2006/main" count="6565" uniqueCount="506">
  <si>
    <t>fuel_node_encar</t>
  </si>
  <si>
    <t>- vc_fl</t>
  </si>
  <si>
    <t>- erg_inp</t>
  </si>
  <si>
    <t>- erg_chp</t>
  </si>
  <si>
    <t>--&gt;</t>
  </si>
  <si>
    <t>fl_id</t>
  </si>
  <si>
    <t>nd_id</t>
  </si>
  <si>
    <t>ca_id</t>
  </si>
  <si>
    <t>erg_inp</t>
  </si>
  <si>
    <t>vc_fl</t>
  </si>
  <si>
    <t>erg_chp</t>
  </si>
  <si>
    <t>bio_all</t>
  </si>
  <si>
    <t>AT0</t>
  </si>
  <si>
    <t>EL</t>
  </si>
  <si>
    <t>CH0</t>
  </si>
  <si>
    <t>DE0</t>
  </si>
  <si>
    <t>FR0</t>
  </si>
  <si>
    <t>IT0</t>
  </si>
  <si>
    <t>hard_coal</t>
  </si>
  <si>
    <t>lignite</t>
  </si>
  <si>
    <t>mineral_oil_heavy</t>
  </si>
  <si>
    <t>natural_gas</t>
  </si>
  <si>
    <t>nuclear_fuel</t>
  </si>
  <si>
    <t>geothermal</t>
  </si>
  <si>
    <t>waste_mix</t>
  </si>
  <si>
    <t>reservoir</t>
  </si>
  <si>
    <t>run_of_river</t>
  </si>
  <si>
    <t>scenario</t>
  </si>
  <si>
    <t>--&gt;SCENARIOS</t>
  </si>
  <si>
    <t>Data</t>
  </si>
  <si>
    <t>scen_CH</t>
  </si>
  <si>
    <t>default</t>
  </si>
  <si>
    <t>nd</t>
  </si>
  <si>
    <t>fl</t>
  </si>
  <si>
    <t>Total Result</t>
  </si>
  <si>
    <t>dmnd</t>
  </si>
  <si>
    <t>POM</t>
  </si>
  <si>
    <t>Twh</t>
  </si>
  <si>
    <t>WWB</t>
  </si>
  <si>
    <t>Tabelle 3-2: Szenario „Weiter wie bisher“ Energienachfrage nach Energieträgern, in PJ</t>
  </si>
  <si>
    <t>NEP</t>
  </si>
  <si>
    <t>Tabelle 3-6: Szenario „Neue Energiepolitik“ Energienachfrage nach Energieträgern, in PJ</t>
  </si>
  <si>
    <t>Tabelle 3-10: Szenario „Politisches Massnahmenpaket“ Energienachfrage nach Energieträgern, in PJ</t>
  </si>
  <si>
    <t>Mtoe</t>
  </si>
  <si>
    <t>'00-'10</t>
  </si>
  <si>
    <t>'10-'20</t>
  </si>
  <si>
    <t>'20-'30</t>
  </si>
  <si>
    <t>'30-'50</t>
  </si>
  <si>
    <t>Electricity</t>
  </si>
  <si>
    <t>LW</t>
  </si>
  <si>
    <t>pp_id</t>
  </si>
  <si>
    <t>cap_pwr_leg</t>
  </si>
  <si>
    <t>AT_BAL_ELC</t>
  </si>
  <si>
    <t>pt_id</t>
  </si>
  <si>
    <t>CH_BAL_ELC</t>
  </si>
  <si>
    <t>BAL_ELC</t>
  </si>
  <si>
    <t>DE_BAL_ELC</t>
  </si>
  <si>
    <t>FR_BAL_ELC</t>
  </si>
  <si>
    <t>IT_BAL_ELC</t>
  </si>
  <si>
    <t>AT_GAS_LIN</t>
  </si>
  <si>
    <t>GAS_LIN</t>
  </si>
  <si>
    <t>CH_GAS_LIN</t>
  </si>
  <si>
    <t>DE_GAS_LIN</t>
  </si>
  <si>
    <t>FR_GAS_LIN</t>
  </si>
  <si>
    <t>IT_GAS_LIN</t>
  </si>
  <si>
    <t>GEO_ELC</t>
  </si>
  <si>
    <t>CH_GEO_ELC</t>
  </si>
  <si>
    <t>IT_GEO_ELC</t>
  </si>
  <si>
    <t>AT_HCO_LIN</t>
  </si>
  <si>
    <t>DE_HCO_LIN</t>
  </si>
  <si>
    <t>HCO_LIN</t>
  </si>
  <si>
    <t>FR_HCO_LIN</t>
  </si>
  <si>
    <t>IT_HCO_LIN</t>
  </si>
  <si>
    <t>AT_HYD_RES</t>
  </si>
  <si>
    <t>CH_HYD_RES</t>
  </si>
  <si>
    <t>HYD_RES</t>
  </si>
  <si>
    <t>DE_HYD_RES</t>
  </si>
  <si>
    <t>FR_HYD_RES</t>
  </si>
  <si>
    <t>IT_HYD_RES</t>
  </si>
  <si>
    <t>AT_HYD_ROR</t>
  </si>
  <si>
    <t>HYD_ROR</t>
  </si>
  <si>
    <t>CH_HYD_ROR</t>
  </si>
  <si>
    <t>DE_HYD_ROR</t>
  </si>
  <si>
    <t>FR_HYD_ROR</t>
  </si>
  <si>
    <t>IT_HYD_ROR</t>
  </si>
  <si>
    <t>HYD_STO</t>
  </si>
  <si>
    <t>AT_HYD_STO</t>
  </si>
  <si>
    <t>CH_HYD_STO</t>
  </si>
  <si>
    <t>DE_HYD_STO</t>
  </si>
  <si>
    <t>FR_HYD_STO</t>
  </si>
  <si>
    <t>IT_HYD_STO</t>
  </si>
  <si>
    <t>LIG_LIN</t>
  </si>
  <si>
    <t>DE_LIG_LIN</t>
  </si>
  <si>
    <t>CH_NUC_ELC</t>
  </si>
  <si>
    <t>DE_NUC_ELC</t>
  </si>
  <si>
    <t>NUC_ELC</t>
  </si>
  <si>
    <t>FR_NUC_ELC</t>
  </si>
  <si>
    <t>AT_OIL_LIN</t>
  </si>
  <si>
    <t>CH_OIL_LIN</t>
  </si>
  <si>
    <t>DE_OIL_LIN</t>
  </si>
  <si>
    <t>OIL_LIN</t>
  </si>
  <si>
    <t>FR_OIL_LIN</t>
  </si>
  <si>
    <t>IT_OIL_LIN</t>
  </si>
  <si>
    <t>AT_SOL_PHO</t>
  </si>
  <si>
    <t>CH_SOL_PHO</t>
  </si>
  <si>
    <t>SOL_PHO</t>
  </si>
  <si>
    <t>DE_SOL_PHO</t>
  </si>
  <si>
    <t>FR_SOL_PHO</t>
  </si>
  <si>
    <t>IT_SOL_PHO</t>
  </si>
  <si>
    <t>AT_WAS_ELC</t>
  </si>
  <si>
    <t>WAS_ELC</t>
  </si>
  <si>
    <t>CH_WAS_ELC</t>
  </si>
  <si>
    <t>DE_WAS_ELC</t>
  </si>
  <si>
    <t>FR_WAS_ELC</t>
  </si>
  <si>
    <t>IT_WAS_ELC</t>
  </si>
  <si>
    <t>WIN_OFF</t>
  </si>
  <si>
    <t>DE_WIN_OFF</t>
  </si>
  <si>
    <t>FR_WIN_OFF</t>
  </si>
  <si>
    <t>AT_WIN_ONS</t>
  </si>
  <si>
    <t>CH_WIN_ONS</t>
  </si>
  <si>
    <t>WIN_ONS</t>
  </si>
  <si>
    <t>DE_WIN_ONS</t>
  </si>
  <si>
    <t>FR_WIN_ONS</t>
  </si>
  <si>
    <t>IT_WIN_ONS</t>
  </si>
  <si>
    <t>hi_gas</t>
  </si>
  <si>
    <t>hi_ren</t>
  </si>
  <si>
    <t>2015_0</t>
  </si>
  <si>
    <t>pp</t>
  </si>
  <si>
    <t>pt</t>
  </si>
  <si>
    <t>flh</t>
  </si>
  <si>
    <t>fy</t>
  </si>
  <si>
    <t>photovoltaics</t>
  </si>
  <si>
    <t>pumped_hydro</t>
  </si>
  <si>
    <t>AT_VLL_LIN</t>
  </si>
  <si>
    <t>VLL_LIN</t>
  </si>
  <si>
    <t>value_lost_load</t>
  </si>
  <si>
    <t>CH_VLL_LIN</t>
  </si>
  <si>
    <t>DE_VLL_LIN</t>
  </si>
  <si>
    <t>FR_VLL_LIN</t>
  </si>
  <si>
    <t>IT_VLL_LIN</t>
  </si>
  <si>
    <t>wind_offshore</t>
  </si>
  <si>
    <t>wind_onshore</t>
  </si>
  <si>
    <t>POM C</t>
  </si>
  <si>
    <t>POM E</t>
  </si>
  <si>
    <t>EU REFERENCE</t>
  </si>
  <si>
    <t>HYD_TOT</t>
  </si>
  <si>
    <t>WIN_TOT</t>
  </si>
  <si>
    <t>CHP</t>
  </si>
  <si>
    <t>HCO+LIG</t>
  </si>
  <si>
    <t>GAS_LIN_0</t>
  </si>
  <si>
    <t>BIO_WAS</t>
  </si>
  <si>
    <t>LIG_LIN_0</t>
  </si>
  <si>
    <t>HCO_LIN_0</t>
  </si>
  <si>
    <t>share_offshore</t>
  </si>
  <si>
    <t>share_lignite</t>
  </si>
  <si>
    <t>Status quo</t>
  </si>
  <si>
    <t>Waste 2016</t>
  </si>
  <si>
    <t>DE_HYD_ROR_2015</t>
  </si>
  <si>
    <t>DE_HYD_RES_2015</t>
  </si>
  <si>
    <t>DE_HYD_STO_2015</t>
  </si>
  <si>
    <t>EU REFERENCE SCENARIO</t>
  </si>
  <si>
    <t>Kennzahlen der Szenarien Netzentwicklungspläne Strom 2030 Version 2019 Entwurf ÜNB (Tabelle 1 auf Seite 23)</t>
  </si>
  <si>
    <t>Stand:</t>
  </si>
  <si>
    <t>Final</t>
  </si>
  <si>
    <t>SUMMARY ENERGY BALANCE AND INDICATORS (A)</t>
  </si>
  <si>
    <t>Germany: Reference scenario(REF2016)</t>
  </si>
  <si>
    <t>SR-Genehmigung NEP 2030 V17</t>
  </si>
  <si>
    <t>SR-Entwurf NEP 2030 V19</t>
  </si>
  <si>
    <t>Annual % Change</t>
  </si>
  <si>
    <t>Energieträger [GW]</t>
  </si>
  <si>
    <t>Bestand (31.12.2016)</t>
  </si>
  <si>
    <t>Szenario</t>
  </si>
  <si>
    <t>Population (in million)</t>
  </si>
  <si>
    <t>A 2030</t>
  </si>
  <si>
    <t>B 2030</t>
  </si>
  <si>
    <t>C 2030</t>
  </si>
  <si>
    <t>B 2035</t>
  </si>
  <si>
    <t>GDP (in 000 M€13)</t>
  </si>
  <si>
    <t>Kernenergie</t>
  </si>
  <si>
    <t>Gross Inland Consumption (ktoe)</t>
  </si>
  <si>
    <t>Braunkohle</t>
  </si>
  <si>
    <t>Solids</t>
  </si>
  <si>
    <t>Steinkohle</t>
  </si>
  <si>
    <t>Oil</t>
  </si>
  <si>
    <t>Natural gas</t>
  </si>
  <si>
    <t>Erdgas</t>
  </si>
  <si>
    <t>Nuclear</t>
  </si>
  <si>
    <t>Kuppelgas</t>
  </si>
  <si>
    <t>Renewable energy forms</t>
  </si>
  <si>
    <t>Mineralöl</t>
  </si>
  <si>
    <t>Energy Branch Consumption</t>
  </si>
  <si>
    <t>Pumpspeicher</t>
  </si>
  <si>
    <t>Non-Energy Uses</t>
  </si>
  <si>
    <t>sonstige konv. Erzeugung *</t>
  </si>
  <si>
    <t>sonstige Speicher</t>
  </si>
  <si>
    <t>-</t>
  </si>
  <si>
    <t>SECURITY OF SUPPLY</t>
  </si>
  <si>
    <t>Kapazitätsreserve</t>
  </si>
  <si>
    <t>Production (incl.recovery of products) (ktoe)</t>
  </si>
  <si>
    <t>Wind Onshore</t>
  </si>
  <si>
    <t>Wind Offshore</t>
  </si>
  <si>
    <t>Photovoltaik</t>
  </si>
  <si>
    <t>Biomasse</t>
  </si>
  <si>
    <t>Renewable energy sources</t>
  </si>
  <si>
    <t>Wasserkraft **</t>
  </si>
  <si>
    <t>Hydro</t>
  </si>
  <si>
    <t>Biomass &amp; Waste</t>
  </si>
  <si>
    <t>Wind</t>
  </si>
  <si>
    <t>sonstige reg. Erzeugung</t>
  </si>
  <si>
    <t>Solar and others</t>
  </si>
  <si>
    <t>Summe reg. Erzeugung</t>
  </si>
  <si>
    <t>Geothermal</t>
  </si>
  <si>
    <t>Summe Erzeugung</t>
  </si>
  <si>
    <t>Net Imports (ktoe)</t>
  </si>
  <si>
    <t>Nettostromverbrauch [TWh]</t>
  </si>
  <si>
    <t>Nettostromverbrauch</t>
  </si>
  <si>
    <t>Treiber Sektorenkopplung [Anzahl in Mio.]</t>
  </si>
  <si>
    <t xml:space="preserve"> Crude oil and Feedstocks</t>
  </si>
  <si>
    <t>Wärmepumpen</t>
  </si>
  <si>
    <t xml:space="preserve"> Oil products</t>
  </si>
  <si>
    <t>Elektromobilität</t>
  </si>
  <si>
    <t>Jahreshöchstlast [GW]</t>
  </si>
  <si>
    <t>Höchstlast als Vorgabe</t>
  </si>
  <si>
    <t>Höchstlast als Ergebnis der Modellierung mit zusätzlicher Flexibilisierung</t>
  </si>
  <si>
    <t>Incl. VNB-Netzverluste ohne ÜNB-Verluste</t>
  </si>
  <si>
    <t>84,9 ***</t>
  </si>
  <si>
    <t>Import Dependency (%)</t>
  </si>
  <si>
    <t xml:space="preserve">Flexibilitätsoptionen und Speicher [GW]  </t>
  </si>
  <si>
    <t>Power to Gas</t>
  </si>
  <si>
    <t>ELECTRICITY</t>
  </si>
  <si>
    <t>Power to Heat</t>
  </si>
  <si>
    <r>
      <t xml:space="preserve">Gross Electricity generation by source </t>
    </r>
    <r>
      <rPr>
        <b/>
        <vertAlign val="superscript"/>
        <sz val="8"/>
        <color theme="1"/>
        <rFont val="Arial"/>
        <family val="2"/>
      </rPr>
      <t>(1)</t>
    </r>
    <r>
      <rPr>
        <b/>
        <sz val="8"/>
        <color theme="1"/>
        <rFont val="Arial"/>
        <family val="2"/>
      </rPr>
      <t xml:space="preserve"> (GWh</t>
    </r>
    <r>
      <rPr>
        <b/>
        <vertAlign val="subscript"/>
        <sz val="8"/>
        <color theme="1"/>
        <rFont val="Arial"/>
        <family val="2"/>
      </rPr>
      <t>e</t>
    </r>
    <r>
      <rPr>
        <b/>
        <sz val="8"/>
        <color theme="1"/>
        <rFont val="Arial"/>
        <family val="2"/>
      </rPr>
      <t>)</t>
    </r>
  </si>
  <si>
    <t>PV-Speicher</t>
  </si>
  <si>
    <t>Nuclear energy</t>
  </si>
  <si>
    <t>DSM (Industrie und GHD)</t>
  </si>
  <si>
    <t xml:space="preserve">Marktmodellierung  </t>
  </si>
  <si>
    <t>Oil (including refinery gas)</t>
  </si>
  <si>
    <t>Vorgabe CO2-Limit in Mio. t</t>
  </si>
  <si>
    <t>Vorgabe Klimaschutzplan 2050 und COP21</t>
  </si>
  <si>
    <t>Gas (including derived gases)</t>
  </si>
  <si>
    <t>Biomass-waste</t>
  </si>
  <si>
    <t>* Angegebene Werte umfassen sonstige konventionelle und Abfallkraftwerke</t>
  </si>
  <si>
    <t>Hydro (pumping excluded)</t>
  </si>
  <si>
    <t>** Angegebene Werte umfassen Lauf- und Speicherwasser</t>
  </si>
  <si>
    <t>*** Referenz 2016 ist der Modellwert, der sich aus der Prognosemethodik und den verwendeten Lastprofilen als Ausgangswert ergibt.</t>
  </si>
  <si>
    <t>Solar</t>
  </si>
  <si>
    <t>Geothermal and other renewables</t>
  </si>
  <si>
    <t>Other fuels (hydrogen, methanol)</t>
  </si>
  <si>
    <r>
      <t>Net Generation Capacity (MW</t>
    </r>
    <r>
      <rPr>
        <b/>
        <vertAlign val="subscript"/>
        <sz val="8"/>
        <color theme="1"/>
        <rFont val="Arial"/>
        <family val="2"/>
      </rPr>
      <t>e</t>
    </r>
    <r>
      <rPr>
        <b/>
        <sz val="8"/>
        <color theme="1"/>
        <rFont val="Arial"/>
        <family val="2"/>
      </rPr>
      <t>)</t>
    </r>
  </si>
  <si>
    <t>Renewable energy</t>
  </si>
  <si>
    <t>Other renewables (tidal etc.)</t>
  </si>
  <si>
    <t>Thermal power</t>
  </si>
  <si>
    <t>of which cogeneration units</t>
  </si>
  <si>
    <t>of which CCS units</t>
  </si>
  <si>
    <t>Solids fired</t>
  </si>
  <si>
    <t>Gas fired</t>
  </si>
  <si>
    <t>Oil fired</t>
  </si>
  <si>
    <t>Biomass-waste fired</t>
  </si>
  <si>
    <t>Hydrogen plants</t>
  </si>
  <si>
    <t>Geothermal heat</t>
  </si>
  <si>
    <r>
      <t xml:space="preserve">Avg. Load factor of net power capacity </t>
    </r>
    <r>
      <rPr>
        <vertAlign val="superscript"/>
        <sz val="8"/>
        <color theme="1"/>
        <rFont val="Arial"/>
        <family val="2"/>
      </rPr>
      <t>(2)</t>
    </r>
    <r>
      <rPr>
        <sz val="8"/>
        <color theme="1"/>
        <rFont val="Arial"/>
        <family val="2"/>
      </rPr>
      <t xml:space="preserve"> (%)</t>
    </r>
  </si>
  <si>
    <t>Efficiency of gross thermal power generation (%)</t>
  </si>
  <si>
    <t>% of gross electricity from CHP</t>
  </si>
  <si>
    <t>% of electricity from CCS</t>
  </si>
  <si>
    <t>% of carbon free (RES, nuclear) gross electricity generation</t>
  </si>
  <si>
    <r>
      <t>Fuel Inputs to Thermal Power Generation ( GWh</t>
    </r>
    <r>
      <rPr>
        <b/>
        <vertAlign val="subscript"/>
        <sz val="8"/>
        <color theme="1"/>
        <rFont val="Arial"/>
        <family val="2"/>
      </rPr>
      <t>e</t>
    </r>
    <r>
      <rPr>
        <b/>
        <sz val="8"/>
        <color theme="1"/>
        <rFont val="Arial"/>
        <family val="2"/>
      </rPr>
      <t>)</t>
    </r>
  </si>
  <si>
    <t>Hydrogen - Methanol</t>
  </si>
  <si>
    <t>Fuel Input to other conversion processes</t>
  </si>
  <si>
    <t>Refineries</t>
  </si>
  <si>
    <t>Biofuels and hydrogen production</t>
  </si>
  <si>
    <t>District heating</t>
  </si>
  <si>
    <t>Derived gases, cokeries etc.</t>
  </si>
  <si>
    <t>Onshore</t>
  </si>
  <si>
    <t>EWEA</t>
  </si>
  <si>
    <t>Offshore</t>
  </si>
  <si>
    <t>https://www.ewea.org/fileadmin/files/library/publications/reports/EWEA-Wind-energy-scenarios-2030.pdf</t>
  </si>
  <si>
    <t>share_Waste</t>
  </si>
  <si>
    <t>France</t>
  </si>
  <si>
    <t>Total</t>
  </si>
  <si>
    <t>2020 Target (Central scenario)</t>
  </si>
  <si>
    <t>Low 2030 scenario</t>
  </si>
  <si>
    <t>Central 2030 scenario</t>
  </si>
  <si>
    <t>High 2030 scenario</t>
  </si>
  <si>
    <t>France: Reference scenario(REF2016)</t>
  </si>
  <si>
    <t>BAL_ELC_0</t>
  </si>
  <si>
    <t>WAS_ELC_0</t>
  </si>
  <si>
    <t>BAL_ELC 2015</t>
  </si>
  <si>
    <t>WAS_ELC 2015</t>
  </si>
  <si>
    <t>Italy: Reference scenario(REF2016)</t>
  </si>
  <si>
    <t>Source: PRIMES</t>
  </si>
  <si>
    <t>BAL_ELC_2016</t>
  </si>
  <si>
    <t>WAS_ELC_2016</t>
  </si>
  <si>
    <t>Austria: Reference scenario(REF2016)</t>
  </si>
  <si>
    <t>EU Reference p36</t>
  </si>
  <si>
    <t>EU Reference p27</t>
  </si>
  <si>
    <t>CO2</t>
  </si>
  <si>
    <t>POM C&amp;E</t>
  </si>
  <si>
    <t>CH_EXIST</t>
  </si>
  <si>
    <t>Sum - cap_exist</t>
  </si>
  <si>
    <t>FSS_CHP</t>
  </si>
  <si>
    <t>FSS_ELC</t>
  </si>
  <si>
    <t>REN_CHP</t>
  </si>
  <si>
    <t>SOL_WIN</t>
  </si>
  <si>
    <t>CH_SCEN</t>
  </si>
  <si>
    <t>CH_SCEN_REN</t>
  </si>
  <si>
    <t>Sum - cap</t>
  </si>
  <si>
    <t>Sum - cap_ren</t>
  </si>
  <si>
    <t>NEP C</t>
  </si>
  <si>
    <t>NEP C&amp;E</t>
  </si>
  <si>
    <t>NEP E</t>
  </si>
  <si>
    <t>WWB C</t>
  </si>
  <si>
    <t>WWB C&amp;E</t>
  </si>
  <si>
    <t>FSS_CHP_NEW</t>
  </si>
  <si>
    <t>FSS_ELC_NEW</t>
  </si>
  <si>
    <t>HYD_TOT_NEW</t>
  </si>
  <si>
    <t>DEFAULT CASE</t>
  </si>
  <si>
    <t>DEFAULT CASE ONLY</t>
  </si>
  <si>
    <t>OIL_GAS</t>
  </si>
  <si>
    <t>SOL_WIN_BAL_WASREN</t>
  </si>
  <si>
    <t>SCENARIOS</t>
  </si>
  <si>
    <t>SOL_WIN_BAL_WASREN_NEW</t>
  </si>
  <si>
    <t>ALTERNATIVE SCENARIOS</t>
  </si>
  <si>
    <t>SCENARIO MATRIX</t>
  </si>
  <si>
    <t>Old+new, shares of the three types stay the same
TWO LEVELS: C&amp;E+E are higher</t>
  </si>
  <si>
    <t>CH_SCEN – EXIST</t>
  </si>
  <si>
    <t>CH_SCEN – NEW</t>
  </si>
  <si>
    <t>Existing gas and oil plants from FSS_CHP, constant shares based on status quo</t>
  </si>
  <si>
    <t>New gas plants; from FSS_ELC_NEW</t>
  </si>
  <si>
    <t>Same for all scenarios</t>
  </si>
  <si>
    <t>assuming constant all scenarios</t>
  </si>
  <si>
    <t>Energieperspektiven</t>
  </si>
  <si>
    <t>cap</t>
  </si>
  <si>
    <t>New capacity only available from the figures:</t>
  </si>
  <si>
    <t>Figure 9-51</t>
  </si>
  <si>
    <t>p658</t>
  </si>
  <si>
    <t>Figure 9-52</t>
  </si>
  <si>
    <t>p659</t>
  </si>
  <si>
    <t>Figure 9-53</t>
  </si>
  <si>
    <t>Figure 8-56</t>
  </si>
  <si>
    <t>p535</t>
  </si>
  <si>
    <t>Figure 8-57</t>
  </si>
  <si>
    <t>p536</t>
  </si>
  <si>
    <t>Figure 8-58</t>
  </si>
  <si>
    <t>Figure 7-60</t>
  </si>
  <si>
    <t>p414</t>
  </si>
  <si>
    <t>Figure 7-61</t>
  </si>
  <si>
    <t>p415</t>
  </si>
  <si>
    <t>bestehende Wasserkraft</t>
  </si>
  <si>
    <t>neue Wasserkraft</t>
  </si>
  <si>
    <t>bestehende Kernkraft</t>
  </si>
  <si>
    <t>bestehende fossil-therm.</t>
  </si>
  <si>
    <t>bestehende fossile KWK</t>
  </si>
  <si>
    <t>bestehende bezugsrechte</t>
  </si>
  <si>
    <t>bestehende erneuerbare</t>
  </si>
  <si>
    <t>neue fossile WKK</t>
  </si>
  <si>
    <t>neue erneuerbare</t>
  </si>
  <si>
    <t>neue fossil-therm. KW</t>
  </si>
  <si>
    <t>c</t>
  </si>
  <si>
    <t>?column?</t>
  </si>
  <si>
    <t>cap_ren</t>
  </si>
  <si>
    <t>erg_ren</t>
  </si>
  <si>
    <t>WWB E</t>
  </si>
  <si>
    <t>ENERGY</t>
  </si>
  <si>
    <t>Windenergie</t>
  </si>
  <si>
    <t>KVA</t>
  </si>
  <si>
    <t>NOTE:
TIMES 2,
DUE TO
ONLY
RENEWABLE
IN TABLE!!!</t>
  </si>
  <si>
    <t>Geothermie</t>
  </si>
  <si>
    <t>Generation for all scenarios</t>
  </si>
  <si>
    <t>Anhang III
Energienachfrage und Elektrizitätsangebot
in Zahlen; Emissionen</t>
  </si>
  <si>
    <t>Tabelle 3-14: Szenario „Weiter wie bisher“, Variante C Elektrizitätserzeugung aus neuen erneuerbaren Energien (ohne Wasserkraft), hydrologisches Jahr, in TWh el</t>
  </si>
  <si>
    <t>ungekoppelt</t>
  </si>
  <si>
    <t>Biomasse (Holzgas)</t>
  </si>
  <si>
    <t>gekoppelt</t>
  </si>
  <si>
    <t>Biogas (Holz)</t>
  </si>
  <si>
    <t>ARA</t>
  </si>
  <si>
    <t>Deponiegas</t>
  </si>
  <si>
    <t>Szenario „Weiter wie bisher“, Variante C&amp;E Elektrizitätserzeugung aus neuen erneuerbaren Energien (ohne Wasserkraft), hydrologisches Jahr, in TWh el</t>
  </si>
  <si>
    <t>Erneuerbare</t>
  </si>
  <si>
    <t>Biogas</t>
  </si>
  <si>
    <t>Tabelle 3-28: Szenario „Neue Energiepolitik“, Variante C Elektrizitätserzeugung aus neuen erneuerbaren Energien (ohne Wasserkraft), hydrologisches Jahr, in TWh el</t>
  </si>
  <si>
    <t>Szenario „Neue Energiepolitik“, Variante C&amp;E Elektrizitätserzeugung aus neuen erneuerbaren Energien (ohne Wasserkraft), hydrologisches Jahr, in TWh el</t>
  </si>
  <si>
    <r>
      <rPr>
        <sz val="10"/>
        <color theme="1"/>
        <rFont val="Liberation Sans"/>
      </rPr>
      <t xml:space="preserve">Tabelle 3-42: </t>
    </r>
    <r>
      <rPr>
        <sz val="11"/>
        <color theme="1"/>
        <rFont val="Liberation Sans"/>
      </rPr>
      <t>Szenario „Neue Energiepolitik“, Variante E Elektrizitätserzeugung aus neuen erneuerbaren Energien (ohne Wasserkraft), hydrologisches Jahr, in TWh el</t>
    </r>
  </si>
  <si>
    <t>Tabelle 3-49: Szenario „Politisches Massnahmenpaket“, Variante C Elektrizitätserzeugung aus neuen erneuerbaren Energien (ohne Wasserkraft), hydrologisches Jahr, in TWh el</t>
  </si>
  <si>
    <t>Tabelle 3-56: Szenario „Politisches Massnahmenpaket“, Variante C&amp;E Elektrizitätserzeugung aus neuen erneuerbaren Energien (ohne Wasserkraft), hydrologisches Jahr, in TWh el</t>
  </si>
  <si>
    <t>Tabelle 3-63: Szenario „Politisches Massnahmenpaket“, Variante E Elektrizitätserzeugung aus neuen erneuerbaren Energien (ohne Wasserkraft), hydrologisches Jahr, in TWh el</t>
  </si>
  <si>
    <t>Tabelle 6-3: Entwicklung der Stromerzeugung der bestehenden Wasserkraftwerke bis 2050</t>
  </si>
  <si>
    <t>Gesamt Mwh_el</t>
  </si>
  <si>
    <t>cap_exist</t>
  </si>
  <si>
    <t>Hydrologisches Jahr Twh</t>
  </si>
  <si>
    <t>Winter Twh</t>
  </si>
  <si>
    <t>Sommer Twh</t>
  </si>
  <si>
    <t>Tabelle 6-4: Entwicklung der Stromerzeugung der bestehenden Kernkraftwerke bis 2050</t>
  </si>
  <si>
    <t>Tabelle 6-5 Entwicklung der Stromerzeugung der bestehenden konventionell- thermischen Stromerzeugungsanlagen bis 2050</t>
  </si>
  <si>
    <t>Tabelle 6-6: Entwicklung der Stromerzeugung der bestehenden fossilen Wärme-Kraft-Kopplungsanlagen bis 2050</t>
  </si>
  <si>
    <t>Tabelle 6-7: Entwicklung der Stromerzeugung der bestehenden Kehrichtverbrennungsanlagen bis 2050</t>
  </si>
  <si>
    <t>Tabelle 6-8: Entwicklung der Stromerzeugung der bestehenden regenerativen Wärme-Kraft-Kopplungsanlagen bis 2050</t>
  </si>
  <si>
    <t>Zu der erneuerbaren WKK gehören die Abwasserreinigungs-, Biogas-, (Deponie-) und Biomasse-Wärme-Kraft-Kopplungs-Anlagen.</t>
  </si>
  <si>
    <t>Tabelle 6-9: Entwicklung der Stromerzeugung der bestehenden Photovoltaik- und Windenergieanlagen bis 2050</t>
  </si>
  <si>
    <t>FLH</t>
  </si>
  <si>
    <t>Tabelle 3-55: Szenario „Politisches Massnahmenpaket“, Variante C&amp;E Elektrizitätserzeugung nach Energieträgern, hydrologisches Jahr, in TWh_el</t>
  </si>
  <si>
    <t>USING FLH TO ASSIGN TO ROR AND RES</t>
  </si>
  <si>
    <t>CAPACITIES</t>
  </si>
  <si>
    <t>GEOTHERMAL FOR ENERGY CONSTRAINT</t>
  </si>
  <si>
    <t>energy from 2050 FLHs</t>
  </si>
  <si>
    <t>CAPACITY</t>
  </si>
  <si>
    <t>BIOMASS FOR ENERGY CONSTRAINT</t>
  </si>
  <si>
    <t>WASTE FOR ENERGY CONSTRAINT</t>
  </si>
  <si>
    <t>Tabelle 3-55</t>
  </si>
  <si>
    <t>share_chp</t>
  </si>
  <si>
    <t>Fossile KW</t>
  </si>
  <si>
    <t>Tabelle 3-55: Szenario „Politisches Massnahmenpaket“, Variante C&amp;E Elektrizitätserzeugung nach Energieträgern, hydrologisches Jahr, in TWh el</t>
  </si>
  <si>
    <t>bestehende fossile KW</t>
  </si>
  <si>
    <t>neue Kombikraftwerke</t>
  </si>
  <si>
    <t>Tabelle 3-62: Szenario „Politisches Massnahmenpaket“, Variante E</t>
  </si>
  <si>
    <t>Tabelle 3-48: Szenario „Politisches Massnahmenpaket“, Variante C Elektrizitätserzeugung nach Energieträgern, hydrologisches Jahr, in TWh el</t>
  </si>
  <si>
    <t>ERG</t>
  </si>
  <si>
    <t>FLH_CHP</t>
  </si>
  <si>
    <t>ERG_CHP</t>
  </si>
  <si>
    <t>DE</t>
  </si>
  <si>
    <t>TOTAL CHP</t>
  </si>
  <si>
    <t>FR</t>
  </si>
  <si>
    <t>IT</t>
  </si>
  <si>
    <t>AT</t>
  </si>
  <si>
    <t>European reference page 36</t>
  </si>
  <si>
    <t>PSI report</t>
  </si>
  <si>
    <t>CHF/GJ</t>
  </si>
  <si>
    <t>Coal</t>
  </si>
  <si>
    <t>light fuel oil</t>
  </si>
  <si>
    <t>heavy fuel oil</t>
  </si>
  <si>
    <t>gas</t>
  </si>
  <si>
    <t>EUR/Mwh</t>
  </si>
  <si>
    <t>Sum of vc_fl</t>
  </si>
  <si>
    <t>Sum of erg_inp</t>
  </si>
  <si>
    <t>(blank)</t>
  </si>
  <si>
    <t>Grand Total</t>
  </si>
  <si>
    <t>Sum of erg_chp</t>
  </si>
  <si>
    <t>AT_GAS_NEW</t>
  </si>
  <si>
    <t>CH_GAS_NEW</t>
  </si>
  <si>
    <t>DE_GAS_NEW</t>
  </si>
  <si>
    <t>FR_GAS_NEW</t>
  </si>
  <si>
    <t>IT_GAS_NEW</t>
  </si>
  <si>
    <t>GAS_NEW</t>
  </si>
  <si>
    <t>GAS_NEW_CHP</t>
  </si>
  <si>
    <t>Sum of cap_pwr_leg</t>
  </si>
  <si>
    <t>lost_load</t>
  </si>
  <si>
    <t>wind_total</t>
  </si>
  <si>
    <t>Sum of erg_ren</t>
  </si>
  <si>
    <t>SAME SOURCE -- ALL FUELS</t>
  </si>
  <si>
    <t>Wasserkraftwerke</t>
  </si>
  <si>
    <t>Kernkraftwerke</t>
  </si>
  <si>
    <t>bestehende Wasserkraftwerke</t>
  </si>
  <si>
    <t>neue Wasserkraftwerke</t>
  </si>
  <si>
    <t>bestehende Kernkraftwerke</t>
  </si>
  <si>
    <t>neue Kernkraftwerke</t>
  </si>
  <si>
    <t>Fossile KW*</t>
  </si>
  <si>
    <t>bestehende Erneuerbare</t>
  </si>
  <si>
    <t>neue Erneuerbare</t>
  </si>
  <si>
    <t>Tabelle 3-48: Szenario „Politisches Massnahmenpaket“, Variante C Elektrizitätserzeugung nach Energieträgern, hydrologisches Jahr, in TWh_el</t>
  </si>
  <si>
    <t>Tabelle 3-62: Szenario „Politisches Massnahmenpaket“, Variante E Elektrizitätserzeugung nach Energieträgern, hydrologisches Jahr, in TWh_el</t>
  </si>
  <si>
    <t>Verbrauch der Speicherpumpen</t>
  </si>
  <si>
    <t>GAS_OIL</t>
  </si>
  <si>
    <t>HYD_STO_TRUE</t>
  </si>
  <si>
    <t>HYD_NEW</t>
  </si>
  <si>
    <t>NUCLEAR FOR COMPARISON</t>
  </si>
  <si>
    <t>HARD COAL FOR COMPARISON</t>
  </si>
  <si>
    <t>LIG_HCO</t>
  </si>
  <si>
    <t>HARD COAL + LIGNITE FOR COMPARISON</t>
  </si>
  <si>
    <t>NATURAL GAS FOR COMPARISON</t>
  </si>
  <si>
    <t>GAS_TOT</t>
  </si>
  <si>
    <t>NUCLEAR</t>
  </si>
  <si>
    <t>COAL AND GAS</t>
  </si>
  <si>
    <t>COMBINED GAS+COAL FOR GERMANY</t>
  </si>
  <si>
    <t>lignite+coal</t>
  </si>
  <si>
    <t>gas+oil</t>
  </si>
  <si>
    <t>WIND+SOLAR FOR COMPARISON</t>
  </si>
  <si>
    <t>AT0 Total</t>
  </si>
  <si>
    <t>CH0 Total</t>
  </si>
  <si>
    <t>DE0 Total</t>
  </si>
  <si>
    <t>FR0 Total</t>
  </si>
  <si>
    <t>IT0 Total</t>
  </si>
  <si>
    <t>MINERAL OIL FOR COMPARISON</t>
  </si>
  <si>
    <t>PEA_P</t>
  </si>
  <si>
    <t>same as HCO_P</t>
  </si>
  <si>
    <t>OTH_REN</t>
  </si>
  <si>
    <t>assumption</t>
  </si>
  <si>
    <t>https://de.wikipedia.org/wiki/Eigenbedarf_(Kraftwerk)</t>
  </si>
  <si>
    <t>from France data gross production/net production (see Sheet "PRODUCTION")</t>
  </si>
  <si>
    <t>BIO_P</t>
  </si>
  <si>
    <t>same as NUC_P (pumps, but no filter)</t>
  </si>
  <si>
    <t>OTH_NRE</t>
  </si>
  <si>
    <t>ENSTY2014</t>
  </si>
  <si>
    <t>the auxiliary power need for a 500 MW plant is 40-45 MW</t>
  </si>
  <si>
    <t>GAS_P</t>
  </si>
  <si>
    <t>WAS_P</t>
  </si>
  <si>
    <t>SYN_P</t>
  </si>
  <si>
    <t>MAR_P</t>
  </si>
  <si>
    <t>same as wind</t>
  </si>
  <si>
    <t>HYD_HYB</t>
  </si>
  <si>
    <t>BGS_P</t>
  </si>
  <si>
    <t>BAL</t>
  </si>
  <si>
    <t>HARDCOPY FROM input_levels_1901105/PLANT_ENCAR</t>
  </si>
  <si>
    <t>erg_inp_GROSS</t>
  </si>
  <si>
    <t>Final Energy Demand</t>
  </si>
  <si>
    <t>Endenergienachfrage</t>
  </si>
  <si>
    <t>pricesll_pf_id</t>
  </si>
  <si>
    <t>pricebuy_pf_id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</si>
</sst>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"/>
    <numFmt numFmtId="165" formatCode="0&quot; &quot;"/>
    <numFmt numFmtId="166" formatCode="0.0&quot; &quot;"/>
    <numFmt numFmtId="167" formatCode="0.000&quot; &quot;"/>
    <numFmt numFmtId="168" formatCode="0.0%"/>
    <numFmt numFmtId="169" formatCode="0.0000"/>
    <numFmt numFmtId="170" formatCode="[$-409]m/d/yyyy"/>
    <numFmt numFmtId="171" formatCode="#,##0.00&quot; &quot;;#,##0.00&quot; &quot;;&quot;-&quot;#&quot; &quot;;&quot; &quot;@&quot; &quot;"/>
    <numFmt numFmtId="172" formatCode="General&quot; &quot;"/>
    <numFmt numFmtId="173" formatCode="_(* #,##0_);_(* \(#,##0\);_(* &quot;-&quot;??_);_(@_)"/>
    <numFmt numFmtId="174" formatCode="_-* #,##0.00_-;\-* #,##0.00_-;_-* &quot;-&quot;??_-;_-@_-"/>
    <numFmt numFmtId="175" formatCode="???,???.00"/>
    <numFmt numFmtId="176" formatCode="#,##0.0000"/>
  </numFmts>
  <fonts count="49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theme="1"/>
      <name val="Courier"/>
      <family val="3"/>
    </font>
    <font>
      <sz val="10"/>
      <color rgb="FF333333"/>
      <name val="Liberation Sans"/>
    </font>
    <font>
      <b/>
      <sz val="11"/>
      <color theme="1"/>
      <name val="Liberation Sans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Liberation Serif"/>
    </font>
    <font>
      <b/>
      <sz val="16"/>
      <color rgb="FF000000"/>
      <name val="Arial1"/>
    </font>
    <font>
      <sz val="11"/>
      <color rgb="FF000000"/>
      <name val="Arial1"/>
    </font>
    <font>
      <b/>
      <sz val="10"/>
      <color rgb="FFFFFFFF"/>
      <name val="Arial"/>
      <family val="2"/>
    </font>
    <font>
      <sz val="18"/>
      <color theme="1"/>
      <name val="Arial1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i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b/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16"/>
      <color theme="1"/>
      <name val="Liberation Sans"/>
    </font>
    <font>
      <sz val="13"/>
      <color theme="1"/>
      <name val="Liberation Sans"/>
    </font>
    <font>
      <sz val="20"/>
      <color theme="1"/>
      <name val="Liberation Sans"/>
    </font>
    <font>
      <sz val="10"/>
      <color theme="1"/>
      <name val="Liberation Sans"/>
    </font>
    <font>
      <b/>
      <sz val="11"/>
      <color rgb="FFFF0000"/>
      <name val="Liberation Sans"/>
    </font>
    <font>
      <b/>
      <sz val="11"/>
      <color indexed="8"/>
      <name val="Liberation Sans"/>
    </font>
    <font>
      <sz val="8"/>
      <name val="Arial"/>
      <family val="2"/>
    </font>
    <font>
      <sz val="8"/>
      <name val="Arial"/>
      <family val="2"/>
      <charset val="16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7EAD1"/>
        <bgColor rgb="FFF7EAD1"/>
      </patternFill>
    </fill>
    <fill>
      <patternFill patternType="solid">
        <fgColor rgb="FFFFF6E9"/>
        <bgColor rgb="FFFFF6E9"/>
      </patternFill>
    </fill>
    <fill>
      <patternFill patternType="solid">
        <fgColor rgb="FFED1C24"/>
        <bgColor rgb="FFED1C24"/>
      </patternFill>
    </fill>
    <fill>
      <patternFill patternType="solid">
        <fgColor rgb="FFC2E0AE"/>
        <bgColor rgb="FFC2E0AE"/>
      </patternFill>
    </fill>
    <fill>
      <patternFill patternType="solid">
        <fgColor rgb="FFFFF200"/>
        <bgColor rgb="FFFFF200"/>
      </patternFill>
    </fill>
    <fill>
      <patternFill patternType="solid">
        <fgColor rgb="FFEF413D"/>
        <bgColor rgb="FFEF413D"/>
      </patternFill>
    </fill>
    <fill>
      <patternFill patternType="solid">
        <fgColor rgb="FFFFFFFF"/>
        <bgColor rgb="FFFFFFFF"/>
      </patternFill>
    </fill>
    <fill>
      <patternFill patternType="solid">
        <fgColor rgb="FF747474"/>
        <bgColor rgb="FF747474"/>
      </patternFill>
    </fill>
    <fill>
      <patternFill patternType="solid">
        <fgColor rgb="FFEBF1DE"/>
        <bgColor rgb="FFEBF1DE"/>
      </patternFill>
    </fill>
    <fill>
      <patternFill patternType="solid">
        <fgColor rgb="FFF2F2F2"/>
        <bgColor rgb="FFF2F2F2"/>
      </patternFill>
    </fill>
    <fill>
      <patternFill patternType="solid">
        <fgColor rgb="FFC6D9F1"/>
        <bgColor rgb="FFC6D9F1"/>
      </patternFill>
    </fill>
    <fill>
      <patternFill patternType="solid">
        <fgColor rgb="FFF3715A"/>
        <bgColor rgb="FFF3715A"/>
      </patternFill>
    </fill>
    <fill>
      <patternFill patternType="solid">
        <fgColor rgb="FFCCCCCC"/>
        <bgColor rgb="FFCCCCCC"/>
      </patternFill>
    </fill>
    <fill>
      <patternFill patternType="solid">
        <fgColor rgb="FFADD58A"/>
        <bgColor rgb="FFADD58A"/>
      </patternFill>
    </fill>
    <fill>
      <patternFill patternType="solid">
        <fgColor rgb="FFF79448"/>
        <bgColor rgb="FFF79448"/>
      </patternFill>
    </fill>
    <fill>
      <patternFill patternType="solid">
        <fgColor rgb="FFF58220"/>
        <bgColor rgb="FFF5822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</fills>
  <borders count="6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2E3436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12" fillId="0" borderId="0"/>
    <xf numFmtId="0" fontId="9" fillId="7" borderId="0"/>
    <xf numFmtId="0" fontId="6" fillId="5" borderId="0"/>
    <xf numFmtId="0" fontId="14" fillId="8" borderId="0"/>
    <xf numFmtId="0" fontId="16" fillId="8" borderId="1"/>
    <xf numFmtId="0" fontId="4" fillId="0" borderId="0"/>
    <xf numFmtId="0" fontId="5" fillId="2" borderId="0"/>
    <xf numFmtId="0" fontId="5" fillId="3" borderId="0"/>
    <xf numFmtId="0" fontId="4" fillId="4" borderId="0"/>
    <xf numFmtId="0" fontId="7" fillId="6" borderId="0"/>
    <xf numFmtId="171" fontId="3" fillId="0" borderId="0"/>
    <xf numFmtId="9" fontId="3" fillId="0" borderId="0"/>
    <xf numFmtId="0" fontId="8" fillId="0" borderId="0"/>
    <xf numFmtId="0" fontId="10" fillId="0" borderId="0"/>
    <xf numFmtId="0" fontId="13" fillId="0" borderId="0"/>
    <xf numFmtId="172" fontId="15" fillId="0" borderId="0"/>
    <xf numFmtId="0" fontId="3" fillId="0" borderId="0">
      <alignment horizontal="left"/>
    </xf>
    <xf numFmtId="0" fontId="3" fillId="0" borderId="0"/>
    <xf numFmtId="0" fontId="3" fillId="0" borderId="0"/>
    <xf numFmtId="0" fontId="17" fillId="0" borderId="0"/>
    <xf numFmtId="0" fontId="17" fillId="0" borderId="0">
      <alignment horizontal="left"/>
    </xf>
    <xf numFmtId="0" fontId="3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  <xf numFmtId="0" fontId="39" fillId="0" borderId="0"/>
    <xf numFmtId="49" fontId="42" fillId="0" borderId="59" applyNumberFormat="0" applyFont="0" applyFill="0" applyBorder="0" applyProtection="0">
      <alignment horizontal="left" vertical="center" indent="5"/>
    </xf>
    <xf numFmtId="4" fontId="43" fillId="0" borderId="60" applyFill="0" applyBorder="0" applyProtection="0">
      <alignment horizontal="right" vertical="center"/>
    </xf>
    <xf numFmtId="174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39" fillId="0" borderId="0"/>
    <xf numFmtId="0" fontId="39" fillId="0" borderId="0"/>
    <xf numFmtId="0" fontId="1" fillId="0" borderId="0"/>
    <xf numFmtId="175" fontId="45" fillId="0" borderId="0" applyNumberFormat="0" applyProtection="0">
      <alignment horizontal="center" vertical="center"/>
    </xf>
    <xf numFmtId="0" fontId="40" fillId="0" borderId="0"/>
    <xf numFmtId="0" fontId="48" fillId="0" borderId="0"/>
    <xf numFmtId="4" fontId="42" fillId="0" borderId="61" applyFill="0" applyBorder="0" applyProtection="0">
      <alignment horizontal="right" vertical="center"/>
    </xf>
    <xf numFmtId="0" fontId="42" fillId="0" borderId="61" applyNumberFormat="0" applyFill="0" applyAlignment="0" applyProtection="0"/>
    <xf numFmtId="0" fontId="46" fillId="27" borderId="0" applyNumberFormat="0" applyFont="0" applyBorder="0" applyAlignment="0" applyProtection="0"/>
    <xf numFmtId="176" fontId="42" fillId="28" borderId="61" applyNumberFormat="0" applyFont="0" applyBorder="0" applyAlignment="0" applyProtection="0">
      <alignment horizontal="right" vertical="center"/>
    </xf>
    <xf numFmtId="9" fontId="39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0" borderId="0"/>
    <xf numFmtId="0" fontId="47" fillId="0" borderId="62">
      <alignment horizontal="center"/>
      <protection hidden="1"/>
    </xf>
  </cellStyleXfs>
  <cellXfs count="216">
    <xf numFmtId="0" fontId="0" fillId="0" borderId="0" xfId="0"/>
    <xf numFmtId="3" fontId="0" fillId="0" borderId="0" xfId="0" applyNumberFormat="1"/>
    <xf numFmtId="0" fontId="0" fillId="0" borderId="2" xfId="20" applyFont="1" applyBorder="1"/>
    <xf numFmtId="0" fontId="0" fillId="0" borderId="3" xfId="20" applyFont="1" applyBorder="1"/>
    <xf numFmtId="0" fontId="0" fillId="0" borderId="4" xfId="21" applyFont="1" applyBorder="1"/>
    <xf numFmtId="0" fontId="0" fillId="0" borderId="5" xfId="20" applyFont="1" applyBorder="1"/>
    <xf numFmtId="0" fontId="0" fillId="0" borderId="6" xfId="20" applyFont="1" applyBorder="1"/>
    <xf numFmtId="0" fontId="0" fillId="0" borderId="9" xfId="21" applyFont="1" applyBorder="1"/>
    <xf numFmtId="0" fontId="0" fillId="0" borderId="10" xfId="21" applyFont="1" applyBorder="1"/>
    <xf numFmtId="0" fontId="0" fillId="0" borderId="11" xfId="19" applyFont="1" applyBorder="1">
      <alignment horizontal="left"/>
    </xf>
    <xf numFmtId="0" fontId="0" fillId="0" borderId="12" xfId="19" applyFont="1" applyBorder="1">
      <alignment horizontal="left"/>
    </xf>
    <xf numFmtId="0" fontId="0" fillId="0" borderId="13" xfId="19" applyFont="1" applyBorder="1">
      <alignment horizontal="left"/>
    </xf>
    <xf numFmtId="0" fontId="0" fillId="0" borderId="14" xfId="19" applyFont="1" applyBorder="1">
      <alignment horizontal="left"/>
    </xf>
    <xf numFmtId="0" fontId="0" fillId="0" borderId="17" xfId="19" applyFont="1" applyBorder="1">
      <alignment horizontal="left"/>
    </xf>
    <xf numFmtId="0" fontId="0" fillId="0" borderId="18" xfId="19" applyFont="1" applyBorder="1">
      <alignment horizontal="left"/>
    </xf>
    <xf numFmtId="0" fontId="0" fillId="0" borderId="8" xfId="24" applyFont="1" applyBorder="1"/>
    <xf numFmtId="0" fontId="0" fillId="0" borderId="19" xfId="19" applyFont="1" applyBorder="1">
      <alignment horizontal="left"/>
    </xf>
    <xf numFmtId="0" fontId="0" fillId="0" borderId="20" xfId="19" applyFont="1" applyBorder="1">
      <alignment horizontal="left"/>
    </xf>
    <xf numFmtId="0" fontId="17" fillId="0" borderId="21" xfId="23" applyBorder="1">
      <alignment horizontal="left"/>
    </xf>
    <xf numFmtId="0" fontId="17" fillId="0" borderId="26" xfId="23" applyBorder="1">
      <alignment horizontal="left"/>
    </xf>
    <xf numFmtId="0" fontId="17" fillId="0" borderId="28" xfId="23" applyBorder="1">
      <alignment horizontal="left"/>
    </xf>
    <xf numFmtId="172" fontId="18" fillId="9" borderId="0" xfId="18" applyFont="1" applyFill="1"/>
    <xf numFmtId="172" fontId="18" fillId="10" borderId="0" xfId="18" applyFont="1" applyFill="1" applyAlignment="1">
      <alignment horizontal="center"/>
    </xf>
    <xf numFmtId="172" fontId="19" fillId="9" borderId="0" xfId="18" applyFont="1" applyFill="1" applyAlignment="1">
      <alignment horizontal="left" indent="2"/>
    </xf>
    <xf numFmtId="1" fontId="19" fillId="9" borderId="0" xfId="18" applyNumberFormat="1" applyFont="1" applyFill="1"/>
    <xf numFmtId="164" fontId="19" fillId="10" borderId="0" xfId="14" applyNumberFormat="1" applyFont="1" applyFill="1" applyBorder="1" applyAlignment="1" applyProtection="1">
      <alignment horizontal="right"/>
    </xf>
    <xf numFmtId="1" fontId="0" fillId="0" borderId="0" xfId="0" applyNumberFormat="1"/>
    <xf numFmtId="164" fontId="0" fillId="0" borderId="0" xfId="0" applyNumberFormat="1"/>
    <xf numFmtId="0" fontId="20" fillId="0" borderId="0" xfId="0" applyFont="1" applyAlignment="1">
      <alignment wrapText="1"/>
    </xf>
    <xf numFmtId="10" fontId="0" fillId="0" borderId="0" xfId="0" applyNumberFormat="1"/>
    <xf numFmtId="3" fontId="0" fillId="11" borderId="0" xfId="0" applyNumberFormat="1" applyFill="1"/>
    <xf numFmtId="3" fontId="0" fillId="12" borderId="0" xfId="0" applyNumberFormat="1" applyFill="1"/>
    <xf numFmtId="3" fontId="0" fillId="13" borderId="0" xfId="0" applyNumberFormat="1" applyFill="1"/>
    <xf numFmtId="3" fontId="0" fillId="14" borderId="0" xfId="0" applyNumberFormat="1" applyFill="1"/>
    <xf numFmtId="3" fontId="17" fillId="0" borderId="0" xfId="0" applyNumberFormat="1" applyFont="1"/>
    <xf numFmtId="10" fontId="0" fillId="13" borderId="0" xfId="0" applyNumberFormat="1" applyFill="1"/>
    <xf numFmtId="0" fontId="0" fillId="0" borderId="0" xfId="0" applyAlignment="1">
      <alignment horizontal="center" vertical="center"/>
    </xf>
    <xf numFmtId="0" fontId="21" fillId="15" borderId="0" xfId="0" applyFont="1" applyFill="1" applyBorder="1"/>
    <xf numFmtId="0" fontId="22" fillId="15" borderId="0" xfId="0" applyFont="1" applyFill="1" applyBorder="1"/>
    <xf numFmtId="0" fontId="22" fillId="0" borderId="0" xfId="0" applyFont="1" applyFill="1" applyBorder="1"/>
    <xf numFmtId="170" fontId="22" fillId="0" borderId="0" xfId="0" applyNumberFormat="1" applyFont="1" applyFill="1" applyBorder="1"/>
    <xf numFmtId="172" fontId="23" fillId="16" borderId="0" xfId="18" applyFont="1" applyFill="1" applyAlignment="1">
      <alignment horizontal="left" vertical="center" indent="1"/>
    </xf>
    <xf numFmtId="172" fontId="23" fillId="16" borderId="0" xfId="18" applyFont="1" applyFill="1" applyAlignment="1">
      <alignment horizontal="right" vertical="center"/>
    </xf>
    <xf numFmtId="0" fontId="24" fillId="0" borderId="31" xfId="0" applyFont="1" applyFill="1" applyBorder="1" applyAlignment="1">
      <alignment wrapText="1"/>
    </xf>
    <xf numFmtId="0" fontId="24" fillId="0" borderId="31" xfId="0" applyFont="1" applyFill="1" applyBorder="1" applyAlignment="1">
      <alignment horizontal="center" wrapText="1"/>
    </xf>
    <xf numFmtId="172" fontId="18" fillId="9" borderId="0" xfId="18" applyFont="1" applyFill="1" applyBorder="1"/>
    <xf numFmtId="172" fontId="19" fillId="9" borderId="0" xfId="18" applyFont="1" applyFill="1" applyBorder="1"/>
    <xf numFmtId="0" fontId="27" fillId="17" borderId="32" xfId="0" applyFont="1" applyFill="1" applyBorder="1" applyAlignment="1">
      <alignment horizontal="center" wrapText="1" readingOrder="1"/>
    </xf>
    <xf numFmtId="0" fontId="27" fillId="18" borderId="32" xfId="0" applyFont="1" applyFill="1" applyBorder="1" applyAlignment="1">
      <alignment horizontal="center" wrapText="1" readingOrder="1"/>
    </xf>
    <xf numFmtId="172" fontId="18" fillId="9" borderId="0" xfId="18" applyFont="1" applyFill="1" applyAlignment="1">
      <alignment horizontal="left" indent="1"/>
    </xf>
    <xf numFmtId="1" fontId="18" fillId="9" borderId="0" xfId="18" applyNumberFormat="1" applyFont="1" applyFill="1"/>
    <xf numFmtId="0" fontId="27" fillId="17" borderId="33" xfId="0" applyFont="1" applyFill="1" applyBorder="1" applyAlignment="1">
      <alignment horizontal="center" wrapText="1" readingOrder="1"/>
    </xf>
    <xf numFmtId="0" fontId="27" fillId="18" borderId="33" xfId="0" applyFont="1" applyFill="1" applyBorder="1" applyAlignment="1">
      <alignment horizontal="center" wrapText="1" readingOrder="1"/>
    </xf>
    <xf numFmtId="0" fontId="28" fillId="19" borderId="31" xfId="0" applyFont="1" applyFill="1" applyBorder="1" applyAlignment="1">
      <alignment horizontal="left" wrapText="1" readingOrder="1"/>
    </xf>
    <xf numFmtId="0" fontId="28" fillId="19" borderId="31" xfId="0" applyFont="1" applyFill="1" applyBorder="1" applyAlignment="1">
      <alignment horizontal="center" wrapText="1" readingOrder="1"/>
    </xf>
    <xf numFmtId="1" fontId="28" fillId="17" borderId="31" xfId="0" applyNumberFormat="1" applyFont="1" applyFill="1" applyBorder="1" applyAlignment="1">
      <alignment horizontal="center" wrapText="1" readingOrder="1"/>
    </xf>
    <xf numFmtId="1" fontId="28" fillId="18" borderId="31" xfId="0" applyNumberFormat="1" applyFont="1" applyFill="1" applyBorder="1" applyAlignment="1">
      <alignment horizontal="center" wrapText="1" readingOrder="1"/>
    </xf>
    <xf numFmtId="172" fontId="18" fillId="9" borderId="0" xfId="18" applyFont="1" applyFill="1" applyBorder="1" applyAlignment="1">
      <alignment horizontal="left" indent="1"/>
    </xf>
    <xf numFmtId="1" fontId="18" fillId="9" borderId="0" xfId="13" applyNumberFormat="1" applyFont="1" applyFill="1" applyBorder="1" applyAlignment="1" applyProtection="1">
      <alignment horizontal="right"/>
    </xf>
    <xf numFmtId="1" fontId="18" fillId="9" borderId="0" xfId="13" applyNumberFormat="1" applyFont="1" applyFill="1" applyBorder="1" applyAlignment="1" applyProtection="1"/>
    <xf numFmtId="0" fontId="28" fillId="17" borderId="31" xfId="0" applyFont="1" applyFill="1" applyBorder="1" applyAlignment="1">
      <alignment horizontal="center" wrapText="1" readingOrder="1"/>
    </xf>
    <xf numFmtId="0" fontId="28" fillId="18" borderId="31" xfId="0" applyFont="1" applyFill="1" applyBorder="1" applyAlignment="1">
      <alignment horizontal="center" wrapText="1" readingOrder="1"/>
    </xf>
    <xf numFmtId="0" fontId="28" fillId="18" borderId="31" xfId="0" applyFont="1" applyFill="1" applyBorder="1" applyAlignment="1">
      <alignment horizontal="center" vertical="center" wrapText="1" readingOrder="1"/>
    </xf>
    <xf numFmtId="172" fontId="19" fillId="9" borderId="0" xfId="18" applyFont="1" applyFill="1" applyBorder="1" applyAlignment="1">
      <alignment horizontal="left" indent="2"/>
    </xf>
    <xf numFmtId="1" fontId="19" fillId="9" borderId="0" xfId="18" applyNumberFormat="1" applyFont="1" applyFill="1" applyBorder="1"/>
    <xf numFmtId="164" fontId="28" fillId="17" borderId="31" xfId="0" applyNumberFormat="1" applyFont="1" applyFill="1" applyBorder="1" applyAlignment="1">
      <alignment horizontal="center" wrapText="1" readingOrder="1"/>
    </xf>
    <xf numFmtId="164" fontId="28" fillId="18" borderId="31" xfId="0" applyNumberFormat="1" applyFont="1" applyFill="1" applyBorder="1" applyAlignment="1">
      <alignment horizontal="center" wrapText="1" readingOrder="1"/>
    </xf>
    <xf numFmtId="172" fontId="29" fillId="9" borderId="0" xfId="18" applyFont="1" applyFill="1" applyBorder="1" applyAlignment="1">
      <alignment horizontal="left" indent="2"/>
    </xf>
    <xf numFmtId="172" fontId="18" fillId="9" borderId="0" xfId="18" applyFont="1" applyFill="1" applyBorder="1" applyAlignment="1">
      <alignment horizontal="right"/>
    </xf>
    <xf numFmtId="165" fontId="18" fillId="9" borderId="0" xfId="18" applyNumberFormat="1" applyFont="1" applyFill="1"/>
    <xf numFmtId="0" fontId="26" fillId="19" borderId="31" xfId="0" applyFont="1" applyFill="1" applyBorder="1" applyAlignment="1">
      <alignment horizontal="left" wrapText="1" readingOrder="1"/>
    </xf>
    <xf numFmtId="0" fontId="26" fillId="19" borderId="31" xfId="0" applyFont="1" applyFill="1" applyBorder="1" applyAlignment="1">
      <alignment horizontal="center" wrapText="1" readingOrder="1"/>
    </xf>
    <xf numFmtId="164" fontId="26" fillId="19" borderId="31" xfId="0" applyNumberFormat="1" applyFont="1" applyFill="1" applyBorder="1" applyAlignment="1">
      <alignment horizontal="center" wrapText="1" readingOrder="1"/>
    </xf>
    <xf numFmtId="165" fontId="19" fillId="9" borderId="0" xfId="18" applyNumberFormat="1" applyFont="1" applyFill="1"/>
    <xf numFmtId="172" fontId="19" fillId="9" borderId="0" xfId="18" applyFont="1" applyFill="1" applyAlignment="1">
      <alignment horizontal="left" indent="3"/>
    </xf>
    <xf numFmtId="165" fontId="19" fillId="9" borderId="0" xfId="18" applyNumberFormat="1" applyFont="1" applyFill="1" applyBorder="1"/>
    <xf numFmtId="164" fontId="28" fillId="19" borderId="31" xfId="0" applyNumberFormat="1" applyFont="1" applyFill="1" applyBorder="1" applyAlignment="1">
      <alignment horizontal="center" wrapText="1" readingOrder="1"/>
    </xf>
    <xf numFmtId="0" fontId="26" fillId="19" borderId="34" xfId="0" applyFont="1" applyFill="1" applyBorder="1" applyAlignment="1">
      <alignment wrapText="1" readingOrder="1"/>
    </xf>
    <xf numFmtId="166" fontId="19" fillId="9" borderId="0" xfId="18" applyNumberFormat="1" applyFont="1" applyFill="1"/>
    <xf numFmtId="167" fontId="19" fillId="9" borderId="0" xfId="18" applyNumberFormat="1" applyFont="1" applyFill="1"/>
    <xf numFmtId="167" fontId="19" fillId="9" borderId="0" xfId="18" applyNumberFormat="1" applyFont="1" applyFill="1" applyBorder="1"/>
    <xf numFmtId="0" fontId="28" fillId="19" borderId="34" xfId="0" applyFont="1" applyFill="1" applyBorder="1" applyAlignment="1">
      <alignment horizontal="left" wrapText="1" readingOrder="1"/>
    </xf>
    <xf numFmtId="0" fontId="24" fillId="19" borderId="35" xfId="0" applyFont="1" applyFill="1" applyBorder="1" applyAlignment="1">
      <alignment horizontal="center" wrapText="1"/>
    </xf>
    <xf numFmtId="0" fontId="24" fillId="19" borderId="31" xfId="0" applyFont="1" applyFill="1" applyBorder="1" applyAlignment="1">
      <alignment horizontal="center" wrapText="1"/>
    </xf>
    <xf numFmtId="172" fontId="19" fillId="9" borderId="0" xfId="18" applyFont="1" applyFill="1" applyBorder="1" applyAlignment="1">
      <alignment horizontal="left" indent="1"/>
    </xf>
    <xf numFmtId="166" fontId="19" fillId="9" borderId="0" xfId="18" applyNumberFormat="1" applyFont="1" applyFill="1" applyBorder="1"/>
    <xf numFmtId="3" fontId="0" fillId="20" borderId="0" xfId="0" applyNumberFormat="1" applyFill="1"/>
    <xf numFmtId="3" fontId="0" fillId="21" borderId="0" xfId="0" applyNumberFormat="1" applyFill="1"/>
    <xf numFmtId="0" fontId="0" fillId="21" borderId="0" xfId="0" applyFill="1"/>
    <xf numFmtId="172" fontId="29" fillId="0" borderId="36" xfId="18" applyFont="1" applyBorder="1" applyAlignment="1"/>
    <xf numFmtId="2" fontId="0" fillId="0" borderId="0" xfId="0" applyNumberFormat="1"/>
    <xf numFmtId="9" fontId="0" fillId="0" borderId="0" xfId="0" applyNumberFormat="1"/>
    <xf numFmtId="0" fontId="17" fillId="22" borderId="0" xfId="0" applyFont="1" applyFill="1"/>
    <xf numFmtId="0" fontId="0" fillId="0" borderId="37" xfId="20" applyFont="1" applyBorder="1"/>
    <xf numFmtId="0" fontId="0" fillId="0" borderId="15" xfId="24" applyFont="1" applyBorder="1"/>
    <xf numFmtId="0" fontId="0" fillId="0" borderId="16" xfId="24" applyFont="1" applyBorder="1"/>
    <xf numFmtId="0" fontId="0" fillId="0" borderId="22" xfId="24" applyFont="1" applyBorder="1"/>
    <xf numFmtId="0" fontId="17" fillId="0" borderId="23" xfId="22" applyBorder="1"/>
    <xf numFmtId="0" fontId="0" fillId="0" borderId="0" xfId="24" applyFont="1"/>
    <xf numFmtId="0" fontId="0" fillId="0" borderId="7" xfId="24" applyFont="1" applyBorder="1"/>
    <xf numFmtId="0" fontId="17" fillId="0" borderId="38" xfId="22" applyBorder="1"/>
    <xf numFmtId="0" fontId="0" fillId="0" borderId="11" xfId="24" applyFont="1" applyBorder="1"/>
    <xf numFmtId="0" fontId="0" fillId="0" borderId="12" xfId="24" applyFont="1" applyBorder="1"/>
    <xf numFmtId="0" fontId="0" fillId="0" borderId="24" xfId="24" applyFont="1" applyBorder="1"/>
    <xf numFmtId="0" fontId="17" fillId="0" borderId="25" xfId="22" applyBorder="1"/>
    <xf numFmtId="0" fontId="17" fillId="0" borderId="39" xfId="23" applyBorder="1">
      <alignment horizontal="left"/>
    </xf>
    <xf numFmtId="0" fontId="17" fillId="0" borderId="29" xfId="22" applyBorder="1"/>
    <xf numFmtId="0" fontId="17" fillId="0" borderId="27" xfId="22" applyBorder="1"/>
    <xf numFmtId="0" fontId="17" fillId="0" borderId="28" xfId="22" applyBorder="1"/>
    <xf numFmtId="0" fontId="17" fillId="0" borderId="30" xfId="22" applyBorder="1"/>
    <xf numFmtId="164" fontId="0" fillId="0" borderId="15" xfId="24" applyNumberFormat="1" applyFont="1" applyBorder="1"/>
    <xf numFmtId="164" fontId="0" fillId="0" borderId="16" xfId="24" applyNumberFormat="1" applyFont="1" applyBorder="1"/>
    <xf numFmtId="164" fontId="0" fillId="0" borderId="22" xfId="24" applyNumberFormat="1" applyFont="1" applyBorder="1"/>
    <xf numFmtId="164" fontId="17" fillId="0" borderId="23" xfId="22" applyNumberFormat="1" applyBorder="1"/>
    <xf numFmtId="164" fontId="0" fillId="0" borderId="8" xfId="24" applyNumberFormat="1" applyFont="1" applyBorder="1"/>
    <xf numFmtId="164" fontId="0" fillId="0" borderId="0" xfId="24" applyNumberFormat="1" applyFont="1"/>
    <xf numFmtId="164" fontId="0" fillId="0" borderId="7" xfId="24" applyNumberFormat="1" applyFont="1" applyBorder="1"/>
    <xf numFmtId="164" fontId="17" fillId="0" borderId="38" xfId="22" applyNumberFormat="1" applyBorder="1"/>
    <xf numFmtId="164" fontId="0" fillId="0" borderId="11" xfId="24" applyNumberFormat="1" applyFont="1" applyBorder="1"/>
    <xf numFmtId="164" fontId="0" fillId="0" borderId="12" xfId="24" applyNumberFormat="1" applyFont="1" applyBorder="1"/>
    <xf numFmtId="164" fontId="0" fillId="0" borderId="24" xfId="24" applyNumberFormat="1" applyFont="1" applyBorder="1"/>
    <xf numFmtId="164" fontId="17" fillId="0" borderId="25" xfId="22" applyNumberFormat="1" applyBorder="1"/>
    <xf numFmtId="164" fontId="17" fillId="0" borderId="29" xfId="22" applyNumberFormat="1" applyBorder="1"/>
    <xf numFmtId="164" fontId="17" fillId="0" borderId="27" xfId="22" applyNumberFormat="1" applyBorder="1"/>
    <xf numFmtId="164" fontId="17" fillId="0" borderId="28" xfId="22" applyNumberFormat="1" applyBorder="1"/>
    <xf numFmtId="164" fontId="17" fillId="0" borderId="30" xfId="22" applyNumberFormat="1" applyBorder="1"/>
    <xf numFmtId="0" fontId="17" fillId="0" borderId="0" xfId="0" applyFont="1"/>
    <xf numFmtId="0" fontId="0" fillId="3" borderId="0" xfId="0" applyFill="1"/>
    <xf numFmtId="1" fontId="0" fillId="3" borderId="0" xfId="0" applyNumberFormat="1" applyFill="1"/>
    <xf numFmtId="1" fontId="0" fillId="14" borderId="0" xfId="0" applyNumberFormat="1" applyFill="1"/>
    <xf numFmtId="0" fontId="0" fillId="0" borderId="0" xfId="0" applyAlignment="1">
      <alignment horizontal="right"/>
    </xf>
    <xf numFmtId="0" fontId="0" fillId="23" borderId="0" xfId="0" applyFill="1"/>
    <xf numFmtId="164" fontId="17" fillId="0" borderId="0" xfId="0" applyNumberFormat="1" applyFont="1"/>
    <xf numFmtId="0" fontId="17" fillId="0" borderId="15" xfId="0" applyFont="1" applyBorder="1"/>
    <xf numFmtId="0" fontId="0" fillId="0" borderId="16" xfId="0" applyBorder="1"/>
    <xf numFmtId="0" fontId="0" fillId="0" borderId="22" xfId="0" applyBorder="1"/>
    <xf numFmtId="0" fontId="0" fillId="0" borderId="8" xfId="0" applyBorder="1"/>
    <xf numFmtId="164" fontId="0" fillId="22" borderId="0" xfId="0" applyNumberFormat="1" applyFill="1"/>
    <xf numFmtId="0" fontId="0" fillId="0" borderId="7" xfId="0" applyBorder="1"/>
    <xf numFmtId="0" fontId="0" fillId="24" borderId="0" xfId="0" applyFill="1"/>
    <xf numFmtId="0" fontId="0" fillId="22" borderId="0" xfId="0" applyFill="1"/>
    <xf numFmtId="0" fontId="0" fillId="0" borderId="11" xfId="0" applyBorder="1"/>
    <xf numFmtId="0" fontId="0" fillId="0" borderId="12" xfId="0" applyBorder="1"/>
    <xf numFmtId="0" fontId="0" fillId="0" borderId="24" xfId="0" applyBorder="1"/>
    <xf numFmtId="3" fontId="0" fillId="22" borderId="0" xfId="0" applyNumberFormat="1" applyFill="1"/>
    <xf numFmtId="168" fontId="0" fillId="0" borderId="0" xfId="0" applyNumberFormat="1"/>
    <xf numFmtId="0" fontId="0" fillId="13" borderId="0" xfId="0" applyFill="1"/>
    <xf numFmtId="169" fontId="0" fillId="0" borderId="0" xfId="0" applyNumberFormat="1"/>
    <xf numFmtId="169" fontId="0" fillId="13" borderId="0" xfId="0" applyNumberFormat="1" applyFill="1"/>
    <xf numFmtId="0" fontId="0" fillId="0" borderId="0" xfId="0" applyNumberFormat="1"/>
    <xf numFmtId="0" fontId="0" fillId="0" borderId="0" xfId="0" applyBorder="1"/>
    <xf numFmtId="0" fontId="0" fillId="0" borderId="0" xfId="20" applyFont="1" applyBorder="1"/>
    <xf numFmtId="0" fontId="0" fillId="0" borderId="0" xfId="19" applyFont="1" applyBorder="1">
      <alignment horizontal="left"/>
    </xf>
    <xf numFmtId="1" fontId="0" fillId="0" borderId="0" xfId="24" applyNumberFormat="1" applyFont="1" applyBorder="1"/>
    <xf numFmtId="4" fontId="0" fillId="0" borderId="0" xfId="0" applyNumberFormat="1"/>
    <xf numFmtId="173" fontId="0" fillId="0" borderId="0" xfId="1" applyNumberFormat="1" applyFont="1"/>
    <xf numFmtId="173" fontId="0" fillId="12" borderId="0" xfId="1" applyNumberFormat="1" applyFont="1" applyFill="1"/>
    <xf numFmtId="0" fontId="0" fillId="0" borderId="0" xfId="0" pivotButton="1"/>
    <xf numFmtId="0" fontId="0" fillId="0" borderId="40" xfId="0" pivotButton="1" applyBorder="1"/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0" fillId="0" borderId="40" xfId="0" applyNumberFormat="1" applyBorder="1"/>
    <xf numFmtId="0" fontId="0" fillId="0" borderId="43" xfId="0" applyNumberFormat="1" applyBorder="1"/>
    <xf numFmtId="0" fontId="0" fillId="0" borderId="44" xfId="0" applyNumberFormat="1" applyBorder="1"/>
    <xf numFmtId="0" fontId="0" fillId="0" borderId="45" xfId="0" applyBorder="1"/>
    <xf numFmtId="0" fontId="0" fillId="0" borderId="46" xfId="0" applyBorder="1"/>
    <xf numFmtId="0" fontId="0" fillId="0" borderId="46" xfId="0" applyNumberFormat="1" applyBorder="1"/>
    <xf numFmtId="0" fontId="0" fillId="0" borderId="47" xfId="0" applyNumberFormat="1" applyBorder="1"/>
    <xf numFmtId="0" fontId="17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48" xfId="0" applyBorder="1"/>
    <xf numFmtId="0" fontId="0" fillId="0" borderId="48" xfId="0" applyNumberFormat="1" applyBorder="1"/>
    <xf numFmtId="0" fontId="0" fillId="0" borderId="49" xfId="0" applyNumberFormat="1" applyBorder="1"/>
    <xf numFmtId="0" fontId="0" fillId="0" borderId="50" xfId="0" applyNumberFormat="1" applyBorder="1"/>
    <xf numFmtId="0" fontId="17" fillId="0" borderId="51" xfId="0" applyFon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3" fontId="0" fillId="0" borderId="0" xfId="0" applyNumberFormat="1" applyBorder="1"/>
    <xf numFmtId="3" fontId="0" fillId="22" borderId="0" xfId="0" applyNumberFormat="1" applyFill="1" applyBorder="1"/>
    <xf numFmtId="0" fontId="0" fillId="0" borderId="55" xfId="0" applyBorder="1"/>
    <xf numFmtId="1" fontId="0" fillId="0" borderId="0" xfId="0" applyNumberForma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73" fontId="0" fillId="0" borderId="0" xfId="1" applyNumberFormat="1" applyFont="1" applyBorder="1"/>
    <xf numFmtId="173" fontId="0" fillId="25" borderId="0" xfId="1" applyNumberFormat="1" applyFont="1" applyFill="1" applyBorder="1"/>
    <xf numFmtId="173" fontId="0" fillId="0" borderId="57" xfId="1" applyNumberFormat="1" applyFont="1" applyBorder="1"/>
    <xf numFmtId="173" fontId="0" fillId="26" borderId="0" xfId="1" applyNumberFormat="1" applyFont="1" applyFill="1" applyBorder="1"/>
    <xf numFmtId="0" fontId="0" fillId="0" borderId="0" xfId="0" applyFill="1" applyBorder="1"/>
    <xf numFmtId="173" fontId="0" fillId="0" borderId="0" xfId="0" applyNumberFormat="1"/>
    <xf numFmtId="0" fontId="37" fillId="0" borderId="51" xfId="0" applyFont="1" applyBorder="1"/>
    <xf numFmtId="0" fontId="0" fillId="0" borderId="54" xfId="0" applyFill="1" applyBorder="1"/>
    <xf numFmtId="173" fontId="0" fillId="0" borderId="0" xfId="0" applyNumberFormat="1" applyBorder="1"/>
    <xf numFmtId="168" fontId="0" fillId="0" borderId="0" xfId="28" applyNumberFormat="1" applyFont="1" applyBorder="1"/>
    <xf numFmtId="0" fontId="9" fillId="7" borderId="0" xfId="4"/>
    <xf numFmtId="0" fontId="38" fillId="0" borderId="0" xfId="0" applyFont="1"/>
    <xf numFmtId="168" fontId="0" fillId="0" borderId="0" xfId="28" applyNumberFormat="1" applyFont="1"/>
    <xf numFmtId="0" fontId="25" fillId="17" borderId="31" xfId="0" applyFont="1" applyFill="1" applyBorder="1" applyAlignment="1">
      <alignment horizontal="center" wrapText="1" readingOrder="1"/>
    </xf>
    <xf numFmtId="0" fontId="25" fillId="18" borderId="31" xfId="0" applyFont="1" applyFill="1" applyBorder="1" applyAlignment="1">
      <alignment horizontal="center" wrapText="1" readingOrder="1"/>
    </xf>
    <xf numFmtId="0" fontId="28" fillId="18" borderId="31" xfId="0" applyFont="1" applyFill="1" applyBorder="1" applyAlignment="1">
      <alignment horizontal="center" wrapText="1" readingOrder="1"/>
    </xf>
    <xf numFmtId="0" fontId="26" fillId="19" borderId="31" xfId="0" applyFont="1" applyFill="1" applyBorder="1" applyAlignment="1">
      <alignment horizontal="left" wrapText="1" readingOrder="1"/>
    </xf>
    <xf numFmtId="0" fontId="28" fillId="19" borderId="31" xfId="0" applyFont="1" applyFill="1" applyBorder="1" applyAlignment="1">
      <alignment horizontal="center" vertical="top" wrapText="1" readingOrder="1"/>
    </xf>
    <xf numFmtId="0" fontId="26" fillId="19" borderId="31" xfId="0" applyFont="1" applyFill="1" applyBorder="1" applyAlignment="1">
      <alignment horizontal="left" vertical="center" wrapText="1" readingOrder="1"/>
    </xf>
    <xf numFmtId="172" fontId="18" fillId="10" borderId="0" xfId="18" applyFont="1" applyFill="1" applyBorder="1" applyAlignment="1">
      <alignment horizontal="center"/>
    </xf>
    <xf numFmtId="0" fontId="26" fillId="15" borderId="31" xfId="0" applyFont="1" applyFill="1" applyBorder="1" applyAlignment="1">
      <alignment horizontal="left" wrapText="1" readingOrder="1"/>
    </xf>
    <xf numFmtId="0" fontId="27" fillId="19" borderId="31" xfId="0" applyFont="1" applyFill="1" applyBorder="1" applyAlignment="1">
      <alignment horizontal="center" wrapText="1" readingOrder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horizontal="center" vertical="center" textRotation="90"/>
    </xf>
    <xf numFmtId="0" fontId="34" fillId="0" borderId="0" xfId="0" applyFont="1" applyAlignment="1">
      <alignment horizontal="center" vertical="center" textRotation="90"/>
    </xf>
    <xf numFmtId="0" fontId="35" fillId="0" borderId="0" xfId="0" applyFont="1" applyAlignment="1">
      <alignment horizontal="center" vertical="center" textRotation="90"/>
    </xf>
    <xf numFmtId="0" fontId="17" fillId="0" borderId="0" xfId="0" applyFont="1" applyAlignment="1">
      <alignment horizontal="center" vertical="center"/>
    </xf>
  </cellXfs>
  <cellStyles count="49">
    <cellStyle name="5x indented GHG Textfiels" xfId="30"/>
    <cellStyle name="Accent" xfId="8"/>
    <cellStyle name="Accent 1" xfId="9"/>
    <cellStyle name="Accent 2" xfId="10"/>
    <cellStyle name="Accent 3" xfId="11"/>
    <cellStyle name="Bad" xfId="5" builtinId="27" customBuiltin="1"/>
    <cellStyle name="Bold GHG Numbers (0.00)" xfId="31"/>
    <cellStyle name="Comma" xfId="1" builtinId="3"/>
    <cellStyle name="Comma 2" xfId="33"/>
    <cellStyle name="Comma 3" xfId="32"/>
    <cellStyle name="Error" xfId="12"/>
    <cellStyle name="Excel_BuiltIn_Comma" xfId="13"/>
    <cellStyle name="Excel_BuiltIn_Percent" xfId="14"/>
    <cellStyle name="Footnote" xfId="15"/>
    <cellStyle name="Good" xfId="4" builtinId="26" customBuiltin="1"/>
    <cellStyle name="Heading" xfId="16"/>
    <cellStyle name="Heading 1" xfId="2" builtinId="16" customBuiltin="1"/>
    <cellStyle name="Heading 2" xfId="3" builtinId="17" customBuiltin="1"/>
    <cellStyle name="Headline" xfId="34"/>
    <cellStyle name="Hyperlink" xfId="17"/>
    <cellStyle name="Neutral" xfId="6" builtinId="28" customBuiltin="1"/>
    <cellStyle name="Normal" xfId="0" builtinId="0" customBuiltin="1"/>
    <cellStyle name="Normal 2" xfId="35"/>
    <cellStyle name="Normal 3" xfId="36"/>
    <cellStyle name="Normal 4" xfId="37"/>
    <cellStyle name="Normal 5" xfId="38"/>
    <cellStyle name="Normal 6" xfId="39"/>
    <cellStyle name="Normal 7" xfId="40"/>
    <cellStyle name="Normal 8" xfId="29"/>
    <cellStyle name="Normal GHG Numbers (0.00)" xfId="41"/>
    <cellStyle name="Normal GHG whole table" xfId="42"/>
    <cellStyle name="Normal GHG-Shade" xfId="43"/>
    <cellStyle name="Normal_AppendixAU" xfId="18"/>
    <cellStyle name="Note" xfId="7" builtinId="10" customBuiltin="1"/>
    <cellStyle name="Pattern" xfId="44"/>
    <cellStyle name="Percent" xfId="28" builtinId="5"/>
    <cellStyle name="Percent 2" xfId="46"/>
    <cellStyle name="Percent 3" xfId="45"/>
    <cellStyle name="Pivot Table Category" xfId="19"/>
    <cellStyle name="Pivot Table Corner" xfId="20"/>
    <cellStyle name="Pivot Table Field" xfId="21"/>
    <cellStyle name="Pivot Table Result" xfId="22"/>
    <cellStyle name="Pivot Table Title" xfId="23"/>
    <cellStyle name="Pivot Table Value" xfId="24"/>
    <cellStyle name="Standard_FI00EU01" xfId="47"/>
    <cellStyle name="Status" xfId="25"/>
    <cellStyle name="Text" xfId="26"/>
    <cellStyle name="Warning" xfId="27"/>
    <cellStyle name="Year" xfId="48"/>
  </cellStyles>
  <dxfs count="1">
    <dxf>
      <numFmt numFmtId="173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DE!$E$42:$L$42</c:f>
              <c:numCache>
                <c:formatCode>#,##0</c:formatCode>
                <c:ptCount val="8"/>
                <c:pt idx="0">
                  <c:v>22969.789281113448</c:v>
                </c:pt>
                <c:pt idx="1">
                  <c:v>20976.867464505089</c:v>
                </c:pt>
                <c:pt idx="2">
                  <c:v>18323.881731284404</c:v>
                </c:pt>
                <c:pt idx="3">
                  <c:v>14929.976784762976</c:v>
                </c:pt>
                <c:pt idx="4">
                  <c:v>12272.900160068119</c:v>
                </c:pt>
                <c:pt idx="5">
                  <c:v>10741.93187083735</c:v>
                </c:pt>
                <c:pt idx="6">
                  <c:v>9309.330063145042</c:v>
                </c:pt>
                <c:pt idx="7">
                  <c:v>11473.496169855274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DE!$E$44:$L$44</c:f>
              <c:numCache>
                <c:formatCode>#,##0</c:formatCode>
                <c:ptCount val="8"/>
                <c:pt idx="0">
                  <c:v>29849.629548886554</c:v>
                </c:pt>
                <c:pt idx="1">
                  <c:v>28193.116721121714</c:v>
                </c:pt>
                <c:pt idx="2">
                  <c:v>25692.048454342392</c:v>
                </c:pt>
                <c:pt idx="3">
                  <c:v>21844.913400863723</c:v>
                </c:pt>
                <c:pt idx="4">
                  <c:v>13460.60017555858</c:v>
                </c:pt>
                <c:pt idx="5">
                  <c:v>11781.47366478935</c:v>
                </c:pt>
                <c:pt idx="6">
                  <c:v>10210.232972481657</c:v>
                </c:pt>
                <c:pt idx="7">
                  <c:v>12583.834508873524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97248"/>
        <c:axId val="488296128"/>
      </c:areaChart>
      <c:valAx>
        <c:axId val="488296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88297248"/>
        <c:crossesAt val="0"/>
        <c:crossBetween val="midCat"/>
      </c:valAx>
      <c:catAx>
        <c:axId val="4882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8829612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CH!$B$178:$B$178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CH!$C$178:$J$178</c:f>
              <c:numCache>
                <c:formatCode>General</c:formatCode>
                <c:ptCount val="8"/>
                <c:pt idx="0">
                  <c:v>3273.5692562897402</c:v>
                </c:pt>
                <c:pt idx="1">
                  <c:v>2875.3110312413601</c:v>
                </c:pt>
                <c:pt idx="2">
                  <c:v>2167.5421620127199</c:v>
                </c:pt>
                <c:pt idx="3">
                  <c:v>1194.3599668233301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CH!$B$179:$B$179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CH!$C$179:$J$179</c:f>
              <c:numCache>
                <c:formatCode>General</c:formatCode>
                <c:ptCount val="8"/>
                <c:pt idx="0">
                  <c:v>3273.4310201824701</c:v>
                </c:pt>
                <c:pt idx="1">
                  <c:v>2875.3110312413601</c:v>
                </c:pt>
                <c:pt idx="2">
                  <c:v>2145.4243848493202</c:v>
                </c:pt>
                <c:pt idx="3">
                  <c:v>1194.3599668233301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CH!$B$180:$B$180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CH!$C$180:$J$180</c:f>
              <c:numCache>
                <c:formatCode>General</c:formatCode>
                <c:ptCount val="8"/>
                <c:pt idx="0">
                  <c:v>3273.2927840752</c:v>
                </c:pt>
                <c:pt idx="1">
                  <c:v>2875.3110312413601</c:v>
                </c:pt>
                <c:pt idx="2">
                  <c:v>2167.4039259054498</c:v>
                </c:pt>
                <c:pt idx="3">
                  <c:v>1194.3599668233301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CH!$B$181:$B$181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CH!$C$181:$J$181</c:f>
              <c:numCache>
                <c:formatCode>General</c:formatCode>
                <c:ptCount val="8"/>
                <c:pt idx="0">
                  <c:v>3272.6644555002799</c:v>
                </c:pt>
                <c:pt idx="1">
                  <c:v>2907.8220011055801</c:v>
                </c:pt>
                <c:pt idx="2">
                  <c:v>2166.8048645660601</c:v>
                </c:pt>
                <c:pt idx="3">
                  <c:v>1194.0298507462701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CH!$B$182:$B$182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CH!$C$182:$J$182</c:f>
              <c:numCache>
                <c:formatCode>General</c:formatCode>
                <c:ptCount val="8"/>
                <c:pt idx="0">
                  <c:v>3247.58354045844</c:v>
                </c:pt>
                <c:pt idx="1">
                  <c:v>2874.5163073521298</c:v>
                </c:pt>
                <c:pt idx="2">
                  <c:v>2166.9430624654501</c:v>
                </c:pt>
                <c:pt idx="3">
                  <c:v>1194.0298507462701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CH!$B$183:$B$183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CH!$C$183:$J$183</c:f>
              <c:numCache>
                <c:formatCode>General</c:formatCode>
                <c:ptCount val="8"/>
                <c:pt idx="0">
                  <c:v>3273.4310201824701</c:v>
                </c:pt>
                <c:pt idx="1">
                  <c:v>2853.33149018524</c:v>
                </c:pt>
                <c:pt idx="2">
                  <c:v>2145.5626209565899</c:v>
                </c:pt>
                <c:pt idx="3">
                  <c:v>1194.49820293061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CH!$B$184:$B$184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CH!$C$184:$J$184</c:f>
              <c:numCache>
                <c:formatCode>General</c:formatCode>
                <c:ptCount val="8"/>
                <c:pt idx="0">
                  <c:v>3273.5692562897402</c:v>
                </c:pt>
                <c:pt idx="1">
                  <c:v>2875.3110312413601</c:v>
                </c:pt>
                <c:pt idx="2">
                  <c:v>2167.4039259054498</c:v>
                </c:pt>
                <c:pt idx="3">
                  <c:v>1194.3599668233301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CH!$B$185:$B$185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CH!$C$177:$J$177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CH!$C$185:$J$185</c:f>
              <c:numCache>
                <c:formatCode>General</c:formatCode>
                <c:ptCount val="8"/>
                <c:pt idx="0">
                  <c:v>3273.5692562897402</c:v>
                </c:pt>
                <c:pt idx="1">
                  <c:v>2875.3110312413601</c:v>
                </c:pt>
                <c:pt idx="2">
                  <c:v>2167.6803981199901</c:v>
                </c:pt>
                <c:pt idx="3">
                  <c:v>1194.49820293061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88320"/>
        <c:axId val="468687760"/>
      </c:lineChart>
      <c:valAx>
        <c:axId val="468687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8688320"/>
        <c:crossesAt val="0"/>
        <c:crossBetween val="between"/>
      </c:valAx>
      <c:catAx>
        <c:axId val="4686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86877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CH!$B$190:$B$190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CH!$C$190:$J$190</c:f>
              <c:numCache>
                <c:formatCode>0.0</c:formatCode>
                <c:ptCount val="8"/>
                <c:pt idx="0">
                  <c:v>439.268492108766</c:v>
                </c:pt>
                <c:pt idx="1">
                  <c:v>439.268492108766</c:v>
                </c:pt>
                <c:pt idx="2">
                  <c:v>414.63116760860999</c:v>
                </c:pt>
                <c:pt idx="3">
                  <c:v>406.41872610855802</c:v>
                </c:pt>
                <c:pt idx="4">
                  <c:v>406.41872610855802</c:v>
                </c:pt>
                <c:pt idx="5">
                  <c:v>398.206284608506</c:v>
                </c:pt>
                <c:pt idx="6">
                  <c:v>398.206284608506</c:v>
                </c:pt>
                <c:pt idx="7">
                  <c:v>398.206284608506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CH!$B$191:$B$191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CH!$C$191:$J$191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CH!$B$192:$B$192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CH!$C$192:$J$192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CH!$B$193:$B$193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CH!$C$193:$J$193</c:f>
              <c:numCache>
                <c:formatCode>0.0</c:formatCode>
                <c:ptCount val="8"/>
                <c:pt idx="0">
                  <c:v>439.268492108766</c:v>
                </c:pt>
                <c:pt idx="1">
                  <c:v>439.268492108766</c:v>
                </c:pt>
                <c:pt idx="2">
                  <c:v>414.63116760860999</c:v>
                </c:pt>
                <c:pt idx="3">
                  <c:v>406.41872610855802</c:v>
                </c:pt>
                <c:pt idx="4">
                  <c:v>406.41872610855802</c:v>
                </c:pt>
                <c:pt idx="5">
                  <c:v>398.206284608506</c:v>
                </c:pt>
                <c:pt idx="6">
                  <c:v>398.206284608506</c:v>
                </c:pt>
                <c:pt idx="7">
                  <c:v>398.206284608506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CH!$B$194:$B$194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CH!$C$194:$J$194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CH!$B$195:$B$195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CH!$C$195:$J$195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CH!$B$196:$B$196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CH!$C$196:$J$196</c:f>
              <c:numCache>
                <c:formatCode>0.0</c:formatCode>
                <c:ptCount val="8"/>
                <c:pt idx="0">
                  <c:v>439.268492108766</c:v>
                </c:pt>
                <c:pt idx="1">
                  <c:v>439.268492108766</c:v>
                </c:pt>
                <c:pt idx="2">
                  <c:v>414.63116760860999</c:v>
                </c:pt>
                <c:pt idx="3">
                  <c:v>406.41872610855802</c:v>
                </c:pt>
                <c:pt idx="4">
                  <c:v>406.41872610855802</c:v>
                </c:pt>
                <c:pt idx="5">
                  <c:v>398.206284608506</c:v>
                </c:pt>
                <c:pt idx="6">
                  <c:v>398.206284608506</c:v>
                </c:pt>
                <c:pt idx="7">
                  <c:v>398.206284608506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CH!$B$197:$B$197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CH!$C$189:$J$189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CH!$C$197:$J$197</c:f>
              <c:numCache>
                <c:formatCode>0.0</c:formatCode>
                <c:ptCount val="8"/>
                <c:pt idx="0">
                  <c:v>439.268492108766</c:v>
                </c:pt>
                <c:pt idx="1">
                  <c:v>470.22880300472502</c:v>
                </c:pt>
                <c:pt idx="2">
                  <c:v>506.81826133631301</c:v>
                </c:pt>
                <c:pt idx="3">
                  <c:v>532.14942479664398</c:v>
                </c:pt>
                <c:pt idx="4">
                  <c:v>532.14942479664398</c:v>
                </c:pt>
                <c:pt idx="5">
                  <c:v>534.96399851445801</c:v>
                </c:pt>
                <c:pt idx="6">
                  <c:v>534.96399851445801</c:v>
                </c:pt>
                <c:pt idx="7">
                  <c:v>534.96399851445801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60160"/>
        <c:axId val="601559600"/>
      </c:lineChart>
      <c:valAx>
        <c:axId val="601559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60160"/>
        <c:crossesAt val="0"/>
        <c:crossBetween val="between"/>
      </c:valAx>
      <c:catAx>
        <c:axId val="6015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5960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CH!$B$201:$B$201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CH!$C$201:$J$201</c:f>
              <c:numCache>
                <c:formatCode>0.0</c:formatCode>
                <c:ptCount val="8"/>
                <c:pt idx="0">
                  <c:v>46.2</c:v>
                </c:pt>
                <c:pt idx="1">
                  <c:v>126.737463241436</c:v>
                </c:pt>
                <c:pt idx="2">
                  <c:v>225.17214053652401</c:v>
                </c:pt>
                <c:pt idx="3">
                  <c:v>305.70960377796001</c:v>
                </c:pt>
                <c:pt idx="4">
                  <c:v>308.69247278690199</c:v>
                </c:pt>
                <c:pt idx="5">
                  <c:v>317.64107981372803</c:v>
                </c:pt>
                <c:pt idx="6">
                  <c:v>326.58968684055401</c:v>
                </c:pt>
                <c:pt idx="7">
                  <c:v>326.58968684055401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CH!$B$202:$B$202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CH!$C$202:$J$202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CH!$B$203:$B$203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CH!$C$203:$J$203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CH!$B$204:$B$204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CH!$C$204:$J$204</c:f>
              <c:numCache>
                <c:formatCode>0.0</c:formatCode>
                <c:ptCount val="8"/>
                <c:pt idx="0">
                  <c:v>46.2</c:v>
                </c:pt>
                <c:pt idx="1">
                  <c:v>126.737463241436</c:v>
                </c:pt>
                <c:pt idx="2">
                  <c:v>225.17214053652401</c:v>
                </c:pt>
                <c:pt idx="3">
                  <c:v>305.70960377796001</c:v>
                </c:pt>
                <c:pt idx="4">
                  <c:v>308.69247278690199</c:v>
                </c:pt>
                <c:pt idx="5">
                  <c:v>317.64107981372803</c:v>
                </c:pt>
                <c:pt idx="6">
                  <c:v>326.58968684055401</c:v>
                </c:pt>
                <c:pt idx="7">
                  <c:v>326.58968684055401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CH!$B$205:$B$205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CH!$C$205:$J$205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CH!$B$206:$B$206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CH!$C$206:$J$206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CH!$B$207:$B$207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CH!$C$207:$J$207</c:f>
              <c:numCache>
                <c:formatCode>0.0</c:formatCode>
                <c:ptCount val="8"/>
                <c:pt idx="0">
                  <c:v>46.2</c:v>
                </c:pt>
                <c:pt idx="1">
                  <c:v>126.737463241436</c:v>
                </c:pt>
                <c:pt idx="2">
                  <c:v>225.17214053652401</c:v>
                </c:pt>
                <c:pt idx="3">
                  <c:v>305.70960377796001</c:v>
                </c:pt>
                <c:pt idx="4">
                  <c:v>308.69247278690199</c:v>
                </c:pt>
                <c:pt idx="5">
                  <c:v>317.64107981372803</c:v>
                </c:pt>
                <c:pt idx="6">
                  <c:v>326.58968684055401</c:v>
                </c:pt>
                <c:pt idx="7">
                  <c:v>326.58968684055401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CH!$B$208:$B$208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CH!$C$200:$J$200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CH!$C$208:$J$208</c:f>
              <c:numCache>
                <c:formatCode>0.0</c:formatCode>
                <c:ptCount val="8"/>
                <c:pt idx="0">
                  <c:v>46.2</c:v>
                </c:pt>
                <c:pt idx="1">
                  <c:v>191.26334532998399</c:v>
                </c:pt>
                <c:pt idx="2">
                  <c:v>407.58587783961002</c:v>
                </c:pt>
                <c:pt idx="3">
                  <c:v>585.73384578871298</c:v>
                </c:pt>
                <c:pt idx="4">
                  <c:v>639.17823617344402</c:v>
                </c:pt>
                <c:pt idx="5">
                  <c:v>662.08297490975701</c:v>
                </c:pt>
                <c:pt idx="6">
                  <c:v>672.26285879256295</c:v>
                </c:pt>
                <c:pt idx="7">
                  <c:v>674.80782976326498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67440"/>
        <c:axId val="601566880"/>
      </c:lineChart>
      <c:valAx>
        <c:axId val="601566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67440"/>
        <c:crossesAt val="0"/>
        <c:crossBetween val="between"/>
      </c:valAx>
      <c:catAx>
        <c:axId val="6015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668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CH!$B$212:$B$212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CH!$C$212:$J$212</c:f>
              <c:numCache>
                <c:formatCode>0.0</c:formatCode>
                <c:ptCount val="8"/>
                <c:pt idx="0">
                  <c:v>1390.1</c:v>
                </c:pt>
                <c:pt idx="1">
                  <c:v>1525.95333242366</c:v>
                </c:pt>
                <c:pt idx="2">
                  <c:v>1745.40871556958</c:v>
                </c:pt>
                <c:pt idx="3">
                  <c:v>2173.8692255211199</c:v>
                </c:pt>
                <c:pt idx="4">
                  <c:v>3804.1092146050701</c:v>
                </c:pt>
                <c:pt idx="5">
                  <c:v>4807.3338232721098</c:v>
                </c:pt>
                <c:pt idx="6">
                  <c:v>6113.61586580732</c:v>
                </c:pt>
                <c:pt idx="7">
                  <c:v>7357.1963703008296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CH!$B$213:$B$213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CH!$C$213:$J$213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CH!$B$214:$B$214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CH!$C$214:$J$214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CH!$B$215:$B$215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CH!$C$215:$J$215</c:f>
              <c:numCache>
                <c:formatCode>0.0</c:formatCode>
                <c:ptCount val="8"/>
                <c:pt idx="0">
                  <c:v>1390.1</c:v>
                </c:pt>
                <c:pt idx="1">
                  <c:v>1525.95333242366</c:v>
                </c:pt>
                <c:pt idx="2">
                  <c:v>1745.40871556958</c:v>
                </c:pt>
                <c:pt idx="3">
                  <c:v>2173.8692255211199</c:v>
                </c:pt>
                <c:pt idx="4">
                  <c:v>3804.1092146050701</c:v>
                </c:pt>
                <c:pt idx="5">
                  <c:v>4807.3338232721098</c:v>
                </c:pt>
                <c:pt idx="6">
                  <c:v>6113.61586580732</c:v>
                </c:pt>
                <c:pt idx="7">
                  <c:v>7357.1963703008296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CH!$B$216:$B$216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CH!$C$216:$J$216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CH!$B$217:$B$217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CH!$C$217:$J$217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CH!$B$218:$B$218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CH!$C$218:$J$218</c:f>
              <c:numCache>
                <c:formatCode>0.0</c:formatCode>
                <c:ptCount val="8"/>
                <c:pt idx="0">
                  <c:v>1390.1</c:v>
                </c:pt>
                <c:pt idx="1">
                  <c:v>1525.95333242366</c:v>
                </c:pt>
                <c:pt idx="2">
                  <c:v>1745.40871556958</c:v>
                </c:pt>
                <c:pt idx="3">
                  <c:v>2173.8692255211199</c:v>
                </c:pt>
                <c:pt idx="4">
                  <c:v>3804.1092146050701</c:v>
                </c:pt>
                <c:pt idx="5">
                  <c:v>4807.3338232721098</c:v>
                </c:pt>
                <c:pt idx="6">
                  <c:v>6113.61586580732</c:v>
                </c:pt>
                <c:pt idx="7">
                  <c:v>7357.1963703008296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CH!$B$219:$B$219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CH!$C$211:$J$211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CH!$C$219:$J$219</c:f>
              <c:numCache>
                <c:formatCode>0.0</c:formatCode>
                <c:ptCount val="8"/>
                <c:pt idx="0">
                  <c:v>1390.1</c:v>
                </c:pt>
                <c:pt idx="1">
                  <c:v>1665.2918506448</c:v>
                </c:pt>
                <c:pt idx="2">
                  <c:v>2192.7428977140098</c:v>
                </c:pt>
                <c:pt idx="3">
                  <c:v>3259.1113189626299</c:v>
                </c:pt>
                <c:pt idx="4">
                  <c:v>6160.0920778432701</c:v>
                </c:pt>
                <c:pt idx="5">
                  <c:v>8797.3473131893006</c:v>
                </c:pt>
                <c:pt idx="6">
                  <c:v>11652.462763629101</c:v>
                </c:pt>
                <c:pt idx="7">
                  <c:v>13819.598587457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74720"/>
        <c:axId val="601574160"/>
      </c:lineChart>
      <c:valAx>
        <c:axId val="601574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74720"/>
        <c:crossesAt val="0"/>
        <c:crossBetween val="between"/>
      </c:valAx>
      <c:catAx>
        <c:axId val="6015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741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CH!$B$223:$B$223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CH!$C$223:$J$223</c:f>
              <c:numCache>
                <c:formatCode>0.0</c:formatCode>
                <c:ptCount val="8"/>
                <c:pt idx="0">
                  <c:v>60.287999999999997</c:v>
                </c:pt>
                <c:pt idx="1">
                  <c:v>87.268448637974799</c:v>
                </c:pt>
                <c:pt idx="2">
                  <c:v>146.625435641519</c:v>
                </c:pt>
                <c:pt idx="3">
                  <c:v>319.30030692455801</c:v>
                </c:pt>
                <c:pt idx="4">
                  <c:v>427.222101476457</c:v>
                </c:pt>
                <c:pt idx="5">
                  <c:v>562.12434466633101</c:v>
                </c:pt>
                <c:pt idx="6">
                  <c:v>686.234408401015</c:v>
                </c:pt>
                <c:pt idx="7">
                  <c:v>772.57184404253496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CH!$B$224:$B$224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CH!$C$224:$J$224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CH!$B$225:$B$225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CH!$C$225:$J$225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CH!$B$226:$B$226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CH!$C$226:$J$226</c:f>
              <c:numCache>
                <c:formatCode>0.0</c:formatCode>
                <c:ptCount val="8"/>
                <c:pt idx="0">
                  <c:v>60.287999999999997</c:v>
                </c:pt>
                <c:pt idx="1">
                  <c:v>87.268448637974799</c:v>
                </c:pt>
                <c:pt idx="2">
                  <c:v>146.625435641519</c:v>
                </c:pt>
                <c:pt idx="3">
                  <c:v>319.30030692455801</c:v>
                </c:pt>
                <c:pt idx="4">
                  <c:v>427.222101476457</c:v>
                </c:pt>
                <c:pt idx="5">
                  <c:v>562.12434466633101</c:v>
                </c:pt>
                <c:pt idx="6">
                  <c:v>686.234408401015</c:v>
                </c:pt>
                <c:pt idx="7">
                  <c:v>772.57184404253496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CH!$B$227:$B$227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CH!$C$227:$J$227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CH!$B$228:$B$228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CH!$C$228:$J$228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CH!$B$229:$B$229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CH!$C$229:$J$229</c:f>
              <c:numCache>
                <c:formatCode>0.0</c:formatCode>
                <c:ptCount val="8"/>
                <c:pt idx="0">
                  <c:v>60.287999999999997</c:v>
                </c:pt>
                <c:pt idx="1">
                  <c:v>87.268448637974799</c:v>
                </c:pt>
                <c:pt idx="2">
                  <c:v>146.625435641519</c:v>
                </c:pt>
                <c:pt idx="3">
                  <c:v>319.30030692455801</c:v>
                </c:pt>
                <c:pt idx="4">
                  <c:v>427.222101476457</c:v>
                </c:pt>
                <c:pt idx="5">
                  <c:v>562.12434466633101</c:v>
                </c:pt>
                <c:pt idx="6">
                  <c:v>686.234408401015</c:v>
                </c:pt>
                <c:pt idx="7">
                  <c:v>772.57184404253496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CH!$B$230:$B$230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CH!$C$222:$J$222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CH!$C$230:$J$230</c:f>
              <c:numCache>
                <c:formatCode>0.0</c:formatCode>
                <c:ptCount val="8"/>
                <c:pt idx="0">
                  <c:v>60.287999999999997</c:v>
                </c:pt>
                <c:pt idx="1">
                  <c:v>240.568875087078</c:v>
                </c:pt>
                <c:pt idx="2">
                  <c:v>432.48077437332302</c:v>
                </c:pt>
                <c:pt idx="3">
                  <c:v>705.80984305373204</c:v>
                </c:pt>
                <c:pt idx="4">
                  <c:v>880.27520604122697</c:v>
                </c:pt>
                <c:pt idx="5">
                  <c:v>1362.96271030663</c:v>
                </c:pt>
                <c:pt idx="6">
                  <c:v>1851.4657266716199</c:v>
                </c:pt>
                <c:pt idx="7">
                  <c:v>2334.15323093702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82000"/>
        <c:axId val="601581440"/>
      </c:lineChart>
      <c:valAx>
        <c:axId val="601581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82000"/>
        <c:crossesAt val="0"/>
        <c:crossBetween val="between"/>
      </c:valAx>
      <c:catAx>
        <c:axId val="6015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8144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CH!$B$234:$B$234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CH!$C$234:$J$234</c:f>
              <c:numCache>
                <c:formatCode>0.0</c:formatCode>
                <c:ptCount val="8"/>
                <c:pt idx="0">
                  <c:v>0</c:v>
                </c:pt>
                <c:pt idx="1">
                  <c:v>9.5617218904890091</c:v>
                </c:pt>
                <c:pt idx="2">
                  <c:v>23.221324591187599</c:v>
                </c:pt>
                <c:pt idx="3">
                  <c:v>40.978808102095797</c:v>
                </c:pt>
                <c:pt idx="4">
                  <c:v>49.174569722514903</c:v>
                </c:pt>
                <c:pt idx="5">
                  <c:v>49.174569722514903</c:v>
                </c:pt>
                <c:pt idx="6">
                  <c:v>53.272450532724498</c:v>
                </c:pt>
                <c:pt idx="7">
                  <c:v>53.272450532724498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CH!$B$235:$B$235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CH!$C$235:$J$235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CH!$B$236:$B$236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CH!$C$236:$J$236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CH!$B$237:$B$237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CH!$C$237:$J$237</c:f>
              <c:numCache>
                <c:formatCode>0.0</c:formatCode>
                <c:ptCount val="8"/>
                <c:pt idx="0">
                  <c:v>0</c:v>
                </c:pt>
                <c:pt idx="1">
                  <c:v>9.5617218904890091</c:v>
                </c:pt>
                <c:pt idx="2">
                  <c:v>23.221324591187599</c:v>
                </c:pt>
                <c:pt idx="3">
                  <c:v>40.978808102095797</c:v>
                </c:pt>
                <c:pt idx="4">
                  <c:v>49.174569722514903</c:v>
                </c:pt>
                <c:pt idx="5">
                  <c:v>49.174569722514903</c:v>
                </c:pt>
                <c:pt idx="6">
                  <c:v>53.272450532724498</c:v>
                </c:pt>
                <c:pt idx="7">
                  <c:v>53.272450532724498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CH!$B$238:$B$238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CH!$C$238:$J$238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CH!$B$239:$B$239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CH!$C$239:$J$239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CH!$B$240:$B$240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CH!$C$240:$J$240</c:f>
              <c:numCache>
                <c:formatCode>0.0</c:formatCode>
                <c:ptCount val="8"/>
                <c:pt idx="0">
                  <c:v>0</c:v>
                </c:pt>
                <c:pt idx="1">
                  <c:v>9.5617218904890091</c:v>
                </c:pt>
                <c:pt idx="2">
                  <c:v>23.221324591187599</c:v>
                </c:pt>
                <c:pt idx="3">
                  <c:v>40.978808102095797</c:v>
                </c:pt>
                <c:pt idx="4">
                  <c:v>49.174569722514903</c:v>
                </c:pt>
                <c:pt idx="5">
                  <c:v>49.174569722514903</c:v>
                </c:pt>
                <c:pt idx="6">
                  <c:v>53.272450532724498</c:v>
                </c:pt>
                <c:pt idx="7">
                  <c:v>53.272450532724498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CH!$B$241:$B$241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numRef>
              <c:f>CH!$C$233:$J$233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CH!$C$241:$J$241</c:f>
              <c:numCache>
                <c:formatCode>0.0</c:formatCode>
                <c:ptCount val="8"/>
                <c:pt idx="0">
                  <c:v>0</c:v>
                </c:pt>
                <c:pt idx="1">
                  <c:v>12.9795791896249</c:v>
                </c:pt>
                <c:pt idx="2">
                  <c:v>37.640779649912098</c:v>
                </c:pt>
                <c:pt idx="3">
                  <c:v>88.261138489448996</c:v>
                </c:pt>
                <c:pt idx="4">
                  <c:v>172.628403222011</c:v>
                </c:pt>
                <c:pt idx="5">
                  <c:v>299.82827928033402</c:v>
                </c:pt>
                <c:pt idx="6">
                  <c:v>438.70977660931999</c:v>
                </c:pt>
                <c:pt idx="7">
                  <c:v>556.82394723490597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89568"/>
        <c:axId val="601589008"/>
      </c:lineChart>
      <c:valAx>
        <c:axId val="601589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89568"/>
        <c:crossesAt val="0"/>
        <c:crossBetween val="between"/>
      </c:valAx>
      <c:catAx>
        <c:axId val="6015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8900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CH!$C$88:$C$88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CH!$D$65:$L$65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CH!$D$88:$L$88</c:f>
              <c:numCache>
                <c:formatCode>0</c:formatCode>
                <c:ptCount val="9"/>
                <c:pt idx="0" formatCode="General">
                  <c:v>#N/A</c:v>
                </c:pt>
                <c:pt idx="1">
                  <c:v>154.51532725766401</c:v>
                </c:pt>
                <c:pt idx="2">
                  <c:v>331.67495854062997</c:v>
                </c:pt>
                <c:pt idx="3">
                  <c:v>1039.3864013267</c:v>
                </c:pt>
                <c:pt idx="4">
                  <c:v>1680.624654505247</c:v>
                </c:pt>
                <c:pt idx="5">
                  <c:v>3360.69651741294</c:v>
                </c:pt>
                <c:pt idx="6">
                  <c:v>3493.2283029297937</c:v>
                </c:pt>
                <c:pt idx="7">
                  <c:v>3516.0309563294659</c:v>
                </c:pt>
                <c:pt idx="8">
                  <c:v>3449.1431730237746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CH!$C$94:$C$94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CH!$D$65:$L$65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CH!$D$94:$L$94</c:f>
              <c:numCache>
                <c:formatCode>0</c:formatCode>
                <c:ptCount val="9"/>
                <c:pt idx="0" formatCode="General">
                  <c:v>#N/A</c:v>
                </c:pt>
                <c:pt idx="1">
                  <c:v>154.919845218353</c:v>
                </c:pt>
                <c:pt idx="2">
                  <c:v>398.00995024875601</c:v>
                </c:pt>
                <c:pt idx="3">
                  <c:v>1614.2896627971231</c:v>
                </c:pt>
                <c:pt idx="4">
                  <c:v>2211.3045881702569</c:v>
                </c:pt>
                <c:pt idx="5">
                  <c:v>3980.2377003869578</c:v>
                </c:pt>
                <c:pt idx="6">
                  <c:v>4002.349364289666</c:v>
                </c:pt>
                <c:pt idx="7">
                  <c:v>4002.2111663902751</c:v>
                </c:pt>
                <c:pt idx="8">
                  <c:v>3979.9613045881661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CH!$C$100:$C$100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CH!$D$65:$L$65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CH!$D$100:$L$100</c:f>
              <c:numCache>
                <c:formatCode>0</c:formatCode>
                <c:ptCount val="9"/>
                <c:pt idx="0" formatCode="General">
                  <c:v>#N/A</c:v>
                </c:pt>
                <c:pt idx="1">
                  <c:v>154.96267625103701</c:v>
                </c:pt>
                <c:pt idx="2">
                  <c:v>309.78711639480201</c:v>
                </c:pt>
                <c:pt idx="3">
                  <c:v>486.59109759469197</c:v>
                </c:pt>
                <c:pt idx="4">
                  <c:v>552.94442908487702</c:v>
                </c:pt>
                <c:pt idx="5">
                  <c:v>552.94442908487702</c:v>
                </c:pt>
                <c:pt idx="6">
                  <c:v>619.43599668233401</c:v>
                </c:pt>
                <c:pt idx="7">
                  <c:v>707.76886922864298</c:v>
                </c:pt>
                <c:pt idx="8">
                  <c:v>730.024882499309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94048"/>
        <c:axId val="601593488"/>
      </c:lineChart>
      <c:valAx>
        <c:axId val="601593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94048"/>
        <c:crossesAt val="0"/>
        <c:crossBetween val="between"/>
      </c:valAx>
      <c:catAx>
        <c:axId val="6015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9348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VC_FL!$L$18:$L$18</c:f>
              <c:strCache>
                <c:ptCount val="1"/>
                <c:pt idx="0">
                  <c:v>DE0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VC_FL!$L$19:$L$21</c:f>
              <c:numCache>
                <c:formatCode>0.0000</c:formatCode>
                <c:ptCount val="3"/>
                <c:pt idx="0">
                  <c:v>8.4515092478679605</c:v>
                </c:pt>
                <c:pt idx="1">
                  <c:v>23.305902969622899</c:v>
                </c:pt>
                <c:pt idx="2">
                  <c:v>29.5</c:v>
                </c:pt>
              </c:numCache>
            </c:numRef>
          </c:val>
        </c:ser>
        <c:ser>
          <c:idx val="1"/>
          <c:order val="1"/>
          <c:tx>
            <c:strRef>
              <c:f>VC_FL!$M$18:$M$18</c:f>
              <c:strCache>
                <c:ptCount val="1"/>
                <c:pt idx="0">
                  <c:v>FR0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VC_FL!$M$19:$M$21</c:f>
              <c:numCache>
                <c:formatCode>0.0000</c:formatCode>
                <c:ptCount val="3"/>
                <c:pt idx="0">
                  <c:v>10.8351179180115</c:v>
                </c:pt>
                <c:pt idx="1">
                  <c:v>32.7896200185357</c:v>
                </c:pt>
                <c:pt idx="2">
                  <c:v>42.2</c:v>
                </c:pt>
              </c:numCache>
            </c:numRef>
          </c:val>
        </c:ser>
        <c:ser>
          <c:idx val="2"/>
          <c:order val="2"/>
          <c:tx>
            <c:strRef>
              <c:f>VC_FL!$N$18:$N$18</c:f>
              <c:strCache>
                <c:ptCount val="1"/>
                <c:pt idx="0">
                  <c:v>AT0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VC_FL!$N$19:$N$21</c:f>
              <c:numCache>
                <c:formatCode>0.0000</c:formatCode>
                <c:ptCount val="3"/>
                <c:pt idx="0">
                  <c:v>10.8351179180115</c:v>
                </c:pt>
                <c:pt idx="1">
                  <c:v>24.108039300057399</c:v>
                </c:pt>
                <c:pt idx="2">
                  <c:v>38</c:v>
                </c:pt>
              </c:numCache>
            </c:numRef>
          </c:val>
        </c:ser>
        <c:ser>
          <c:idx val="3"/>
          <c:order val="3"/>
          <c:tx>
            <c:strRef>
              <c:f>VC_FL!$O$18:$O$18</c:f>
              <c:strCache>
                <c:ptCount val="1"/>
                <c:pt idx="0">
                  <c:v>CH0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VC_FL!$O$19:$O$21</c:f>
              <c:numCache>
                <c:formatCode>0.0000</c:formatCode>
                <c:ptCount val="3"/>
                <c:pt idx="0">
                  <c:v>0</c:v>
                </c:pt>
                <c:pt idx="1">
                  <c:v>29.241509433962261</c:v>
                </c:pt>
                <c:pt idx="2">
                  <c:v>63.29</c:v>
                </c:pt>
              </c:numCache>
            </c:numRef>
          </c:val>
        </c:ser>
        <c:ser>
          <c:idx val="4"/>
          <c:order val="4"/>
          <c:tx>
            <c:strRef>
              <c:f>VC_FL!$P$18:$P$18</c:f>
              <c:strCache>
                <c:ptCount val="1"/>
                <c:pt idx="0">
                  <c:v>IT0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VC_FL!$K$19:$K$21</c:f>
              <c:strCache>
                <c:ptCount val="3"/>
                <c:pt idx="0">
                  <c:v>hard_coal</c:v>
                </c:pt>
                <c:pt idx="1">
                  <c:v>mineral_oil_heavy</c:v>
                </c:pt>
                <c:pt idx="2">
                  <c:v>natural_gas</c:v>
                </c:pt>
              </c:strCache>
            </c:strRef>
          </c:cat>
          <c:val>
            <c:numRef>
              <c:f>VC_FL!$P$19:$P$21</c:f>
              <c:numCache>
                <c:formatCode>0.0000</c:formatCode>
                <c:ptCount val="3"/>
                <c:pt idx="0">
                  <c:v>12.1371685288369</c:v>
                </c:pt>
                <c:pt idx="1">
                  <c:v>38.3946500286862</c:v>
                </c:pt>
                <c:pt idx="2">
                  <c:v>41.822222222222202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599648"/>
        <c:axId val="601599088"/>
      </c:barChart>
      <c:valAx>
        <c:axId val="601599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99648"/>
        <c:crossesAt val="0"/>
        <c:crossBetween val="between"/>
      </c:valAx>
      <c:catAx>
        <c:axId val="6015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0159908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DE!$B$3:$B$3</c:f>
              <c:strCache>
                <c:ptCount val="1"/>
                <c:pt idx="0">
                  <c:v>SOL_PHO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DE!$C$3:$K$3</c:f>
              <c:numCache>
                <c:formatCode>#,##0</c:formatCode>
                <c:ptCount val="9"/>
                <c:pt idx="0">
                  <c:v>39224</c:v>
                </c:pt>
                <c:pt idx="1">
                  <c:v>39756.639999999999</c:v>
                </c:pt>
                <c:pt idx="2">
                  <c:v>52802.867668028601</c:v>
                </c:pt>
                <c:pt idx="3">
                  <c:v>55900.764651489801</c:v>
                </c:pt>
                <c:pt idx="4">
                  <c:v>63959.325331165601</c:v>
                </c:pt>
                <c:pt idx="5">
                  <c:v>63959.325331165601</c:v>
                </c:pt>
                <c:pt idx="6">
                  <c:v>65956.280250018506</c:v>
                </c:pt>
                <c:pt idx="7">
                  <c:v>70530.792539669201</c:v>
                </c:pt>
                <c:pt idx="8">
                  <c:v>86140.792539669201</c:v>
                </c:pt>
              </c:numCache>
            </c:numRef>
          </c:val>
        </c:ser>
        <c:ser>
          <c:idx val="1"/>
          <c:order val="1"/>
          <c:tx>
            <c:strRef>
              <c:f>DE!$B$4:$B$4</c:f>
              <c:strCache>
                <c:ptCount val="1"/>
                <c:pt idx="0">
                  <c:v>WIN_ONS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DE!$C$4:$K$4</c:f>
              <c:numCache>
                <c:formatCode>#,##0</c:formatCode>
                <c:ptCount val="9"/>
                <c:pt idx="0">
                  <c:v>41297</c:v>
                </c:pt>
                <c:pt idx="1">
                  <c:v>41282.593240556656</c:v>
                </c:pt>
                <c:pt idx="2">
                  <c:v>51938.861479939304</c:v>
                </c:pt>
                <c:pt idx="3">
                  <c:v>52085.675893279054</c:v>
                </c:pt>
                <c:pt idx="4">
                  <c:v>55282.481202403687</c:v>
                </c:pt>
                <c:pt idx="5">
                  <c:v>53452.474731194125</c:v>
                </c:pt>
                <c:pt idx="6">
                  <c:v>55194.439913639544</c:v>
                </c:pt>
                <c:pt idx="7">
                  <c:v>64608.12587084416</c:v>
                </c:pt>
                <c:pt idx="8">
                  <c:v>68828.785992298013</c:v>
                </c:pt>
              </c:numCache>
            </c:numRef>
          </c:val>
        </c:ser>
        <c:ser>
          <c:idx val="2"/>
          <c:order val="2"/>
          <c:tx>
            <c:strRef>
              <c:f>DE!$B$5:$B$5</c:f>
              <c:strCache>
                <c:ptCount val="1"/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DE!$C$5:$K$5</c:f>
              <c:numCache>
                <c:formatCode>#,##0</c:formatCode>
                <c:ptCount val="9"/>
              </c:numCache>
            </c:numRef>
          </c:val>
        </c:ser>
        <c:ser>
          <c:idx val="3"/>
          <c:order val="3"/>
          <c:tx>
            <c:strRef>
              <c:f>DE!$B$6:$B$6</c:f>
              <c:strCache>
                <c:ptCount val="1"/>
                <c:pt idx="0">
                  <c:v>HYD_ROR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DE!$C$6:$K$6</c:f>
              <c:numCache>
                <c:formatCode>#,##0</c:formatCode>
                <c:ptCount val="9"/>
                <c:pt idx="0">
                  <c:v>3842.2</c:v>
                </c:pt>
                <c:pt idx="1">
                  <c:v>3987.949198804241</c:v>
                </c:pt>
                <c:pt idx="2">
                  <c:v>3989.0886340886436</c:v>
                </c:pt>
                <c:pt idx="3">
                  <c:v>4065.0182849597072</c:v>
                </c:pt>
                <c:pt idx="4">
                  <c:v>4178.7625229001178</c:v>
                </c:pt>
                <c:pt idx="5">
                  <c:v>4449.2872298199318</c:v>
                </c:pt>
                <c:pt idx="6">
                  <c:v>4678.204922959434</c:v>
                </c:pt>
                <c:pt idx="7">
                  <c:v>4958.7069275755712</c:v>
                </c:pt>
                <c:pt idx="8">
                  <c:v>5115.1834718011487</c:v>
                </c:pt>
              </c:numCache>
            </c:numRef>
          </c:val>
        </c:ser>
        <c:ser>
          <c:idx val="4"/>
          <c:order val="4"/>
          <c:tx>
            <c:strRef>
              <c:f>DE!$B$7:$B$7</c:f>
              <c:strCache>
                <c:ptCount val="1"/>
                <c:pt idx="0">
                  <c:v>HYD_RES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DE!$C$7:$K$7</c:f>
              <c:numCache>
                <c:formatCode>#,##0</c:formatCode>
                <c:ptCount val="9"/>
                <c:pt idx="0">
                  <c:v>1543.5</c:v>
                </c:pt>
                <c:pt idx="1">
                  <c:v>1602.0508011957593</c:v>
                </c:pt>
                <c:pt idx="2">
                  <c:v>1602.5085385237162</c:v>
                </c:pt>
                <c:pt idx="3">
                  <c:v>1633.0112234749124</c:v>
                </c:pt>
                <c:pt idx="4">
                  <c:v>1678.7048966988525</c:v>
                </c:pt>
                <c:pt idx="5">
                  <c:v>1787.3808857495876</c:v>
                </c:pt>
                <c:pt idx="6">
                  <c:v>1879.3423816011366</c:v>
                </c:pt>
                <c:pt idx="7">
                  <c:v>1992.0264803271289</c:v>
                </c:pt>
                <c:pt idx="8">
                  <c:v>2054.8867025987906</c:v>
                </c:pt>
              </c:numCache>
            </c:numRef>
          </c:val>
        </c:ser>
        <c:ser>
          <c:idx val="5"/>
          <c:order val="5"/>
          <c:tx>
            <c:strRef>
              <c:f>DE!$B$8:$B$8</c:f>
              <c:strCache>
                <c:ptCount val="1"/>
                <c:pt idx="0">
                  <c:v>HYD_STO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DE!$C$8:$K$8</c:f>
              <c:numCache>
                <c:formatCode>#,##0</c:formatCode>
                <c:ptCount val="9"/>
                <c:pt idx="0">
                  <c:v>8149.2</c:v>
                </c:pt>
                <c:pt idx="1">
                  <c:v>8149.2</c:v>
                </c:pt>
                <c:pt idx="2">
                  <c:v>8149.2</c:v>
                </c:pt>
                <c:pt idx="3">
                  <c:v>8149.2</c:v>
                </c:pt>
                <c:pt idx="4">
                  <c:v>8149.2</c:v>
                </c:pt>
                <c:pt idx="5">
                  <c:v>8149.2</c:v>
                </c:pt>
                <c:pt idx="6">
                  <c:v>8149.2</c:v>
                </c:pt>
                <c:pt idx="7">
                  <c:v>8149.2</c:v>
                </c:pt>
                <c:pt idx="8">
                  <c:v>8149.2</c:v>
                </c:pt>
              </c:numCache>
            </c:numRef>
          </c:val>
        </c:ser>
        <c:ser>
          <c:idx val="6"/>
          <c:order val="6"/>
          <c:tx>
            <c:strRef>
              <c:f>DE!$B$9:$B$9</c:f>
              <c:strCache>
                <c:ptCount val="1"/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DE!$C$9:$K$9</c:f>
              <c:numCache>
                <c:formatCode>#,##0</c:formatCode>
                <c:ptCount val="9"/>
              </c:numCache>
            </c:numRef>
          </c:val>
        </c:ser>
        <c:ser>
          <c:idx val="7"/>
          <c:order val="7"/>
          <c:tx>
            <c:strRef>
              <c:f>DE!$B$10:$B$10</c:f>
              <c:strCache>
                <c:ptCount val="1"/>
                <c:pt idx="0">
                  <c:v>GAS_LIN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DE!$C$10:$K$10</c:f>
              <c:numCache>
                <c:formatCode>#,##0</c:formatCode>
                <c:ptCount val="9"/>
                <c:pt idx="0">
                  <c:v>24038.880000000001</c:v>
                </c:pt>
                <c:pt idx="1">
                  <c:v>25177.76772</c:v>
                </c:pt>
                <c:pt idx="2">
                  <c:v>21891.232619999999</c:v>
                </c:pt>
                <c:pt idx="3">
                  <c:v>21891.232619999999</c:v>
                </c:pt>
                <c:pt idx="4">
                  <c:v>21891.232619999999</c:v>
                </c:pt>
                <c:pt idx="5">
                  <c:v>21891.232619999999</c:v>
                </c:pt>
                <c:pt idx="6">
                  <c:v>21891.232619999999</c:v>
                </c:pt>
                <c:pt idx="7">
                  <c:v>21891.232619999999</c:v>
                </c:pt>
                <c:pt idx="8">
                  <c:v>20023.9026197983</c:v>
                </c:pt>
              </c:numCache>
            </c:numRef>
          </c:val>
        </c:ser>
        <c:ser>
          <c:idx val="8"/>
          <c:order val="8"/>
          <c:tx>
            <c:strRef>
              <c:f>DE!$B$11:$B$11</c:f>
              <c:strCache>
                <c:ptCount val="1"/>
                <c:pt idx="0">
                  <c:v>GAS_NEW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DE!$C$11:$K$11</c:f>
              <c:numCache>
                <c:formatCode>#,##0</c:formatCode>
                <c:ptCount val="9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1186.8420513037017</c:v>
                </c:pt>
                <c:pt idx="4">
                  <c:v>5086.7513160732015</c:v>
                </c:pt>
                <c:pt idx="5">
                  <c:v>17195.078435375002</c:v>
                </c:pt>
                <c:pt idx="6">
                  <c:v>20128.794255375</c:v>
                </c:pt>
                <c:pt idx="7">
                  <c:v>21402.099824999099</c:v>
                </c:pt>
                <c:pt idx="8">
                  <c:v>21402.099824999099</c:v>
                </c:pt>
              </c:numCache>
            </c:numRef>
          </c:val>
        </c:ser>
        <c:ser>
          <c:idx val="9"/>
          <c:order val="9"/>
          <c:tx>
            <c:strRef>
              <c:f>DE!$B$12:$B$12</c:f>
              <c:strCache>
                <c:ptCount val="1"/>
                <c:pt idx="0">
                  <c:v>OIL_LIN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DE!$C$12:$K$12</c:f>
              <c:numCache>
                <c:formatCode>#,##0</c:formatCode>
                <c:ptCount val="9"/>
                <c:pt idx="0">
                  <c:v>4200</c:v>
                </c:pt>
                <c:pt idx="1">
                  <c:v>5028.3810199999998</c:v>
                </c:pt>
                <c:pt idx="2">
                  <c:v>1673.8347000000001</c:v>
                </c:pt>
                <c:pt idx="3">
                  <c:v>1458.1605423920601</c:v>
                </c:pt>
                <c:pt idx="4">
                  <c:v>1248.1130423920599</c:v>
                </c:pt>
                <c:pt idx="5">
                  <c:v>1060.97281239206</c:v>
                </c:pt>
                <c:pt idx="6">
                  <c:v>862.853412392064</c:v>
                </c:pt>
                <c:pt idx="7">
                  <c:v>833.37662239206395</c:v>
                </c:pt>
                <c:pt idx="8">
                  <c:v>674.14537239206402</c:v>
                </c:pt>
              </c:numCache>
            </c:numRef>
          </c:val>
        </c:ser>
        <c:ser>
          <c:idx val="10"/>
          <c:order val="10"/>
          <c:tx>
            <c:strRef>
              <c:f>DE!$B$13:$B$13</c:f>
              <c:strCache>
                <c:ptCount val="1"/>
                <c:pt idx="0">
                  <c:v>BAL_ELC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DE!$C$13:$K$13</c:f>
              <c:numCache>
                <c:formatCode>#,##0</c:formatCode>
                <c:ptCount val="9"/>
                <c:pt idx="0">
                  <c:v>7467</c:v>
                </c:pt>
                <c:pt idx="1">
                  <c:v>7467</c:v>
                </c:pt>
                <c:pt idx="2">
                  <c:v>7467</c:v>
                </c:pt>
                <c:pt idx="3">
                  <c:v>7467</c:v>
                </c:pt>
                <c:pt idx="4">
                  <c:v>7467</c:v>
                </c:pt>
                <c:pt idx="5">
                  <c:v>7467</c:v>
                </c:pt>
                <c:pt idx="6">
                  <c:v>7467</c:v>
                </c:pt>
                <c:pt idx="7">
                  <c:v>7467</c:v>
                </c:pt>
                <c:pt idx="8">
                  <c:v>7467</c:v>
                </c:pt>
              </c:numCache>
            </c:numRef>
          </c:val>
        </c:ser>
        <c:ser>
          <c:idx val="11"/>
          <c:order val="11"/>
          <c:tx>
            <c:strRef>
              <c:f>DE!$B$14:$B$14</c:f>
              <c:strCache>
                <c:ptCount val="1"/>
                <c:pt idx="0">
                  <c:v>WAS_ELC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DE!$C$14:$K$14</c:f>
              <c:numCache>
                <c:formatCode>#,##0</c:formatCode>
                <c:ptCount val="9"/>
                <c:pt idx="0">
                  <c:v>1924</c:v>
                </c:pt>
                <c:pt idx="1">
                  <c:v>1924</c:v>
                </c:pt>
                <c:pt idx="2">
                  <c:v>1924</c:v>
                </c:pt>
                <c:pt idx="3">
                  <c:v>1924</c:v>
                </c:pt>
                <c:pt idx="4">
                  <c:v>1924</c:v>
                </c:pt>
                <c:pt idx="5">
                  <c:v>1924</c:v>
                </c:pt>
                <c:pt idx="6">
                  <c:v>1924</c:v>
                </c:pt>
                <c:pt idx="7">
                  <c:v>1924</c:v>
                </c:pt>
                <c:pt idx="8">
                  <c:v>1924</c:v>
                </c:pt>
              </c:numCache>
            </c:numRef>
          </c:val>
        </c:ser>
        <c:ser>
          <c:idx val="12"/>
          <c:order val="12"/>
          <c:tx>
            <c:strRef>
              <c:f>DE!$B$15:$B$15</c:f>
              <c:strCache>
                <c:ptCount val="1"/>
                <c:pt idx="0">
                  <c:v>LIG_LIN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DE!$C$15:$K$15</c:f>
              <c:numCache>
                <c:formatCode>#,##0</c:formatCode>
                <c:ptCount val="9"/>
                <c:pt idx="0">
                  <c:v>20679</c:v>
                </c:pt>
                <c:pt idx="1">
                  <c:v>20679</c:v>
                </c:pt>
                <c:pt idx="2">
                  <c:v>19020.280999178278</c:v>
                </c:pt>
                <c:pt idx="3">
                  <c:v>16812.187431267441</c:v>
                </c:pt>
                <c:pt idx="4">
                  <c:v>13987.423020108299</c:v>
                </c:pt>
                <c:pt idx="5">
                  <c:v>11775.924582341577</c:v>
                </c:pt>
                <c:pt idx="6">
                  <c:v>10501.691860395493</c:v>
                </c:pt>
                <c:pt idx="7">
                  <c:v>9309.330063145042</c:v>
                </c:pt>
                <c:pt idx="8">
                  <c:v>9309.330063145042</c:v>
                </c:pt>
              </c:numCache>
            </c:numRef>
          </c:val>
        </c:ser>
        <c:ser>
          <c:idx val="13"/>
          <c:order val="13"/>
          <c:tx>
            <c:strRef>
              <c:f>DE!$B$16:$B$16</c:f>
              <c:strCache>
                <c:ptCount val="1"/>
                <c:pt idx="0">
                  <c:v>HCO_LIN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DE!$C$16:$K$16</c:f>
              <c:numCache>
                <c:formatCode>#,##0</c:formatCode>
                <c:ptCount val="9"/>
                <c:pt idx="0">
                  <c:v>24612.6</c:v>
                </c:pt>
                <c:pt idx="1">
                  <c:v>24612.6</c:v>
                </c:pt>
                <c:pt idx="2">
                  <c:v>23397.811875606982</c:v>
                </c:pt>
                <c:pt idx="3">
                  <c:v>21563.676952016125</c:v>
                </c:pt>
                <c:pt idx="4">
                  <c:v>18742.41659256093</c:v>
                </c:pt>
                <c:pt idx="5">
                  <c:v>12593.859233645098</c:v>
                </c:pt>
                <c:pt idx="6">
                  <c:v>11362.487577206884</c:v>
                </c:pt>
                <c:pt idx="7">
                  <c:v>10210.232972481657</c:v>
                </c:pt>
                <c:pt idx="8">
                  <c:v>10210.232972481657</c:v>
                </c:pt>
              </c:numCache>
            </c:numRef>
          </c:val>
        </c:ser>
        <c:ser>
          <c:idx val="14"/>
          <c:order val="14"/>
          <c:tx>
            <c:strRef>
              <c:f>DE!$B$17:$B$17</c:f>
              <c:strCache>
                <c:ptCount val="1"/>
                <c:pt idx="0">
                  <c:v>GEO_ELC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DE!$C$17:$K$17</c:f>
              <c:numCache>
                <c:formatCode>#,##0</c:formatCode>
                <c:ptCount val="9"/>
                <c:pt idx="1">
                  <c:v>24</c:v>
                </c:pt>
                <c:pt idx="2">
                  <c:v>170.262264109867</c:v>
                </c:pt>
                <c:pt idx="3">
                  <c:v>170.262264109867</c:v>
                </c:pt>
                <c:pt idx="4">
                  <c:v>170.262264109867</c:v>
                </c:pt>
                <c:pt idx="5">
                  <c:v>170.262264109867</c:v>
                </c:pt>
                <c:pt idx="6">
                  <c:v>170.262264109867</c:v>
                </c:pt>
                <c:pt idx="7">
                  <c:v>170.262264109867</c:v>
                </c:pt>
                <c:pt idx="8">
                  <c:v>170.262264109867</c:v>
                </c:pt>
              </c:numCache>
            </c:numRef>
          </c:val>
        </c:ser>
        <c:ser>
          <c:idx val="15"/>
          <c:order val="15"/>
          <c:tx>
            <c:strRef>
              <c:f>DE!$B$18:$B$18</c:f>
              <c:strCache>
                <c:ptCount val="1"/>
                <c:pt idx="0">
                  <c:v>WIN_OFF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DE!$C$18:$K$18</c:f>
              <c:numCache>
                <c:formatCode>#,##0</c:formatCode>
                <c:ptCount val="9"/>
                <c:pt idx="0">
                  <c:v>3283</c:v>
                </c:pt>
                <c:pt idx="1">
                  <c:v>3663.6067594433389</c:v>
                </c:pt>
                <c:pt idx="2">
                  <c:v>9893.1164723693928</c:v>
                </c:pt>
                <c:pt idx="3">
                  <c:v>9921.0811225293437</c:v>
                </c:pt>
                <c:pt idx="4">
                  <c:v>11931.470763108709</c:v>
                </c:pt>
                <c:pt idx="5">
                  <c:v>13761.477234318272</c:v>
                </c:pt>
                <c:pt idx="6">
                  <c:v>14209.950655273055</c:v>
                </c:pt>
                <c:pt idx="7">
                  <c:v>16633.528340732239</c:v>
                </c:pt>
                <c:pt idx="8">
                  <c:v>17720.148155198676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10128"/>
        <c:axId val="488309568"/>
      </c:areaChart>
      <c:valAx>
        <c:axId val="488309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88310128"/>
        <c:crossesAt val="0"/>
        <c:crossBetween val="midCat"/>
      </c:valAx>
      <c:catAx>
        <c:axId val="4883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8830956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DE!$B$4</c:f>
              <c:strCache>
                <c:ptCount val="1"/>
                <c:pt idx="0">
                  <c:v>WIN_ONS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DE!$C$4:$K$4</c:f>
              <c:numCache>
                <c:formatCode>#,##0</c:formatCode>
                <c:ptCount val="9"/>
                <c:pt idx="0">
                  <c:v>41297</c:v>
                </c:pt>
                <c:pt idx="1">
                  <c:v>41282.593240556656</c:v>
                </c:pt>
                <c:pt idx="2">
                  <c:v>51938.861479939304</c:v>
                </c:pt>
                <c:pt idx="3">
                  <c:v>52085.675893279054</c:v>
                </c:pt>
                <c:pt idx="4">
                  <c:v>55282.481202403687</c:v>
                </c:pt>
                <c:pt idx="5">
                  <c:v>53452.474731194125</c:v>
                </c:pt>
                <c:pt idx="6">
                  <c:v>55194.439913639544</c:v>
                </c:pt>
                <c:pt idx="7">
                  <c:v>64608.12587084416</c:v>
                </c:pt>
                <c:pt idx="8">
                  <c:v>68828.785992298013</c:v>
                </c:pt>
              </c:numCache>
            </c:numRef>
          </c:val>
        </c:ser>
        <c:ser>
          <c:idx val="1"/>
          <c:order val="1"/>
          <c:tx>
            <c:strRef>
              <c:f>DE!$B$18</c:f>
              <c:strCache>
                <c:ptCount val="1"/>
                <c:pt idx="0">
                  <c:v>WIN_OFF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DE!$C$1:$K$1</c:f>
              <c:strCache>
                <c:ptCount val="9"/>
                <c:pt idx="0">
                  <c:v>2015_0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strCache>
            </c:strRef>
          </c:cat>
          <c:val>
            <c:numRef>
              <c:f>DE!$C$18:$K$18</c:f>
              <c:numCache>
                <c:formatCode>#,##0</c:formatCode>
                <c:ptCount val="9"/>
                <c:pt idx="0">
                  <c:v>3283</c:v>
                </c:pt>
                <c:pt idx="1">
                  <c:v>3663.6067594433389</c:v>
                </c:pt>
                <c:pt idx="2">
                  <c:v>9893.1164723693928</c:v>
                </c:pt>
                <c:pt idx="3">
                  <c:v>9921.0811225293437</c:v>
                </c:pt>
                <c:pt idx="4">
                  <c:v>11931.470763108709</c:v>
                </c:pt>
                <c:pt idx="5">
                  <c:v>13761.477234318272</c:v>
                </c:pt>
                <c:pt idx="6">
                  <c:v>14209.950655273055</c:v>
                </c:pt>
                <c:pt idx="7">
                  <c:v>16633.528340732239</c:v>
                </c:pt>
                <c:pt idx="8">
                  <c:v>17720.148155198676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13488"/>
        <c:axId val="488314048"/>
      </c:barChart>
      <c:catAx>
        <c:axId val="4883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14048"/>
        <c:crosses val="autoZero"/>
        <c:auto val="1"/>
        <c:lblAlgn val="ctr"/>
        <c:lblOffset val="100"/>
        <c:noMultiLvlLbl val="0"/>
      </c:catAx>
      <c:valAx>
        <c:axId val="4883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DE!$D$4:$K$4</c:f>
              <c:numCache>
                <c:formatCode>#,##0</c:formatCode>
                <c:ptCount val="8"/>
                <c:pt idx="0">
                  <c:v>41282.593240556656</c:v>
                </c:pt>
                <c:pt idx="1">
                  <c:v>51938.861479939304</c:v>
                </c:pt>
                <c:pt idx="2">
                  <c:v>52085.675893279054</c:v>
                </c:pt>
                <c:pt idx="3">
                  <c:v>55282.481202403687</c:v>
                </c:pt>
                <c:pt idx="4">
                  <c:v>53452.474731194125</c:v>
                </c:pt>
                <c:pt idx="5">
                  <c:v>55194.439913639544</c:v>
                </c:pt>
                <c:pt idx="6">
                  <c:v>64608.12587084416</c:v>
                </c:pt>
                <c:pt idx="7">
                  <c:v>68828.785992298013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DE!$D$18:$K$18</c:f>
              <c:numCache>
                <c:formatCode>#,##0</c:formatCode>
                <c:ptCount val="8"/>
                <c:pt idx="0">
                  <c:v>3663.6067594433389</c:v>
                </c:pt>
                <c:pt idx="1">
                  <c:v>9893.1164723693928</c:v>
                </c:pt>
                <c:pt idx="2">
                  <c:v>9921.0811225293437</c:v>
                </c:pt>
                <c:pt idx="3">
                  <c:v>11931.470763108709</c:v>
                </c:pt>
                <c:pt idx="4">
                  <c:v>13761.477234318272</c:v>
                </c:pt>
                <c:pt idx="5">
                  <c:v>14209.950655273055</c:v>
                </c:pt>
                <c:pt idx="6">
                  <c:v>16633.528340732239</c:v>
                </c:pt>
                <c:pt idx="7">
                  <c:v>17720.148155198676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19552"/>
        <c:axId val="347518992"/>
      </c:lineChart>
      <c:catAx>
        <c:axId val="34751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18992"/>
        <c:crosses val="autoZero"/>
        <c:auto val="1"/>
        <c:lblAlgn val="ctr"/>
        <c:lblOffset val="100"/>
        <c:noMultiLvlLbl val="0"/>
      </c:catAx>
      <c:valAx>
        <c:axId val="3475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FR!$B$3:$B$3</c:f>
              <c:strCache>
                <c:ptCount val="1"/>
                <c:pt idx="0">
                  <c:v>SOL_PHO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numRef>
              <c:f>FR!$D$1:$K$1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FR!$D$3:$K$3</c:f>
              <c:numCache>
                <c:formatCode>#,##0</c:formatCode>
                <c:ptCount val="8"/>
                <c:pt idx="0">
                  <c:v>6100.17</c:v>
                </c:pt>
                <c:pt idx="1">
                  <c:v>20535.284350296701</c:v>
                </c:pt>
                <c:pt idx="2">
                  <c:v>24531.672330268499</c:v>
                </c:pt>
                <c:pt idx="3">
                  <c:v>25381.672330268499</c:v>
                </c:pt>
                <c:pt idx="4">
                  <c:v>25731.672330268499</c:v>
                </c:pt>
                <c:pt idx="5">
                  <c:v>31850.081245220499</c:v>
                </c:pt>
                <c:pt idx="6">
                  <c:v>35312.334179876503</c:v>
                </c:pt>
                <c:pt idx="7">
                  <c:v>45200.004896947001</c:v>
                </c:pt>
              </c:numCache>
            </c:numRef>
          </c:val>
        </c:ser>
        <c:ser>
          <c:idx val="1"/>
          <c:order val="1"/>
          <c:tx>
            <c:strRef>
              <c:f>FR!$B$4:$B$4</c:f>
              <c:strCache>
                <c:ptCount val="1"/>
                <c:pt idx="0">
                  <c:v>WIN_ONS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numRef>
              <c:f>FR!$D$1:$K$1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FR!$D$4:$K$4</c:f>
              <c:numCache>
                <c:formatCode>#,##0</c:formatCode>
                <c:ptCount val="8"/>
                <c:pt idx="0">
                  <c:v>10358.200000000001</c:v>
                </c:pt>
                <c:pt idx="1">
                  <c:v>20469.963322958636</c:v>
                </c:pt>
                <c:pt idx="2">
                  <c:v>20979.281158932474</c:v>
                </c:pt>
                <c:pt idx="3">
                  <c:v>22914.911888970058</c:v>
                </c:pt>
                <c:pt idx="4">
                  <c:v>22914.911888970058</c:v>
                </c:pt>
                <c:pt idx="5">
                  <c:v>27463.543853365696</c:v>
                </c:pt>
                <c:pt idx="6">
                  <c:v>31903.122328619804</c:v>
                </c:pt>
                <c:pt idx="7">
                  <c:v>42870.423406673093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59200"/>
        <c:axId val="468658640"/>
      </c:areaChart>
      <c:valAx>
        <c:axId val="468658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8659200"/>
        <c:crossesAt val="0"/>
        <c:crossBetween val="midCat"/>
      </c:valAx>
      <c:catAx>
        <c:axId val="4686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865864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IT!$D$36</c:f>
              <c:strCache>
                <c:ptCount val="1"/>
                <c:pt idx="0">
                  <c:v>GAS_LIN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IT!$E$36:$L$36</c:f>
              <c:numCache>
                <c:formatCode>#,##0</c:formatCode>
                <c:ptCount val="8"/>
                <c:pt idx="0">
                  <c:v>52044.520140000001</c:v>
                </c:pt>
                <c:pt idx="1">
                  <c:v>51352.575464723202</c:v>
                </c:pt>
                <c:pt idx="2">
                  <c:v>47623.093404199499</c:v>
                </c:pt>
                <c:pt idx="3">
                  <c:v>41739.442986253198</c:v>
                </c:pt>
                <c:pt idx="4">
                  <c:v>35862.127868081101</c:v>
                </c:pt>
                <c:pt idx="5">
                  <c:v>35862.127868081101</c:v>
                </c:pt>
                <c:pt idx="6">
                  <c:v>35862.127868081101</c:v>
                </c:pt>
                <c:pt idx="7">
                  <c:v>35862.127868081101</c:v>
                </c:pt>
              </c:numCache>
            </c:numRef>
          </c:val>
        </c:ser>
        <c:ser>
          <c:idx val="2"/>
          <c:order val="2"/>
          <c:tx>
            <c:strRef>
              <c:f>IT!$D$37</c:f>
              <c:strCache>
                <c:ptCount val="1"/>
                <c:pt idx="0">
                  <c:v>GAS_NEW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IT!$E$37:$L$37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9350.9504850730955</c:v>
                </c:pt>
                <c:pt idx="6">
                  <c:v>9219.3718435810006</c:v>
                </c:pt>
                <c:pt idx="7">
                  <c:v>9199.5035090357997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63120"/>
        <c:axId val="468663680"/>
      </c:areaChart>
      <c:lineChart>
        <c:grouping val="standard"/>
        <c:varyColors val="0"/>
        <c:ser>
          <c:idx val="0"/>
          <c:order val="0"/>
          <c:tx>
            <c:strRef>
              <c:f>IT!$D$35</c:f>
              <c:strCache>
                <c:ptCount val="1"/>
                <c:pt idx="0">
                  <c:v>GAS_LIN_0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IT!$E$35:$L$35</c:f>
              <c:numCache>
                <c:formatCode>#,##0</c:formatCode>
                <c:ptCount val="8"/>
                <c:pt idx="0">
                  <c:v>52044.520140000001</c:v>
                </c:pt>
                <c:pt idx="1">
                  <c:v>51352.575464723202</c:v>
                </c:pt>
                <c:pt idx="2">
                  <c:v>47623.093404199499</c:v>
                </c:pt>
                <c:pt idx="3">
                  <c:v>41739.442986253198</c:v>
                </c:pt>
                <c:pt idx="4">
                  <c:v>35862.127868081101</c:v>
                </c:pt>
                <c:pt idx="5">
                  <c:v>45213.078353154197</c:v>
                </c:pt>
                <c:pt idx="6">
                  <c:v>45081.499711662102</c:v>
                </c:pt>
                <c:pt idx="7">
                  <c:v>45061.631377116901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63120"/>
        <c:axId val="468663680"/>
      </c:lineChart>
      <c:catAx>
        <c:axId val="468663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3680"/>
        <c:crosses val="autoZero"/>
        <c:auto val="1"/>
        <c:lblAlgn val="ctr"/>
        <c:lblOffset val="100"/>
        <c:noMultiLvlLbl val="0"/>
      </c:catAx>
      <c:valAx>
        <c:axId val="4686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IT!$E$120:$O$120</c:f>
              <c:numCache>
                <c:formatCode>0</c:formatCode>
                <c:ptCount val="11"/>
                <c:pt idx="0">
                  <c:v>22819.30989</c:v>
                </c:pt>
                <c:pt idx="1">
                  <c:v>36431.050660000001</c:v>
                </c:pt>
                <c:pt idx="2">
                  <c:v>51676.916389999999</c:v>
                </c:pt>
                <c:pt idx="3">
                  <c:v>52044.520140000001</c:v>
                </c:pt>
                <c:pt idx="4">
                  <c:v>51352.575464723202</c:v>
                </c:pt>
                <c:pt idx="5">
                  <c:v>47623.093404199499</c:v>
                </c:pt>
                <c:pt idx="6">
                  <c:v>41739.442986253198</c:v>
                </c:pt>
                <c:pt idx="7">
                  <c:v>35862.127868081101</c:v>
                </c:pt>
                <c:pt idx="8">
                  <c:v>45213.078353154197</c:v>
                </c:pt>
                <c:pt idx="9">
                  <c:v>45081.499711662102</c:v>
                </c:pt>
                <c:pt idx="10">
                  <c:v>45061.631377116901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66480"/>
        <c:axId val="468667040"/>
      </c:lineChart>
      <c:catAx>
        <c:axId val="4686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7040"/>
        <c:crosses val="autoZero"/>
        <c:auto val="1"/>
        <c:lblAlgn val="ctr"/>
        <c:lblOffset val="100"/>
        <c:noMultiLvlLbl val="0"/>
      </c:catAx>
      <c:valAx>
        <c:axId val="468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CH!$B$137:$B$137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CH!$C$137:$J$137</c:f>
              <c:numCache>
                <c:formatCode>General</c:formatCode>
                <c:ptCount val="8"/>
                <c:pt idx="0">
                  <c:v>0</c:v>
                </c:pt>
                <c:pt idx="1">
                  <c:v>3671.5510091235801</c:v>
                </c:pt>
                <c:pt idx="2">
                  <c:v>3671.5510091235801</c:v>
                </c:pt>
                <c:pt idx="3">
                  <c:v>3760.02211777716</c:v>
                </c:pt>
                <c:pt idx="4">
                  <c:v>3760.02211777716</c:v>
                </c:pt>
                <c:pt idx="5">
                  <c:v>3848.4932264307399</c:v>
                </c:pt>
                <c:pt idx="6">
                  <c:v>3914.9847940282002</c:v>
                </c:pt>
                <c:pt idx="7">
                  <c:v>4003.31766657451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CH!$B$138:$B$138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CH!$C$138:$J$138</c:f>
              <c:numCache>
                <c:formatCode>General</c:formatCode>
                <c:ptCount val="8"/>
                <c:pt idx="0">
                  <c:v>0</c:v>
                </c:pt>
                <c:pt idx="1">
                  <c:v>3737.9043406137698</c:v>
                </c:pt>
                <c:pt idx="2">
                  <c:v>3914.8465579209301</c:v>
                </c:pt>
                <c:pt idx="3">
                  <c:v>3981.1998894111098</c:v>
                </c:pt>
                <c:pt idx="4">
                  <c:v>4136.0243295548798</c:v>
                </c:pt>
                <c:pt idx="5">
                  <c:v>4312.9665468620396</c:v>
                </c:pt>
                <c:pt idx="6">
                  <c:v>4534.1443184959899</c:v>
                </c:pt>
                <c:pt idx="7">
                  <c:v>4777.4398672933403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CH!$B$139:$B$139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CH!$C$139:$J$139</c:f>
              <c:numCache>
                <c:formatCode>General</c:formatCode>
                <c:ptCount val="8"/>
                <c:pt idx="0">
                  <c:v>0</c:v>
                </c:pt>
                <c:pt idx="1">
                  <c:v>3760.02211777716</c:v>
                </c:pt>
                <c:pt idx="2">
                  <c:v>3914.9847940282002</c:v>
                </c:pt>
                <c:pt idx="3">
                  <c:v>4003.31766657451</c:v>
                </c:pt>
                <c:pt idx="4">
                  <c:v>4158.14210671828</c:v>
                </c:pt>
                <c:pt idx="5">
                  <c:v>4312.9665468620396</c:v>
                </c:pt>
                <c:pt idx="6">
                  <c:v>4556.2620956593901</c:v>
                </c:pt>
                <c:pt idx="7">
                  <c:v>4799.6958805639997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CH!$B$140:$B$140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CH!$C$140:$J$140</c:f>
              <c:numCache>
                <c:formatCode>General</c:formatCode>
                <c:ptCount val="8"/>
                <c:pt idx="0">
                  <c:v>0</c:v>
                </c:pt>
                <c:pt idx="1">
                  <c:v>3637.3687119955798</c:v>
                </c:pt>
                <c:pt idx="2">
                  <c:v>3670.67440574903</c:v>
                </c:pt>
                <c:pt idx="3">
                  <c:v>3758.9828634604801</c:v>
                </c:pt>
                <c:pt idx="4">
                  <c:v>3758.9828634604801</c:v>
                </c:pt>
                <c:pt idx="5">
                  <c:v>3847.4295190713101</c:v>
                </c:pt>
                <c:pt idx="6">
                  <c:v>3913.7645107794401</c:v>
                </c:pt>
                <c:pt idx="7">
                  <c:v>4002.3493642896601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CH!$B$141:$B$141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CH!$C$141:$J$141</c:f>
              <c:numCache>
                <c:formatCode>General</c:formatCode>
                <c:ptCount val="8"/>
                <c:pt idx="0">
                  <c:v>0</c:v>
                </c:pt>
                <c:pt idx="1">
                  <c:v>3736.8711995577701</c:v>
                </c:pt>
                <c:pt idx="2">
                  <c:v>3891.6528468767301</c:v>
                </c:pt>
                <c:pt idx="3">
                  <c:v>3980.0995024875601</c:v>
                </c:pt>
                <c:pt idx="4">
                  <c:v>4135.0193477059101</c:v>
                </c:pt>
                <c:pt idx="5">
                  <c:v>4289.6627971254802</c:v>
                </c:pt>
                <c:pt idx="6">
                  <c:v>4532.8911000552798</c:v>
                </c:pt>
                <c:pt idx="7">
                  <c:v>4776.1194029850803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CH!$B$142:$B$142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CH!$C$142:$J$142</c:f>
              <c:numCache>
                <c:formatCode>General</c:formatCode>
                <c:ptCount val="8"/>
                <c:pt idx="0">
                  <c:v>0</c:v>
                </c:pt>
                <c:pt idx="1">
                  <c:v>3760.02211777716</c:v>
                </c:pt>
                <c:pt idx="2">
                  <c:v>3914.8465579209301</c:v>
                </c:pt>
                <c:pt idx="3">
                  <c:v>3981.1998894111098</c:v>
                </c:pt>
                <c:pt idx="4">
                  <c:v>4158.14210671828</c:v>
                </c:pt>
                <c:pt idx="5">
                  <c:v>4312.9665468620396</c:v>
                </c:pt>
                <c:pt idx="6">
                  <c:v>4556.2620956593901</c:v>
                </c:pt>
                <c:pt idx="7">
                  <c:v>4777.4398672933403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CH!$B$143:$B$143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CH!$C$143:$J$143</c:f>
              <c:numCache>
                <c:formatCode>General</c:formatCode>
                <c:ptCount val="8"/>
                <c:pt idx="0">
                  <c:v>0</c:v>
                </c:pt>
                <c:pt idx="1">
                  <c:v>3671.6892452308498</c:v>
                </c:pt>
                <c:pt idx="2">
                  <c:v>3671.6892452308498</c:v>
                </c:pt>
                <c:pt idx="3">
                  <c:v>3760.02211777716</c:v>
                </c:pt>
                <c:pt idx="4">
                  <c:v>3760.02211777716</c:v>
                </c:pt>
                <c:pt idx="5">
                  <c:v>3826.3754492673502</c:v>
                </c:pt>
                <c:pt idx="6">
                  <c:v>3914.8465579209301</c:v>
                </c:pt>
                <c:pt idx="7">
                  <c:v>3981.1998894111098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CH!$B$144:$B$144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cat>
            <c:numRef>
              <c:f>CH!$C$136:$J$136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CH!$C$144:$J$144</c:f>
              <c:numCache>
                <c:formatCode>General</c:formatCode>
                <c:ptCount val="8"/>
                <c:pt idx="0">
                  <c:v>0</c:v>
                </c:pt>
                <c:pt idx="1">
                  <c:v>3760.02211777716</c:v>
                </c:pt>
                <c:pt idx="2">
                  <c:v>3914.7083218136599</c:v>
                </c:pt>
                <c:pt idx="3">
                  <c:v>4003.1794304672399</c:v>
                </c:pt>
                <c:pt idx="4">
                  <c:v>4158.0038706109999</c:v>
                </c:pt>
                <c:pt idx="5">
                  <c:v>4312.9665468620396</c:v>
                </c:pt>
                <c:pt idx="6">
                  <c:v>4556.1238595521199</c:v>
                </c:pt>
                <c:pt idx="7">
                  <c:v>4799.4194083494604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73760"/>
        <c:axId val="468673200"/>
      </c:lineChart>
      <c:valAx>
        <c:axId val="468673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8673760"/>
        <c:crossesAt val="0"/>
        <c:crossBetween val="between"/>
      </c:valAx>
      <c:catAx>
        <c:axId val="4686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867320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CH!$B$166:$B$166</c:f>
              <c:strCache>
                <c:ptCount val="1"/>
                <c:pt idx="0">
                  <c:v>NEP 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CH!$C$166:$J$166</c:f>
              <c:numCache>
                <c:formatCode>General</c:formatCode>
                <c:ptCount val="8"/>
                <c:pt idx="0">
                  <c:v>154.824440143766</c:v>
                </c:pt>
                <c:pt idx="1">
                  <c:v>398.11998894111099</c:v>
                </c:pt>
                <c:pt idx="2">
                  <c:v>1039.3972905722981</c:v>
                </c:pt>
                <c:pt idx="3">
                  <c:v>2233.8954935029069</c:v>
                </c:pt>
                <c:pt idx="4">
                  <c:v>3339.7843516726571</c:v>
                </c:pt>
                <c:pt idx="5">
                  <c:v>3362.0403649433192</c:v>
                </c:pt>
                <c:pt idx="6">
                  <c:v>3450.096765275086</c:v>
                </c:pt>
                <c:pt idx="7">
                  <c:v>3428.393696433513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CH!$B$167:$B$167</c:f>
              <c:strCache>
                <c:ptCount val="1"/>
                <c:pt idx="0">
                  <c:v>NEP C&amp;E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CH!$C$167:$J$167</c:f>
              <c:numCache>
                <c:formatCode>General</c:formatCode>
                <c:ptCount val="8"/>
                <c:pt idx="0">
                  <c:v>154.824440143766</c:v>
                </c:pt>
                <c:pt idx="1">
                  <c:v>309.64888028753097</c:v>
                </c:pt>
                <c:pt idx="2">
                  <c:v>1039.6737627868401</c:v>
                </c:pt>
                <c:pt idx="3">
                  <c:v>1105.888858169754</c:v>
                </c:pt>
                <c:pt idx="4">
                  <c:v>2698.2305778269269</c:v>
                </c:pt>
                <c:pt idx="5">
                  <c:v>2875.1727951340872</c:v>
                </c:pt>
                <c:pt idx="6">
                  <c:v>2964.0586121094793</c:v>
                </c:pt>
                <c:pt idx="7">
                  <c:v>2963.643903787668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CH!$B$168:$B$168</c:f>
              <c:strCache>
                <c:ptCount val="1"/>
                <c:pt idx="0">
                  <c:v>NEP 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CH!$C$168:$J$168</c:f>
              <c:numCache>
                <c:formatCode>General</c:formatCode>
                <c:ptCount val="8"/>
                <c:pt idx="0">
                  <c:v>176.80398119988899</c:v>
                </c:pt>
                <c:pt idx="1">
                  <c:v>331.766657450926</c:v>
                </c:pt>
                <c:pt idx="2">
                  <c:v>232.098424108377</c:v>
                </c:pt>
                <c:pt idx="3">
                  <c:v>552.94442908487702</c:v>
                </c:pt>
                <c:pt idx="4">
                  <c:v>575.06220624827199</c:v>
                </c:pt>
                <c:pt idx="5">
                  <c:v>641.41553773845703</c:v>
                </c:pt>
                <c:pt idx="6">
                  <c:v>729.88664639203796</c:v>
                </c:pt>
                <c:pt idx="7">
                  <c:v>707.63063312137103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CH!$B$169:$B$169</c:f>
              <c:strCache>
                <c:ptCount val="1"/>
                <c:pt idx="0">
                  <c:v>POM 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CH!$C$169:$J$169</c:f>
              <c:numCache>
                <c:formatCode>General</c:formatCode>
                <c:ptCount val="8"/>
                <c:pt idx="0">
                  <c:v>154.919845218353</c:v>
                </c:pt>
                <c:pt idx="1">
                  <c:v>398.00995024875601</c:v>
                </c:pt>
                <c:pt idx="2">
                  <c:v>1614.2896627971231</c:v>
                </c:pt>
                <c:pt idx="3">
                  <c:v>2211.3045881702569</c:v>
                </c:pt>
                <c:pt idx="4">
                  <c:v>3980.2377003869578</c:v>
                </c:pt>
                <c:pt idx="5">
                  <c:v>4002.349364289666</c:v>
                </c:pt>
                <c:pt idx="6">
                  <c:v>4002.2111663902751</c:v>
                </c:pt>
                <c:pt idx="7">
                  <c:v>3979.9613045881661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CH!$B$170:$B$170</c:f>
              <c:strCache>
                <c:ptCount val="1"/>
                <c:pt idx="0">
                  <c:v>POM C&amp;E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CH!$C$170:$J$170</c:f>
              <c:numCache>
                <c:formatCode>General</c:formatCode>
                <c:ptCount val="8"/>
                <c:pt idx="0">
                  <c:v>154.51532725766401</c:v>
                </c:pt>
                <c:pt idx="1">
                  <c:v>331.67495854062997</c:v>
                </c:pt>
                <c:pt idx="2">
                  <c:v>1039.3864013267</c:v>
                </c:pt>
                <c:pt idx="3">
                  <c:v>1680.624654505247</c:v>
                </c:pt>
                <c:pt idx="4">
                  <c:v>3360.69651741294</c:v>
                </c:pt>
                <c:pt idx="5">
                  <c:v>3493.2283029297937</c:v>
                </c:pt>
                <c:pt idx="6">
                  <c:v>3516.0309563294659</c:v>
                </c:pt>
                <c:pt idx="7">
                  <c:v>3449.1431730237746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CH!$B$171:$B$171</c:f>
              <c:strCache>
                <c:ptCount val="1"/>
                <c:pt idx="0">
                  <c:v>POM E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CH!$C$171:$J$171</c:f>
              <c:numCache>
                <c:formatCode>General</c:formatCode>
                <c:ptCount val="8"/>
                <c:pt idx="0">
                  <c:v>154.96267625103701</c:v>
                </c:pt>
                <c:pt idx="1">
                  <c:v>309.78711639480201</c:v>
                </c:pt>
                <c:pt idx="2">
                  <c:v>486.59109759469197</c:v>
                </c:pt>
                <c:pt idx="3">
                  <c:v>552.94442908487702</c:v>
                </c:pt>
                <c:pt idx="4">
                  <c:v>552.94442908487702</c:v>
                </c:pt>
                <c:pt idx="5">
                  <c:v>619.43599668233401</c:v>
                </c:pt>
                <c:pt idx="6">
                  <c:v>707.76886922864298</c:v>
                </c:pt>
                <c:pt idx="7">
                  <c:v>730.024882499309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CH!$B$172:$B$172</c:f>
              <c:strCache>
                <c:ptCount val="1"/>
                <c:pt idx="0">
                  <c:v>WWB C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CH!$C$172:$J$172</c:f>
              <c:numCache>
                <c:formatCode>General</c:formatCode>
                <c:ptCount val="8"/>
                <c:pt idx="0">
                  <c:v>154.96267625103701</c:v>
                </c:pt>
                <c:pt idx="1">
                  <c:v>973.32043129665499</c:v>
                </c:pt>
                <c:pt idx="2">
                  <c:v>2057.0915123030181</c:v>
                </c:pt>
                <c:pt idx="3">
                  <c:v>2786.839922587777</c:v>
                </c:pt>
                <c:pt idx="4">
                  <c:v>5042.8531932540764</c:v>
                </c:pt>
                <c:pt idx="5">
                  <c:v>5042.8531932540764</c:v>
                </c:pt>
                <c:pt idx="6">
                  <c:v>5109.3447608515326</c:v>
                </c:pt>
                <c:pt idx="7">
                  <c:v>5131.3243019076572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CH!$B$173:$B$173</c:f>
              <c:strCache>
                <c:ptCount val="1"/>
                <c:pt idx="0">
                  <c:v>WWB C&amp;E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cat>
            <c:numRef>
              <c:f>CH!$C$165:$J$165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CH!$C$173:$J$173</c:f>
              <c:numCache>
                <c:formatCode>General</c:formatCode>
                <c:ptCount val="8"/>
                <c:pt idx="0">
                  <c:v>177.08045341443199</c:v>
                </c:pt>
                <c:pt idx="1">
                  <c:v>906.69062759192695</c:v>
                </c:pt>
                <c:pt idx="2">
                  <c:v>1592.4799557644419</c:v>
                </c:pt>
                <c:pt idx="3">
                  <c:v>2167.5421620127222</c:v>
                </c:pt>
                <c:pt idx="4">
                  <c:v>3826.375449267347</c:v>
                </c:pt>
                <c:pt idx="5">
                  <c:v>4003.5941387890489</c:v>
                </c:pt>
                <c:pt idx="6">
                  <c:v>4069.809234171963</c:v>
                </c:pt>
                <c:pt idx="7">
                  <c:v>3428.2554603262329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81040"/>
        <c:axId val="468680480"/>
      </c:lineChart>
      <c:valAx>
        <c:axId val="468680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8681040"/>
        <c:crossesAt val="0"/>
        <c:crossBetween val="between"/>
      </c:valAx>
      <c:catAx>
        <c:axId val="4686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686804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516362" y="3482975"/>
    <xdr:ext cx="5759577" cy="32396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592181" y="6561454"/>
    <xdr:ext cx="5759577" cy="3239643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12</xdr:col>
      <xdr:colOff>522755</xdr:colOff>
      <xdr:row>46</xdr:row>
      <xdr:rowOff>16810</xdr:rowOff>
    </xdr:from>
    <xdr:to>
      <xdr:col>17</xdr:col>
      <xdr:colOff>275666</xdr:colOff>
      <xdr:row>61</xdr:row>
      <xdr:rowOff>86846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840441</xdr:colOff>
      <xdr:row>5</xdr:row>
      <xdr:rowOff>145676</xdr:rowOff>
    </xdr:from>
    <xdr:to>
      <xdr:col>27</xdr:col>
      <xdr:colOff>728382</xdr:colOff>
      <xdr:row>34</xdr:row>
      <xdr:rowOff>105335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483090" y="809625"/>
    <xdr:ext cx="5763641" cy="323786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42</xdr:row>
      <xdr:rowOff>161925</xdr:rowOff>
    </xdr:from>
    <xdr:to>
      <xdr:col>14</xdr:col>
      <xdr:colOff>9525</xdr:colOff>
      <xdr:row>58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102</xdr:row>
      <xdr:rowOff>19050</xdr:rowOff>
    </xdr:from>
    <xdr:to>
      <xdr:col>13</xdr:col>
      <xdr:colOff>381000</xdr:colOff>
      <xdr:row>117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1857736" y="13486638"/>
    <xdr:ext cx="5756020" cy="323748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959165" y="14775523"/>
    <xdr:ext cx="5752845" cy="3241802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247611" y="19852976"/>
    <xdr:ext cx="3465703" cy="1952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0159238" y="21410295"/>
    <xdr:ext cx="5752845" cy="3241802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377041" y="22731476"/>
    <xdr:ext cx="5495417" cy="3096768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0287762" y="24240617"/>
    <xdr:ext cx="5752845" cy="3241802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10832338" y="26813129"/>
    <xdr:ext cx="5752845" cy="3241421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9705213" y="28257119"/>
    <xdr:ext cx="5752845" cy="3241421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0672953" y="10439654"/>
    <xdr:ext cx="5759577" cy="3239643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4911578" y="0"/>
    <xdr:ext cx="5761863" cy="323100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" refreshedDate="0" createdVersion="5" refreshedVersion="5" recordCount="0">
  <cacheSource type="worksheet">
    <worksheetSource ref="B12:E588" sheet="CH_SCEN"/>
  </cacheSource>
  <cacheFields count="4">
    <cacheField name="fy" numFmtId="0">
      <sharedItems containsSemiMixedTypes="0" containsNonDate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scen_CH" numFmtId="0">
      <sharedItems containsNonDate="0" count="9">
        <s v="FSS_CHP"/>
        <s v="FSS_CHP_NEW"/>
        <s v="FSS_ELC"/>
        <s v="FSS_ELC_NEW"/>
        <s v="HYD_TOT"/>
        <s v="HYD_TOT_NEW"/>
        <s v="NUC_ELC"/>
        <s v="SOL_WIN_BAL_WASREN"/>
        <s v="SOL_WIN_BAL_WASREN_NEW"/>
      </sharedItems>
    </cacheField>
    <cacheField name="pt" numFmtId="0">
      <sharedItems containsNonDate="0" count="8">
        <s v="NEP C"/>
        <s v="NEP C&amp;E"/>
        <s v="NEP E"/>
        <s v="POM C"/>
        <s v="POM C&amp;E"/>
        <s v="POM E"/>
        <s v="WWB C"/>
        <s v="WWB C&amp;E"/>
      </sharedItems>
    </cacheField>
    <cacheField name="cap" numFmtId="0">
      <sharedItems containsSemiMixedTypes="0" containsNonDate="0" containsString="0" containsNumber="1" minValue="0" maxValue="13779.3751727951" count="192">
        <n v="0"/>
        <n v="66.215095382914001"/>
        <n v="66.353331490185198"/>
        <n v="88.170259812050901"/>
        <n v="88.308457711442799"/>
        <n v="88.332872546309105"/>
        <n v="88.446655610834696"/>
        <n v="88.471108653580302"/>
        <n v="88.609344760851499"/>
        <n v="154.51532725766401"/>
        <n v="154.64344941956901"/>
        <n v="154.68620403649399"/>
        <n v="154.78164731896101"/>
        <n v="154.824440143766"/>
        <n v="154.919845218353"/>
        <n v="154.96267625103701"/>
        <n v="176.80398119988899"/>
        <n v="176.89331122166899"/>
        <n v="176.942217307161"/>
        <n v="177.08045341443199"/>
        <n v="221.11663902708699"/>
        <n v="221.17777163395101"/>
        <n v="232.098424108377"/>
        <n v="243.090105030404"/>
        <n v="243.157312690075"/>
        <n v="243.16487158243601"/>
        <n v="243.22830292979501"/>
        <n v="243.29554879734599"/>
        <n v="243.433784904617"/>
        <n v="309.51064418025999"/>
        <n v="309.56329463792201"/>
        <n v="309.64888028753097"/>
        <n v="309.78711639480201"/>
        <n v="331.40016570008299"/>
        <n v="331.67495854062997"/>
        <n v="331.766657450926"/>
        <n v="397.87175234936399"/>
        <n v="397.98175283384001"/>
        <n v="398.00995024875601"/>
        <n v="398.11998894111099"/>
        <n v="398.258225048383"/>
        <n v="463.96023198011602"/>
        <n v="464.33508432402499"/>
        <n v="464.473320431297"/>
        <n v="464.61155653856798"/>
        <n v="486.45286148742099"/>
        <n v="486.45660585959098"/>
        <n v="486.59109759469197"/>
        <n v="486.59480375898301"/>
        <n v="486.72933370196301"/>
        <n v="552.79159756771696"/>
        <n v="552.92979546710899"/>
        <n v="552.94442908487702"/>
        <n v="574.92397014100095"/>
        <n v="575.06220624827199"/>
        <n v="619.43599668233401"/>
        <n v="641.10005527915996"/>
        <n v="641.41553773845703"/>
        <n v="641.55377384572898"/>
        <n v="707.29684908789397"/>
        <n v="707.435046987286"/>
        <n v="707.57324488667803"/>
        <n v="707.63063312137103"/>
        <n v="707.76886922864298"/>
        <n v="729.54671088999498"/>
        <n v="729.68490878938599"/>
        <n v="729.74841028476601"/>
        <n v="729.88664639203796"/>
        <n v="730.024882499309"/>
        <n v="795.88170259812"/>
        <n v="796.37821398949404"/>
        <n v="818.21951893834705"/>
        <n v="951.06441802598795"/>
        <n v="972.91321171918196"/>
        <n v="973.18219518938395"/>
        <n v="1038.52526926263"/>
        <n v="1039.53552667957"/>
        <n v="1039.6737627868399"/>
        <n v="1105.5831951354301"/>
        <n v="1105.8888581697499"/>
        <n v="1127.6948590381401"/>
        <n v="1127.83305693753"/>
        <n v="1128.0066353331499"/>
        <n v="1194.0298507462701"/>
        <n v="1194.3599668233301"/>
        <n v="1194.49820293061"/>
        <n v="1437.1199557766699"/>
        <n v="1437.65551562068"/>
        <n v="1470.8321813657701"/>
        <n v="1592.4799557644501"/>
        <n v="1658.51299060254"/>
        <n v="1680.95106441803"/>
        <n v="1989.9115533443901"/>
        <n v="1990.5999447055599"/>
        <n v="2145.4243848493202"/>
        <n v="2145.5626209565899"/>
        <n v="2166.8048645660601"/>
        <n v="2166.9430624654501"/>
        <n v="2167.4039259054498"/>
        <n v="2167.5421620127199"/>
        <n v="2167.6803981199901"/>
        <n v="2233.7572573956299"/>
        <n v="2233.8954935029001"/>
        <n v="2234.0337296101702"/>
        <n v="2244.9543820846002"/>
        <n v="2698.3688139341998"/>
        <n v="2719.5964621337798"/>
        <n v="2720.3483549903199"/>
        <n v="2720.48659109759"/>
        <n v="2720.6248272048701"/>
        <n v="2785.9314538418998"/>
        <n v="2786.3460475400798"/>
        <n v="2853.33149018524"/>
        <n v="2874.5163073521298"/>
        <n v="2875.3110312413601"/>
        <n v="2907.8220011055801"/>
        <n v="2940.7131011608599"/>
        <n v="2963.78213989494"/>
        <n v="3247.58354045844"/>
        <n v="3272.5262576008799"/>
        <n v="3272.6644555002799"/>
        <n v="3273.2927840752"/>
        <n v="3273.4310201824701"/>
        <n v="3273.5692562897402"/>
        <n v="3338.72305140962"/>
        <n v="3339.7843516726598"/>
        <n v="3361.7638927287799"/>
        <n v="3361.90212883605"/>
        <n v="3362.0403649433201"/>
        <n v="3637.3687119955798"/>
        <n v="3670.67440574903"/>
        <n v="3671.5510091235801"/>
        <n v="3671.6892452308498"/>
        <n v="3736.8711995577701"/>
        <n v="3737.9043406137698"/>
        <n v="3758.9828634604801"/>
        <n v="3760.02211777716"/>
        <n v="3825.1796572692101"/>
        <n v="3826.23721316008"/>
        <n v="3826.3754492673502"/>
        <n v="3847.4295190713101"/>
        <n v="3848.4932264307399"/>
        <n v="3891.6528468767301"/>
        <n v="3913.7645107794401"/>
        <n v="3914.8465579209301"/>
        <n v="3914.9847940282002"/>
        <n v="3980.0995024875601"/>
        <n v="3981.1998894111098"/>
        <n v="4002.3493642896601"/>
        <n v="4003.31766657451"/>
        <n v="4135.0193477059101"/>
        <n v="4136.0243295548798"/>
        <n v="4158.14210671828"/>
        <n v="4289.6627971254802"/>
        <n v="4312.9665468620396"/>
        <n v="4401.4376555156196"/>
        <n v="4401.5758916228897"/>
        <n v="4532.8911000552798"/>
        <n v="4534.1443184959899"/>
        <n v="4556.2620956593901"/>
        <n v="4776.1194029850803"/>
        <n v="4777.4398672933403"/>
        <n v="4799.6958805639997"/>
        <n v="5019.3477059148699"/>
        <n v="5020.8736521979499"/>
        <n v="5042.85319325408"/>
        <n v="5727.1973466003301"/>
        <n v="5728.5042853193299"/>
        <n v="5750.6220624827201"/>
        <n v="5772.7398396461203"/>
        <n v="5992.2609176340502"/>
        <n v="5993.9176112800697"/>
        <n v="8137.3687119955803"/>
        <n v="8139.2037600221202"/>
        <n v="8139.3419961293903"/>
        <n v="8161.5980094000597"/>
        <n v="10679.795467108899"/>
        <n v="10682.886369919799"/>
        <n v="10683.0246060271"/>
        <n v="10704.865910975899"/>
        <n v="10727.1219242466"/>
        <n v="12670.259812050899"/>
        <n v="12673.3480785181"/>
        <n v="12695.6040917888"/>
        <n v="12695.742327896"/>
        <n v="12717.7218689522"/>
        <n v="13709.2316196794"/>
        <n v="13713.021841304901"/>
        <n v="13731.3432835821"/>
        <n v="13735.1396184683"/>
        <n v="13753.1068765534"/>
        <n v="13779.37517279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" refreshedDate="0" createdVersion="5" refreshedVersion="5" recordCount="0">
  <cacheSource type="worksheet">
    <worksheetSource ref="B18:E343" sheet="CH_SCEN_REN"/>
  </cacheSource>
  <cacheFields count="4">
    <cacheField name="fy" numFmtId="0">
      <sharedItems containsSemiMixedTypes="0" containsNonDate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pt" numFmtId="0">
      <sharedItems containsNonDate="0" count="5">
        <s v="BAL_ELC"/>
        <s v="GEO_ELC"/>
        <s v="SOL_PHO"/>
        <s v="WAS_ELC"/>
        <s v="WIN_ONS"/>
      </sharedItems>
    </cacheField>
    <cacheField name="scen_CH" numFmtId="0">
      <sharedItems containsNonDate="0" count="8">
        <s v="NEP C"/>
        <s v="NEP C&amp;E"/>
        <s v="NEP E"/>
        <s v="POM C"/>
        <s v="POM C&amp;E"/>
        <s v="POM E"/>
        <s v="WWB C"/>
        <s v="WWB C&amp;E"/>
      </sharedItems>
    </cacheField>
    <cacheField name="cap_ren" numFmtId="0">
      <sharedItems containsSemiMixedTypes="0" containsNonDate="0" containsString="0" containsNumber="1" minValue="0" maxValue="13819.6" count="65">
        <n v="0"/>
        <n v="9.6"/>
        <n v="13"/>
        <n v="23.2"/>
        <n v="37.6"/>
        <n v="41"/>
        <n v="46.2"/>
        <n v="49.2"/>
        <n v="53.3"/>
        <n v="60.3"/>
        <n v="87.3"/>
        <n v="88.3"/>
        <n v="126.7"/>
        <n v="146.6"/>
        <n v="172.6"/>
        <n v="191.3"/>
        <n v="225.2"/>
        <n v="240.6"/>
        <n v="299.8"/>
        <n v="305.7"/>
        <n v="308.7"/>
        <n v="317.60000000000002"/>
        <n v="319.3"/>
        <n v="326.60000000000002"/>
        <n v="398.2"/>
        <n v="406.4"/>
        <n v="407.6"/>
        <n v="414.6"/>
        <n v="427.2"/>
        <n v="432.5"/>
        <n v="438.7"/>
        <n v="439.3"/>
        <n v="470.2"/>
        <n v="506.8"/>
        <n v="532.1"/>
        <n v="535"/>
        <n v="556.79999999999995"/>
        <n v="562.1"/>
        <n v="585.70000000000005"/>
        <n v="639.20000000000005"/>
        <n v="662.1"/>
        <n v="672.3"/>
        <n v="674.8"/>
        <n v="686.2"/>
        <n v="705.8"/>
        <n v="772.6"/>
        <n v="880.3"/>
        <n v="1363"/>
        <n v="1390.1"/>
        <n v="1526"/>
        <n v="1665.3"/>
        <n v="1745.4"/>
        <n v="1851.5"/>
        <n v="2173.9"/>
        <n v="2192.6999999999998"/>
        <n v="2334.1999999999998"/>
        <n v="3259.1"/>
        <n v="3804.1"/>
        <n v="4807.3"/>
        <n v="6113.6"/>
        <n v="6160.1"/>
        <n v="7357.2"/>
        <n v="8797.2999999999993"/>
        <n v="11652.5"/>
        <n v="13819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" refreshedDate="0" createdVersion="5" refreshedVersion="5" recordCount="0">
  <cacheSource type="worksheet">
    <worksheetSource ref="B14:D70" sheet="CH_EXIST"/>
  </cacheSource>
  <cacheFields count="3">
    <cacheField name="fy" numFmtId="0">
      <sharedItems containsSemiMixedTypes="0" containsNonDate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pt" numFmtId="0">
      <sharedItems containsNonDate="0" count="7">
        <s v="FSS_CHP"/>
        <s v="FSS_ELC"/>
        <s v="HYD_TOT"/>
        <s v="NUC_ELC"/>
        <s v="REN_CHP"/>
        <s v="SOL_WIN"/>
        <s v="WAS_ELC"/>
      </sharedItems>
    </cacheField>
    <cacheField name="cap_exist" numFmtId="0">
      <sharedItems containsSemiMixedTypes="0" containsNonDate="0" containsString="0" containsNumber="1" containsInteger="1" minValue="0" maxValue="13730" count="24">
        <n v="0"/>
        <n v="2"/>
        <n v="28"/>
        <n v="35"/>
        <n v="55"/>
        <n v="60"/>
        <n v="69"/>
        <n v="77"/>
        <n v="85"/>
        <n v="118"/>
        <n v="123"/>
        <n v="130"/>
        <n v="142"/>
        <n v="151"/>
        <n v="175"/>
        <n v="193"/>
        <n v="207"/>
        <n v="277"/>
        <n v="354"/>
        <n v="1190"/>
        <n v="2160"/>
        <n v="2898"/>
        <n v="3263"/>
        <n v="137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rtin s" refreshedDate="43479.3848349537" createdVersion="5" refreshedVersion="5" recordCount="705">
  <cacheSource type="worksheet">
    <worksheetSource ref="B10:F715" sheet="ALL_CAPACITY"/>
  </cacheSource>
  <cacheFields count="5">
    <cacheField name="pt_id" numFmtId="0">
      <sharedItems containsBlank="1" count="17">
        <s v="SOL_PHO"/>
        <s v="WIN_ONS"/>
        <s v="GEO_ELC"/>
        <s v="GAS_NEW"/>
        <s v="BAL_ELC"/>
        <m/>
        <s v="NUC_ELC"/>
        <s v="HYD_ROR"/>
        <s v="HYD_RES"/>
        <s v="HYD_STO"/>
        <s v="GAS_LIN"/>
        <s v="OIL_LIN"/>
        <s v="WAS_ELC"/>
        <s v="LIG_LIN"/>
        <s v="HCO_LIN"/>
        <s v="WIN_OFF"/>
        <s v="GAS_LIN_NEW" u="1"/>
      </sharedItems>
    </cacheField>
    <cacheField name="fy" numFmtId="0">
      <sharedItems containsString="0" containsBlank="1" containsNumber="1" containsInteger="1" minValue="2015" maxValue="2050" count="9">
        <n v="2015"/>
        <n v="2020"/>
        <n v="2025"/>
        <n v="2030"/>
        <n v="2035"/>
        <n v="2040"/>
        <n v="2045"/>
        <n v="2050"/>
        <m/>
      </sharedItems>
    </cacheField>
    <cacheField name="scenario" numFmtId="0">
      <sharedItems containsBlank="1" count="4">
        <s v="hi_gas"/>
        <s v="hi_ren"/>
        <m/>
        <s v="default"/>
      </sharedItems>
    </cacheField>
    <cacheField name="nd_id" numFmtId="0">
      <sharedItems containsBlank="1" count="6">
        <s v="CH0"/>
        <m/>
        <s v="DE0"/>
        <s v="FR0"/>
        <s v="IT0"/>
        <s v="AT0"/>
      </sharedItems>
    </cacheField>
    <cacheField name="cap_pwr_leg" numFmtId="0">
      <sharedItems containsString="0" containsBlank="1" containsNumber="1" minValue="0" maxValue="86140.792539669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rtin s" refreshedDate="43489.488694907406" createdVersion="5" refreshedVersion="5" recordCount="325">
  <cacheSource type="worksheet">
    <worksheetSource ref="B18:F343" sheet="CH_SCEN_REN"/>
  </cacheSource>
  <cacheFields count="5">
    <cacheField name="fy" numFmtId="0">
      <sharedItems containsString="0" containsBlank="1" containsNumber="1" containsInteger="1" minValue="2015" maxValue="2050" count="9">
        <n v="2015"/>
        <n v="2020"/>
        <n v="2025"/>
        <n v="2030"/>
        <n v="2035"/>
        <n v="2040"/>
        <n v="2045"/>
        <n v="2050"/>
        <m/>
      </sharedItems>
    </cacheField>
    <cacheField name="pt" numFmtId="0">
      <sharedItems containsBlank="1" count="11">
        <s v="SOL_PHO"/>
        <s v="WIN_ONS"/>
        <s v="WAS_ELC"/>
        <s v="BAL_ELC"/>
        <s v="GEO_ELC"/>
        <s v="NUC_ELC"/>
        <s v="HYD_STO_TRUE"/>
        <s v="HYD_TOT"/>
        <s v="GAS_OIL"/>
        <s v="GAS_NEW"/>
        <m/>
      </sharedItems>
    </cacheField>
    <cacheField name="scen_CH" numFmtId="0">
      <sharedItems containsBlank="1" count="9">
        <s v="POM C"/>
        <s v="POM C&amp;E"/>
        <s v="POM E"/>
        <m/>
        <s v="WWB C&amp;E" u="1"/>
        <s v="NEP C&amp;E" u="1"/>
        <s v="NEP E" u="1"/>
        <s v="WWB C" u="1"/>
        <s v="NEP C" u="1"/>
      </sharedItems>
    </cacheField>
    <cacheField name="cap_ren" numFmtId="164">
      <sharedItems containsBlank="1" containsMixedTypes="1" containsNumber="1" minValue="0" maxValue="13819.598587456969"/>
    </cacheField>
    <cacheField name="erg_ren" numFmtId="0">
      <sharedItems containsString="0" containsBlank="1" containsNumber="1" minValue="0" maxValue="36.95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artin s" refreshedDate="43489.703280902781" createdVersion="5" refreshedVersion="5" minRefreshableVersion="3" recordCount="320">
  <cacheSource type="worksheet">
    <worksheetSource ref="A10:D330" sheet="VC_FL"/>
  </cacheSource>
  <cacheFields count="4">
    <cacheField name="fy" numFmtId="0">
      <sharedItems containsSemiMixedTypes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fl" numFmtId="0">
      <sharedItems count="8">
        <s v="hard_coal"/>
        <s v="mineral_oil_heavy"/>
        <s v="natural_gas"/>
        <s v="lignite"/>
        <s v="nuclear_fuel"/>
        <s v="waste_mix"/>
        <s v="bio_all"/>
        <s v="lost_load"/>
      </sharedItems>
    </cacheField>
    <cacheField name="nd" numFmtId="0">
      <sharedItems count="5">
        <s v="CH0"/>
        <s v="DE0"/>
        <s v="FR0"/>
        <s v="IT0"/>
        <s v="AT0"/>
      </sharedItems>
    </cacheField>
    <cacheField name="vc_fl" numFmtId="2">
      <sharedItems containsMixedTypes="1" containsNumber="1" minValue="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artin s" refreshedDate="43493.38420104167" createdVersion="5" refreshedVersion="5" minRefreshableVersion="3" recordCount="542">
  <cacheSource type="worksheet">
    <worksheetSource ref="B10:G552" sheet="ERG_INP"/>
  </cacheSource>
  <cacheFields count="6">
    <cacheField name="nd_id" numFmtId="0">
      <sharedItems containsBlank="1" count="6">
        <s v="DE0"/>
        <s v="FR0"/>
        <s v="CH0"/>
        <m/>
        <s v="IT0"/>
        <s v="AT0"/>
      </sharedItems>
    </cacheField>
    <cacheField name="fy" numFmtId="0">
      <sharedItems containsString="0" containsBlank="1" containsNumber="1" containsInteger="1" minValue="2015" maxValue="2050" count="9">
        <n v="2015"/>
        <n v="2020"/>
        <n v="2025"/>
        <n v="2030"/>
        <n v="2035"/>
        <n v="2040"/>
        <n v="2045"/>
        <n v="2050"/>
        <m/>
      </sharedItems>
    </cacheField>
    <cacheField name="pt_id" numFmtId="0">
      <sharedItems containsBlank="1"/>
    </cacheField>
    <cacheField name="erg_inp" numFmtId="173">
      <sharedItems containsString="0" containsBlank="1" containsNumber="1" minValue="0" maxValue="423454524.12489945"/>
    </cacheField>
    <cacheField name="scen_CH" numFmtId="0">
      <sharedItems containsBlank="1" count="4">
        <s v="default"/>
        <m/>
        <s v="hi_gas"/>
        <s v="hi_ren"/>
      </sharedItems>
    </cacheField>
    <cacheField name="fl_id" numFmtId="0">
      <sharedItems containsBlank="1" count="15">
        <s v="nuclear_fuel"/>
        <m/>
        <s v="natural_gas"/>
        <s v="hard_coal"/>
        <s v="lignite+coal"/>
        <s v="reservoir"/>
        <s v="run_of_river"/>
        <s v="waste_mix"/>
        <s v="bio_all"/>
        <s v="wind_total"/>
        <s v="photovoltaics"/>
        <s v="mineral_oil_heavy"/>
        <s v="geothermal"/>
        <s v="gas+oil"/>
        <s v="wind_onsh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artin s" refreshedDate="43493.387270833337" createdVersion="5" refreshedVersion="5" minRefreshableVersion="3" recordCount="187">
  <cacheSource type="worksheet">
    <worksheetSource ref="B10:E197" sheet="ERG_CHP"/>
  </cacheSource>
  <cacheFields count="4">
    <cacheField name="fy" numFmtId="0">
      <sharedItems containsString="0" containsBlank="1" containsNumber="1" containsInteger="1" minValue="2015" maxValue="2050" count="9">
        <n v="2015"/>
        <n v="2020"/>
        <n v="2025"/>
        <n v="2030"/>
        <n v="2035"/>
        <n v="2040"/>
        <n v="2045"/>
        <n v="2050"/>
        <m/>
      </sharedItems>
    </cacheField>
    <cacheField name="pt" numFmtId="0">
      <sharedItems containsBlank="1" count="6">
        <s v="GAS_LIN"/>
        <s v="OIL_LIN"/>
        <s v="GAS_NEW"/>
        <m/>
        <s v="HCO_LIN"/>
        <s v="LIG_LIN"/>
      </sharedItems>
    </cacheField>
    <cacheField name="nd" numFmtId="0">
      <sharedItems containsBlank="1" count="6">
        <s v="CH0"/>
        <m/>
        <s v="AT0"/>
        <s v="IT0"/>
        <s v="FR0"/>
        <s v="DE0"/>
      </sharedItems>
    </cacheField>
    <cacheField name="erg_chp" numFmtId="0">
      <sharedItems containsString="0" containsBlank="1" containsNumber="1" minValue="0" maxValue="85513395.3469998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x v="0"/>
    <n v="0"/>
  </r>
  <r>
    <x v="1"/>
    <x v="0"/>
    <x v="0"/>
    <n v="16.551073991832286"/>
  </r>
  <r>
    <x v="2"/>
    <x v="0"/>
    <x v="0"/>
    <n v="20.489252716740868"/>
  </r>
  <r>
    <x v="3"/>
    <x v="0"/>
    <x v="0"/>
    <n v="24.521702625968029"/>
  </r>
  <r>
    <x v="4"/>
    <x v="0"/>
    <x v="0"/>
    <n v="26.021792846437396"/>
  </r>
  <r>
    <x v="5"/>
    <x v="0"/>
    <x v="0"/>
    <n v="27.053473119823831"/>
  </r>
  <r>
    <x v="6"/>
    <x v="0"/>
    <x v="0"/>
    <n v="28.084564198308275"/>
  </r>
  <r>
    <x v="7"/>
    <x v="0"/>
    <x v="0"/>
    <n v="28.83519850344495"/>
  </r>
  <r>
    <x v="0"/>
    <x v="1"/>
    <x v="0"/>
    <n v="29.241509433962261"/>
  </r>
  <r>
    <x v="1"/>
    <x v="1"/>
    <x v="0"/>
    <n v="86.877966688393229"/>
  </r>
  <r>
    <x v="2"/>
    <x v="1"/>
    <x v="0"/>
    <n v="101.97549685701344"/>
  </r>
  <r>
    <x v="3"/>
    <x v="1"/>
    <x v="0"/>
    <n v="112.3842139955884"/>
  </r>
  <r>
    <x v="4"/>
    <x v="1"/>
    <x v="0"/>
    <n v="117.16670901505024"/>
  </r>
  <r>
    <x v="5"/>
    <x v="1"/>
    <x v="0"/>
    <n v="124.10565737579955"/>
  </r>
  <r>
    <x v="6"/>
    <x v="1"/>
    <x v="0"/>
    <n v="126.9190630328071"/>
  </r>
  <r>
    <x v="7"/>
    <x v="1"/>
    <x v="0"/>
    <n v="129.82615067923123"/>
  </r>
  <r>
    <x v="0"/>
    <x v="2"/>
    <x v="0"/>
    <n v="63.29"/>
  </r>
  <r>
    <x v="1"/>
    <x v="2"/>
    <x v="0"/>
    <n v="56.30817839348645"/>
  </r>
  <r>
    <x v="2"/>
    <x v="2"/>
    <x v="0"/>
    <n v="63.059762775402582"/>
  </r>
  <r>
    <x v="3"/>
    <x v="2"/>
    <x v="0"/>
    <n v="68.592302905099118"/>
  </r>
  <r>
    <x v="4"/>
    <x v="2"/>
    <x v="0"/>
    <n v="73.281115935144371"/>
  </r>
  <r>
    <x v="5"/>
    <x v="2"/>
    <x v="0"/>
    <n v="75.719204439583592"/>
  </r>
  <r>
    <x v="6"/>
    <x v="2"/>
    <x v="0"/>
    <n v="77.312976649469533"/>
  </r>
  <r>
    <x v="7"/>
    <x v="2"/>
    <x v="0"/>
    <n v="78.438338912272556"/>
  </r>
  <r>
    <x v="0"/>
    <x v="3"/>
    <x v="0"/>
    <e v="#N/A"/>
  </r>
  <r>
    <x v="1"/>
    <x v="3"/>
    <x v="0"/>
    <e v="#N/A"/>
  </r>
  <r>
    <x v="2"/>
    <x v="3"/>
    <x v="0"/>
    <e v="#N/A"/>
  </r>
  <r>
    <x v="3"/>
    <x v="3"/>
    <x v="0"/>
    <e v="#N/A"/>
  </r>
  <r>
    <x v="4"/>
    <x v="3"/>
    <x v="0"/>
    <e v="#N/A"/>
  </r>
  <r>
    <x v="5"/>
    <x v="3"/>
    <x v="0"/>
    <e v="#N/A"/>
  </r>
  <r>
    <x v="6"/>
    <x v="3"/>
    <x v="0"/>
    <e v="#N/A"/>
  </r>
  <r>
    <x v="7"/>
    <x v="3"/>
    <x v="0"/>
    <e v="#N/A"/>
  </r>
  <r>
    <x v="0"/>
    <x v="4"/>
    <x v="0"/>
    <n v="1.881"/>
  </r>
  <r>
    <x v="1"/>
    <x v="4"/>
    <x v="0"/>
    <n v="1.881"/>
  </r>
  <r>
    <x v="2"/>
    <x v="4"/>
    <x v="0"/>
    <n v="1.881"/>
  </r>
  <r>
    <x v="3"/>
    <x v="4"/>
    <x v="0"/>
    <n v="1.881"/>
  </r>
  <r>
    <x v="4"/>
    <x v="4"/>
    <x v="0"/>
    <n v="1.881"/>
  </r>
  <r>
    <x v="5"/>
    <x v="4"/>
    <x v="0"/>
    <n v="1.881"/>
  </r>
  <r>
    <x v="6"/>
    <x v="4"/>
    <x v="0"/>
    <n v="1.881"/>
  </r>
  <r>
    <x v="7"/>
    <x v="4"/>
    <x v="0"/>
    <n v="1.881"/>
  </r>
  <r>
    <x v="0"/>
    <x v="5"/>
    <x v="0"/>
    <n v="0.5"/>
  </r>
  <r>
    <x v="1"/>
    <x v="5"/>
    <x v="0"/>
    <n v="0.5"/>
  </r>
  <r>
    <x v="2"/>
    <x v="5"/>
    <x v="0"/>
    <n v="0.5"/>
  </r>
  <r>
    <x v="3"/>
    <x v="5"/>
    <x v="0"/>
    <n v="0.5"/>
  </r>
  <r>
    <x v="4"/>
    <x v="5"/>
    <x v="0"/>
    <n v="0.5"/>
  </r>
  <r>
    <x v="5"/>
    <x v="5"/>
    <x v="0"/>
    <n v="0.5"/>
  </r>
  <r>
    <x v="6"/>
    <x v="5"/>
    <x v="0"/>
    <n v="0.5"/>
  </r>
  <r>
    <x v="7"/>
    <x v="5"/>
    <x v="0"/>
    <n v="0.5"/>
  </r>
  <r>
    <x v="0"/>
    <x v="6"/>
    <x v="0"/>
    <n v="1"/>
  </r>
  <r>
    <x v="1"/>
    <x v="6"/>
    <x v="0"/>
    <n v="1"/>
  </r>
  <r>
    <x v="2"/>
    <x v="6"/>
    <x v="0"/>
    <n v="1"/>
  </r>
  <r>
    <x v="3"/>
    <x v="6"/>
    <x v="0"/>
    <n v="1"/>
  </r>
  <r>
    <x v="4"/>
    <x v="6"/>
    <x v="0"/>
    <n v="1"/>
  </r>
  <r>
    <x v="5"/>
    <x v="6"/>
    <x v="0"/>
    <n v="1"/>
  </r>
  <r>
    <x v="6"/>
    <x v="6"/>
    <x v="0"/>
    <n v="1"/>
  </r>
  <r>
    <x v="7"/>
    <x v="6"/>
    <x v="0"/>
    <n v="1"/>
  </r>
  <r>
    <x v="0"/>
    <x v="7"/>
    <x v="0"/>
    <n v="300"/>
  </r>
  <r>
    <x v="1"/>
    <x v="7"/>
    <x v="0"/>
    <n v="300"/>
  </r>
  <r>
    <x v="2"/>
    <x v="7"/>
    <x v="0"/>
    <n v="300"/>
  </r>
  <r>
    <x v="3"/>
    <x v="7"/>
    <x v="0"/>
    <n v="300"/>
  </r>
  <r>
    <x v="4"/>
    <x v="7"/>
    <x v="0"/>
    <n v="300"/>
  </r>
  <r>
    <x v="5"/>
    <x v="7"/>
    <x v="0"/>
    <n v="300"/>
  </r>
  <r>
    <x v="6"/>
    <x v="7"/>
    <x v="0"/>
    <n v="300"/>
  </r>
  <r>
    <x v="7"/>
    <x v="7"/>
    <x v="0"/>
    <n v="300"/>
  </r>
  <r>
    <x v="0"/>
    <x v="0"/>
    <x v="1"/>
    <n v="8.4515092478679605"/>
  </r>
  <r>
    <x v="1"/>
    <x v="0"/>
    <x v="1"/>
    <n v="16.551073991832286"/>
  </r>
  <r>
    <x v="2"/>
    <x v="0"/>
    <x v="1"/>
    <n v="20.489252716740868"/>
  </r>
  <r>
    <x v="3"/>
    <x v="0"/>
    <x v="1"/>
    <n v="24.521702625968029"/>
  </r>
  <r>
    <x v="4"/>
    <x v="0"/>
    <x v="1"/>
    <n v="26.021792846437396"/>
  </r>
  <r>
    <x v="5"/>
    <x v="0"/>
    <x v="1"/>
    <n v="27.053473119823831"/>
  </r>
  <r>
    <x v="6"/>
    <x v="0"/>
    <x v="1"/>
    <n v="28.084564198308275"/>
  </r>
  <r>
    <x v="7"/>
    <x v="0"/>
    <x v="1"/>
    <n v="28.83519850344495"/>
  </r>
  <r>
    <x v="0"/>
    <x v="1"/>
    <x v="1"/>
    <n v="23.305902969622899"/>
  </r>
  <r>
    <x v="1"/>
    <x v="1"/>
    <x v="1"/>
    <n v="86.877966688393229"/>
  </r>
  <r>
    <x v="2"/>
    <x v="1"/>
    <x v="1"/>
    <n v="101.97549685701344"/>
  </r>
  <r>
    <x v="3"/>
    <x v="1"/>
    <x v="1"/>
    <n v="112.3842139955884"/>
  </r>
  <r>
    <x v="4"/>
    <x v="1"/>
    <x v="1"/>
    <n v="117.16670901505024"/>
  </r>
  <r>
    <x v="5"/>
    <x v="1"/>
    <x v="1"/>
    <n v="124.10565737579955"/>
  </r>
  <r>
    <x v="6"/>
    <x v="1"/>
    <x v="1"/>
    <n v="126.9190630328071"/>
  </r>
  <r>
    <x v="7"/>
    <x v="1"/>
    <x v="1"/>
    <n v="129.82615067923123"/>
  </r>
  <r>
    <x v="0"/>
    <x v="2"/>
    <x v="1"/>
    <n v="29.5"/>
  </r>
  <r>
    <x v="1"/>
    <x v="2"/>
    <x v="1"/>
    <n v="56.30817839348645"/>
  </r>
  <r>
    <x v="2"/>
    <x v="2"/>
    <x v="1"/>
    <n v="63.059762775402582"/>
  </r>
  <r>
    <x v="3"/>
    <x v="2"/>
    <x v="1"/>
    <n v="68.592302905099118"/>
  </r>
  <r>
    <x v="4"/>
    <x v="2"/>
    <x v="1"/>
    <n v="73.281115935144371"/>
  </r>
  <r>
    <x v="5"/>
    <x v="2"/>
    <x v="1"/>
    <n v="75.719204439583592"/>
  </r>
  <r>
    <x v="6"/>
    <x v="2"/>
    <x v="1"/>
    <n v="77.312976649469533"/>
  </r>
  <r>
    <x v="7"/>
    <x v="2"/>
    <x v="1"/>
    <n v="78.438338912272556"/>
  </r>
  <r>
    <x v="0"/>
    <x v="3"/>
    <x v="1"/>
    <n v="1.44"/>
  </r>
  <r>
    <x v="1"/>
    <x v="3"/>
    <x v="1"/>
    <n v="1.44"/>
  </r>
  <r>
    <x v="2"/>
    <x v="3"/>
    <x v="1"/>
    <n v="1.44"/>
  </r>
  <r>
    <x v="3"/>
    <x v="3"/>
    <x v="1"/>
    <n v="1.44"/>
  </r>
  <r>
    <x v="4"/>
    <x v="3"/>
    <x v="1"/>
    <n v="1.44"/>
  </r>
  <r>
    <x v="5"/>
    <x v="3"/>
    <x v="1"/>
    <n v="1.44"/>
  </r>
  <r>
    <x v="6"/>
    <x v="3"/>
    <x v="1"/>
    <n v="1.44"/>
  </r>
  <r>
    <x v="7"/>
    <x v="3"/>
    <x v="1"/>
    <n v="1.44"/>
  </r>
  <r>
    <x v="0"/>
    <x v="4"/>
    <x v="1"/>
    <n v="1.881"/>
  </r>
  <r>
    <x v="1"/>
    <x v="4"/>
    <x v="1"/>
    <n v="1.881"/>
  </r>
  <r>
    <x v="2"/>
    <x v="4"/>
    <x v="1"/>
    <n v="1.881"/>
  </r>
  <r>
    <x v="3"/>
    <x v="4"/>
    <x v="1"/>
    <n v="1.881"/>
  </r>
  <r>
    <x v="4"/>
    <x v="4"/>
    <x v="1"/>
    <n v="1.881"/>
  </r>
  <r>
    <x v="5"/>
    <x v="4"/>
    <x v="1"/>
    <n v="1.881"/>
  </r>
  <r>
    <x v="6"/>
    <x v="4"/>
    <x v="1"/>
    <n v="1.881"/>
  </r>
  <r>
    <x v="7"/>
    <x v="4"/>
    <x v="1"/>
    <n v="1.881"/>
  </r>
  <r>
    <x v="0"/>
    <x v="5"/>
    <x v="1"/>
    <n v="0.5"/>
  </r>
  <r>
    <x v="1"/>
    <x v="5"/>
    <x v="1"/>
    <n v="0.5"/>
  </r>
  <r>
    <x v="2"/>
    <x v="5"/>
    <x v="1"/>
    <n v="0.5"/>
  </r>
  <r>
    <x v="3"/>
    <x v="5"/>
    <x v="1"/>
    <n v="0.5"/>
  </r>
  <r>
    <x v="4"/>
    <x v="5"/>
    <x v="1"/>
    <n v="0.5"/>
  </r>
  <r>
    <x v="5"/>
    <x v="5"/>
    <x v="1"/>
    <n v="0.5"/>
  </r>
  <r>
    <x v="6"/>
    <x v="5"/>
    <x v="1"/>
    <n v="0.5"/>
  </r>
  <r>
    <x v="7"/>
    <x v="5"/>
    <x v="1"/>
    <n v="0.5"/>
  </r>
  <r>
    <x v="0"/>
    <x v="6"/>
    <x v="1"/>
    <n v="1"/>
  </r>
  <r>
    <x v="1"/>
    <x v="6"/>
    <x v="1"/>
    <n v="1"/>
  </r>
  <r>
    <x v="2"/>
    <x v="6"/>
    <x v="1"/>
    <n v="1"/>
  </r>
  <r>
    <x v="3"/>
    <x v="6"/>
    <x v="1"/>
    <n v="1"/>
  </r>
  <r>
    <x v="4"/>
    <x v="6"/>
    <x v="1"/>
    <n v="1"/>
  </r>
  <r>
    <x v="5"/>
    <x v="6"/>
    <x v="1"/>
    <n v="1"/>
  </r>
  <r>
    <x v="6"/>
    <x v="6"/>
    <x v="1"/>
    <n v="1"/>
  </r>
  <r>
    <x v="7"/>
    <x v="6"/>
    <x v="1"/>
    <n v="1"/>
  </r>
  <r>
    <x v="0"/>
    <x v="7"/>
    <x v="1"/>
    <n v="300"/>
  </r>
  <r>
    <x v="1"/>
    <x v="7"/>
    <x v="1"/>
    <n v="300"/>
  </r>
  <r>
    <x v="2"/>
    <x v="7"/>
    <x v="1"/>
    <n v="300"/>
  </r>
  <r>
    <x v="3"/>
    <x v="7"/>
    <x v="1"/>
    <n v="300"/>
  </r>
  <r>
    <x v="4"/>
    <x v="7"/>
    <x v="1"/>
    <n v="300"/>
  </r>
  <r>
    <x v="5"/>
    <x v="7"/>
    <x v="1"/>
    <n v="300"/>
  </r>
  <r>
    <x v="6"/>
    <x v="7"/>
    <x v="1"/>
    <n v="300"/>
  </r>
  <r>
    <x v="7"/>
    <x v="7"/>
    <x v="1"/>
    <n v="300"/>
  </r>
  <r>
    <x v="0"/>
    <x v="0"/>
    <x v="2"/>
    <n v="10.8351179180115"/>
  </r>
  <r>
    <x v="1"/>
    <x v="0"/>
    <x v="2"/>
    <n v="16.551073991832286"/>
  </r>
  <r>
    <x v="2"/>
    <x v="0"/>
    <x v="2"/>
    <n v="20.489252716740868"/>
  </r>
  <r>
    <x v="3"/>
    <x v="0"/>
    <x v="2"/>
    <n v="24.521702625968029"/>
  </r>
  <r>
    <x v="4"/>
    <x v="0"/>
    <x v="2"/>
    <n v="26.021792846437396"/>
  </r>
  <r>
    <x v="5"/>
    <x v="0"/>
    <x v="2"/>
    <n v="27.053473119823831"/>
  </r>
  <r>
    <x v="6"/>
    <x v="0"/>
    <x v="2"/>
    <n v="28.084564198308275"/>
  </r>
  <r>
    <x v="7"/>
    <x v="0"/>
    <x v="2"/>
    <n v="28.83519850344495"/>
  </r>
  <r>
    <x v="0"/>
    <x v="1"/>
    <x v="2"/>
    <n v="32.7896200185357"/>
  </r>
  <r>
    <x v="1"/>
    <x v="1"/>
    <x v="2"/>
    <n v="86.877966688393229"/>
  </r>
  <r>
    <x v="2"/>
    <x v="1"/>
    <x v="2"/>
    <n v="101.97549685701344"/>
  </r>
  <r>
    <x v="3"/>
    <x v="1"/>
    <x v="2"/>
    <n v="112.3842139955884"/>
  </r>
  <r>
    <x v="4"/>
    <x v="1"/>
    <x v="2"/>
    <n v="117.16670901505024"/>
  </r>
  <r>
    <x v="5"/>
    <x v="1"/>
    <x v="2"/>
    <n v="124.10565737579955"/>
  </r>
  <r>
    <x v="6"/>
    <x v="1"/>
    <x v="2"/>
    <n v="126.9190630328071"/>
  </r>
  <r>
    <x v="7"/>
    <x v="1"/>
    <x v="2"/>
    <n v="129.82615067923123"/>
  </r>
  <r>
    <x v="0"/>
    <x v="2"/>
    <x v="2"/>
    <n v="42.2"/>
  </r>
  <r>
    <x v="1"/>
    <x v="2"/>
    <x v="2"/>
    <n v="56.30817839348645"/>
  </r>
  <r>
    <x v="2"/>
    <x v="2"/>
    <x v="2"/>
    <n v="63.059762775402582"/>
  </r>
  <r>
    <x v="3"/>
    <x v="2"/>
    <x v="2"/>
    <n v="68.592302905099118"/>
  </r>
  <r>
    <x v="4"/>
    <x v="2"/>
    <x v="2"/>
    <n v="73.281115935144371"/>
  </r>
  <r>
    <x v="5"/>
    <x v="2"/>
    <x v="2"/>
    <n v="75.719204439583592"/>
  </r>
  <r>
    <x v="6"/>
    <x v="2"/>
    <x v="2"/>
    <n v="77.312976649469533"/>
  </r>
  <r>
    <x v="7"/>
    <x v="2"/>
    <x v="2"/>
    <n v="78.438338912272556"/>
  </r>
  <r>
    <x v="0"/>
    <x v="3"/>
    <x v="2"/>
    <e v="#N/A"/>
  </r>
  <r>
    <x v="1"/>
    <x v="3"/>
    <x v="2"/>
    <e v="#N/A"/>
  </r>
  <r>
    <x v="2"/>
    <x v="3"/>
    <x v="2"/>
    <e v="#N/A"/>
  </r>
  <r>
    <x v="3"/>
    <x v="3"/>
    <x v="2"/>
    <e v="#N/A"/>
  </r>
  <r>
    <x v="4"/>
    <x v="3"/>
    <x v="2"/>
    <e v="#N/A"/>
  </r>
  <r>
    <x v="5"/>
    <x v="3"/>
    <x v="2"/>
    <e v="#N/A"/>
  </r>
  <r>
    <x v="6"/>
    <x v="3"/>
    <x v="2"/>
    <e v="#N/A"/>
  </r>
  <r>
    <x v="7"/>
    <x v="3"/>
    <x v="2"/>
    <e v="#N/A"/>
  </r>
  <r>
    <x v="0"/>
    <x v="4"/>
    <x v="2"/>
    <n v="1.881"/>
  </r>
  <r>
    <x v="1"/>
    <x v="4"/>
    <x v="2"/>
    <n v="1.881"/>
  </r>
  <r>
    <x v="2"/>
    <x v="4"/>
    <x v="2"/>
    <n v="1.881"/>
  </r>
  <r>
    <x v="3"/>
    <x v="4"/>
    <x v="2"/>
    <n v="1.881"/>
  </r>
  <r>
    <x v="4"/>
    <x v="4"/>
    <x v="2"/>
    <n v="1.881"/>
  </r>
  <r>
    <x v="5"/>
    <x v="4"/>
    <x v="2"/>
    <n v="1.881"/>
  </r>
  <r>
    <x v="6"/>
    <x v="4"/>
    <x v="2"/>
    <n v="1.881"/>
  </r>
  <r>
    <x v="7"/>
    <x v="4"/>
    <x v="2"/>
    <n v="1.881"/>
  </r>
  <r>
    <x v="0"/>
    <x v="5"/>
    <x v="2"/>
    <n v="0.5"/>
  </r>
  <r>
    <x v="1"/>
    <x v="5"/>
    <x v="2"/>
    <n v="0.5"/>
  </r>
  <r>
    <x v="2"/>
    <x v="5"/>
    <x v="2"/>
    <n v="0.5"/>
  </r>
  <r>
    <x v="3"/>
    <x v="5"/>
    <x v="2"/>
    <n v="0.5"/>
  </r>
  <r>
    <x v="4"/>
    <x v="5"/>
    <x v="2"/>
    <n v="0.5"/>
  </r>
  <r>
    <x v="5"/>
    <x v="5"/>
    <x v="2"/>
    <n v="0.5"/>
  </r>
  <r>
    <x v="6"/>
    <x v="5"/>
    <x v="2"/>
    <n v="0.5"/>
  </r>
  <r>
    <x v="7"/>
    <x v="5"/>
    <x v="2"/>
    <n v="0.5"/>
  </r>
  <r>
    <x v="0"/>
    <x v="6"/>
    <x v="2"/>
    <n v="1"/>
  </r>
  <r>
    <x v="1"/>
    <x v="6"/>
    <x v="2"/>
    <n v="1"/>
  </r>
  <r>
    <x v="2"/>
    <x v="6"/>
    <x v="2"/>
    <n v="1"/>
  </r>
  <r>
    <x v="3"/>
    <x v="6"/>
    <x v="2"/>
    <n v="1"/>
  </r>
  <r>
    <x v="4"/>
    <x v="6"/>
    <x v="2"/>
    <n v="1"/>
  </r>
  <r>
    <x v="5"/>
    <x v="6"/>
    <x v="2"/>
    <n v="1"/>
  </r>
  <r>
    <x v="6"/>
    <x v="6"/>
    <x v="2"/>
    <n v="1"/>
  </r>
  <r>
    <x v="7"/>
    <x v="6"/>
    <x v="2"/>
    <n v="1"/>
  </r>
  <r>
    <x v="0"/>
    <x v="7"/>
    <x v="2"/>
    <n v="300"/>
  </r>
  <r>
    <x v="1"/>
    <x v="7"/>
    <x v="2"/>
    <n v="300"/>
  </r>
  <r>
    <x v="2"/>
    <x v="7"/>
    <x v="2"/>
    <n v="300"/>
  </r>
  <r>
    <x v="3"/>
    <x v="7"/>
    <x v="2"/>
    <n v="300"/>
  </r>
  <r>
    <x v="4"/>
    <x v="7"/>
    <x v="2"/>
    <n v="300"/>
  </r>
  <r>
    <x v="5"/>
    <x v="7"/>
    <x v="2"/>
    <n v="300"/>
  </r>
  <r>
    <x v="6"/>
    <x v="7"/>
    <x v="2"/>
    <n v="300"/>
  </r>
  <r>
    <x v="7"/>
    <x v="7"/>
    <x v="2"/>
    <n v="300"/>
  </r>
  <r>
    <x v="0"/>
    <x v="0"/>
    <x v="3"/>
    <n v="12.1371685288369"/>
  </r>
  <r>
    <x v="1"/>
    <x v="0"/>
    <x v="3"/>
    <n v="16.551073991832286"/>
  </r>
  <r>
    <x v="2"/>
    <x v="0"/>
    <x v="3"/>
    <n v="20.489252716740868"/>
  </r>
  <r>
    <x v="3"/>
    <x v="0"/>
    <x v="3"/>
    <n v="24.521702625968029"/>
  </r>
  <r>
    <x v="4"/>
    <x v="0"/>
    <x v="3"/>
    <n v="26.021792846437396"/>
  </r>
  <r>
    <x v="5"/>
    <x v="0"/>
    <x v="3"/>
    <n v="27.053473119823831"/>
  </r>
  <r>
    <x v="6"/>
    <x v="0"/>
    <x v="3"/>
    <n v="28.084564198308275"/>
  </r>
  <r>
    <x v="7"/>
    <x v="0"/>
    <x v="3"/>
    <n v="28.83519850344495"/>
  </r>
  <r>
    <x v="0"/>
    <x v="1"/>
    <x v="3"/>
    <n v="38.3946500286862"/>
  </r>
  <r>
    <x v="1"/>
    <x v="1"/>
    <x v="3"/>
    <n v="86.877966688393229"/>
  </r>
  <r>
    <x v="2"/>
    <x v="1"/>
    <x v="3"/>
    <n v="101.97549685701344"/>
  </r>
  <r>
    <x v="3"/>
    <x v="1"/>
    <x v="3"/>
    <n v="112.3842139955884"/>
  </r>
  <r>
    <x v="4"/>
    <x v="1"/>
    <x v="3"/>
    <n v="117.16670901505024"/>
  </r>
  <r>
    <x v="5"/>
    <x v="1"/>
    <x v="3"/>
    <n v="124.10565737579955"/>
  </r>
  <r>
    <x v="6"/>
    <x v="1"/>
    <x v="3"/>
    <n v="126.9190630328071"/>
  </r>
  <r>
    <x v="7"/>
    <x v="1"/>
    <x v="3"/>
    <n v="129.82615067923123"/>
  </r>
  <r>
    <x v="0"/>
    <x v="2"/>
    <x v="3"/>
    <n v="41.822222222222202"/>
  </r>
  <r>
    <x v="1"/>
    <x v="2"/>
    <x v="3"/>
    <n v="56.30817839348645"/>
  </r>
  <r>
    <x v="2"/>
    <x v="2"/>
    <x v="3"/>
    <n v="63.059762775402582"/>
  </r>
  <r>
    <x v="3"/>
    <x v="2"/>
    <x v="3"/>
    <n v="68.592302905099118"/>
  </r>
  <r>
    <x v="4"/>
    <x v="2"/>
    <x v="3"/>
    <n v="73.281115935144371"/>
  </r>
  <r>
    <x v="5"/>
    <x v="2"/>
    <x v="3"/>
    <n v="75.719204439583592"/>
  </r>
  <r>
    <x v="6"/>
    <x v="2"/>
    <x v="3"/>
    <n v="77.312976649469533"/>
  </r>
  <r>
    <x v="7"/>
    <x v="2"/>
    <x v="3"/>
    <n v="78.438338912272556"/>
  </r>
  <r>
    <x v="0"/>
    <x v="3"/>
    <x v="3"/>
    <e v="#N/A"/>
  </r>
  <r>
    <x v="1"/>
    <x v="3"/>
    <x v="3"/>
    <e v="#N/A"/>
  </r>
  <r>
    <x v="2"/>
    <x v="3"/>
    <x v="3"/>
    <e v="#N/A"/>
  </r>
  <r>
    <x v="3"/>
    <x v="3"/>
    <x v="3"/>
    <e v="#N/A"/>
  </r>
  <r>
    <x v="4"/>
    <x v="3"/>
    <x v="3"/>
    <e v="#N/A"/>
  </r>
  <r>
    <x v="5"/>
    <x v="3"/>
    <x v="3"/>
    <e v="#N/A"/>
  </r>
  <r>
    <x v="6"/>
    <x v="3"/>
    <x v="3"/>
    <e v="#N/A"/>
  </r>
  <r>
    <x v="7"/>
    <x v="3"/>
    <x v="3"/>
    <e v="#N/A"/>
  </r>
  <r>
    <x v="0"/>
    <x v="4"/>
    <x v="3"/>
    <e v="#N/A"/>
  </r>
  <r>
    <x v="1"/>
    <x v="4"/>
    <x v="3"/>
    <e v="#N/A"/>
  </r>
  <r>
    <x v="2"/>
    <x v="4"/>
    <x v="3"/>
    <e v="#N/A"/>
  </r>
  <r>
    <x v="3"/>
    <x v="4"/>
    <x v="3"/>
    <e v="#N/A"/>
  </r>
  <r>
    <x v="4"/>
    <x v="4"/>
    <x v="3"/>
    <e v="#N/A"/>
  </r>
  <r>
    <x v="5"/>
    <x v="4"/>
    <x v="3"/>
    <e v="#N/A"/>
  </r>
  <r>
    <x v="6"/>
    <x v="4"/>
    <x v="3"/>
    <e v="#N/A"/>
  </r>
  <r>
    <x v="7"/>
    <x v="4"/>
    <x v="3"/>
    <e v="#N/A"/>
  </r>
  <r>
    <x v="0"/>
    <x v="5"/>
    <x v="3"/>
    <n v="0.5"/>
  </r>
  <r>
    <x v="1"/>
    <x v="5"/>
    <x v="3"/>
    <n v="0.5"/>
  </r>
  <r>
    <x v="2"/>
    <x v="5"/>
    <x v="3"/>
    <n v="0.5"/>
  </r>
  <r>
    <x v="3"/>
    <x v="5"/>
    <x v="3"/>
    <n v="0.5"/>
  </r>
  <r>
    <x v="4"/>
    <x v="5"/>
    <x v="3"/>
    <n v="0.5"/>
  </r>
  <r>
    <x v="5"/>
    <x v="5"/>
    <x v="3"/>
    <n v="0.5"/>
  </r>
  <r>
    <x v="6"/>
    <x v="5"/>
    <x v="3"/>
    <n v="0.5"/>
  </r>
  <r>
    <x v="7"/>
    <x v="5"/>
    <x v="3"/>
    <n v="0.5"/>
  </r>
  <r>
    <x v="0"/>
    <x v="6"/>
    <x v="3"/>
    <n v="1"/>
  </r>
  <r>
    <x v="1"/>
    <x v="6"/>
    <x v="3"/>
    <n v="1"/>
  </r>
  <r>
    <x v="2"/>
    <x v="6"/>
    <x v="3"/>
    <n v="1"/>
  </r>
  <r>
    <x v="3"/>
    <x v="6"/>
    <x v="3"/>
    <n v="1"/>
  </r>
  <r>
    <x v="4"/>
    <x v="6"/>
    <x v="3"/>
    <n v="1"/>
  </r>
  <r>
    <x v="5"/>
    <x v="6"/>
    <x v="3"/>
    <n v="1"/>
  </r>
  <r>
    <x v="6"/>
    <x v="6"/>
    <x v="3"/>
    <n v="1"/>
  </r>
  <r>
    <x v="7"/>
    <x v="6"/>
    <x v="3"/>
    <n v="1"/>
  </r>
  <r>
    <x v="0"/>
    <x v="7"/>
    <x v="3"/>
    <n v="300"/>
  </r>
  <r>
    <x v="1"/>
    <x v="7"/>
    <x v="3"/>
    <n v="300"/>
  </r>
  <r>
    <x v="2"/>
    <x v="7"/>
    <x v="3"/>
    <n v="300"/>
  </r>
  <r>
    <x v="3"/>
    <x v="7"/>
    <x v="3"/>
    <n v="300"/>
  </r>
  <r>
    <x v="4"/>
    <x v="7"/>
    <x v="3"/>
    <n v="300"/>
  </r>
  <r>
    <x v="5"/>
    <x v="7"/>
    <x v="3"/>
    <n v="300"/>
  </r>
  <r>
    <x v="6"/>
    <x v="7"/>
    <x v="3"/>
    <n v="300"/>
  </r>
  <r>
    <x v="7"/>
    <x v="7"/>
    <x v="3"/>
    <n v="300"/>
  </r>
  <r>
    <x v="0"/>
    <x v="0"/>
    <x v="4"/>
    <n v="10.8351179180115"/>
  </r>
  <r>
    <x v="1"/>
    <x v="0"/>
    <x v="4"/>
    <n v="16.551073991832286"/>
  </r>
  <r>
    <x v="2"/>
    <x v="0"/>
    <x v="4"/>
    <n v="20.489252716740868"/>
  </r>
  <r>
    <x v="3"/>
    <x v="0"/>
    <x v="4"/>
    <n v="24.521702625968029"/>
  </r>
  <r>
    <x v="4"/>
    <x v="0"/>
    <x v="4"/>
    <n v="26.021792846437396"/>
  </r>
  <r>
    <x v="5"/>
    <x v="0"/>
    <x v="4"/>
    <n v="27.053473119823831"/>
  </r>
  <r>
    <x v="6"/>
    <x v="0"/>
    <x v="4"/>
    <n v="28.084564198308275"/>
  </r>
  <r>
    <x v="7"/>
    <x v="0"/>
    <x v="4"/>
    <n v="28.83519850344495"/>
  </r>
  <r>
    <x v="0"/>
    <x v="1"/>
    <x v="4"/>
    <n v="24.108039300057399"/>
  </r>
  <r>
    <x v="1"/>
    <x v="1"/>
    <x v="4"/>
    <n v="86.877966688393229"/>
  </r>
  <r>
    <x v="2"/>
    <x v="1"/>
    <x v="4"/>
    <n v="101.97549685701344"/>
  </r>
  <r>
    <x v="3"/>
    <x v="1"/>
    <x v="4"/>
    <n v="112.3842139955884"/>
  </r>
  <r>
    <x v="4"/>
    <x v="1"/>
    <x v="4"/>
    <n v="117.16670901505024"/>
  </r>
  <r>
    <x v="5"/>
    <x v="1"/>
    <x v="4"/>
    <n v="124.10565737579955"/>
  </r>
  <r>
    <x v="6"/>
    <x v="1"/>
    <x v="4"/>
    <n v="126.9190630328071"/>
  </r>
  <r>
    <x v="7"/>
    <x v="1"/>
    <x v="4"/>
    <n v="129.82615067923123"/>
  </r>
  <r>
    <x v="0"/>
    <x v="2"/>
    <x v="4"/>
    <n v="38"/>
  </r>
  <r>
    <x v="1"/>
    <x v="2"/>
    <x v="4"/>
    <n v="56.30817839348645"/>
  </r>
  <r>
    <x v="2"/>
    <x v="2"/>
    <x v="4"/>
    <n v="63.059762775402582"/>
  </r>
  <r>
    <x v="3"/>
    <x v="2"/>
    <x v="4"/>
    <n v="68.592302905099118"/>
  </r>
  <r>
    <x v="4"/>
    <x v="2"/>
    <x v="4"/>
    <n v="73.281115935144371"/>
  </r>
  <r>
    <x v="5"/>
    <x v="2"/>
    <x v="4"/>
    <n v="75.719204439583592"/>
  </r>
  <r>
    <x v="6"/>
    <x v="2"/>
    <x v="4"/>
    <n v="77.312976649469533"/>
  </r>
  <r>
    <x v="7"/>
    <x v="2"/>
    <x v="4"/>
    <n v="78.438338912272556"/>
  </r>
  <r>
    <x v="0"/>
    <x v="3"/>
    <x v="4"/>
    <e v="#N/A"/>
  </r>
  <r>
    <x v="1"/>
    <x v="3"/>
    <x v="4"/>
    <e v="#N/A"/>
  </r>
  <r>
    <x v="2"/>
    <x v="3"/>
    <x v="4"/>
    <e v="#N/A"/>
  </r>
  <r>
    <x v="3"/>
    <x v="3"/>
    <x v="4"/>
    <e v="#N/A"/>
  </r>
  <r>
    <x v="4"/>
    <x v="3"/>
    <x v="4"/>
    <e v="#N/A"/>
  </r>
  <r>
    <x v="5"/>
    <x v="3"/>
    <x v="4"/>
    <e v="#N/A"/>
  </r>
  <r>
    <x v="6"/>
    <x v="3"/>
    <x v="4"/>
    <e v="#N/A"/>
  </r>
  <r>
    <x v="7"/>
    <x v="3"/>
    <x v="4"/>
    <e v="#N/A"/>
  </r>
  <r>
    <x v="0"/>
    <x v="4"/>
    <x v="4"/>
    <e v="#N/A"/>
  </r>
  <r>
    <x v="1"/>
    <x v="4"/>
    <x v="4"/>
    <e v="#N/A"/>
  </r>
  <r>
    <x v="2"/>
    <x v="4"/>
    <x v="4"/>
    <e v="#N/A"/>
  </r>
  <r>
    <x v="3"/>
    <x v="4"/>
    <x v="4"/>
    <e v="#N/A"/>
  </r>
  <r>
    <x v="4"/>
    <x v="4"/>
    <x v="4"/>
    <e v="#N/A"/>
  </r>
  <r>
    <x v="5"/>
    <x v="4"/>
    <x v="4"/>
    <e v="#N/A"/>
  </r>
  <r>
    <x v="6"/>
    <x v="4"/>
    <x v="4"/>
    <e v="#N/A"/>
  </r>
  <r>
    <x v="7"/>
    <x v="4"/>
    <x v="4"/>
    <e v="#N/A"/>
  </r>
  <r>
    <x v="0"/>
    <x v="5"/>
    <x v="4"/>
    <n v="0.5"/>
  </r>
  <r>
    <x v="1"/>
    <x v="5"/>
    <x v="4"/>
    <n v="0.5"/>
  </r>
  <r>
    <x v="2"/>
    <x v="5"/>
    <x v="4"/>
    <n v="0.5"/>
  </r>
  <r>
    <x v="3"/>
    <x v="5"/>
    <x v="4"/>
    <n v="0.5"/>
  </r>
  <r>
    <x v="4"/>
    <x v="5"/>
    <x v="4"/>
    <n v="0.5"/>
  </r>
  <r>
    <x v="5"/>
    <x v="5"/>
    <x v="4"/>
    <n v="0.5"/>
  </r>
  <r>
    <x v="6"/>
    <x v="5"/>
    <x v="4"/>
    <n v="0.5"/>
  </r>
  <r>
    <x v="7"/>
    <x v="5"/>
    <x v="4"/>
    <n v="0.5"/>
  </r>
  <r>
    <x v="0"/>
    <x v="6"/>
    <x v="4"/>
    <n v="1"/>
  </r>
  <r>
    <x v="1"/>
    <x v="6"/>
    <x v="4"/>
    <n v="1"/>
  </r>
  <r>
    <x v="2"/>
    <x v="6"/>
    <x v="4"/>
    <n v="1"/>
  </r>
  <r>
    <x v="3"/>
    <x v="6"/>
    <x v="4"/>
    <n v="1"/>
  </r>
  <r>
    <x v="4"/>
    <x v="6"/>
    <x v="4"/>
    <n v="1"/>
  </r>
  <r>
    <x v="5"/>
    <x v="6"/>
    <x v="4"/>
    <n v="1"/>
  </r>
  <r>
    <x v="6"/>
    <x v="6"/>
    <x v="4"/>
    <n v="1"/>
  </r>
  <r>
    <x v="7"/>
    <x v="6"/>
    <x v="4"/>
    <n v="1"/>
  </r>
  <r>
    <x v="0"/>
    <x v="7"/>
    <x v="4"/>
    <n v="300"/>
  </r>
  <r>
    <x v="1"/>
    <x v="7"/>
    <x v="4"/>
    <n v="300"/>
  </r>
  <r>
    <x v="2"/>
    <x v="7"/>
    <x v="4"/>
    <n v="300"/>
  </r>
  <r>
    <x v="3"/>
    <x v="7"/>
    <x v="4"/>
    <n v="300"/>
  </r>
  <r>
    <x v="4"/>
    <x v="7"/>
    <x v="4"/>
    <n v="300"/>
  </r>
  <r>
    <x v="5"/>
    <x v="7"/>
    <x v="4"/>
    <n v="300"/>
  </r>
  <r>
    <x v="6"/>
    <x v="7"/>
    <x v="4"/>
    <n v="300"/>
  </r>
  <r>
    <x v="7"/>
    <x v="7"/>
    <x v="4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2">
  <r>
    <x v="0"/>
    <x v="0"/>
    <s v="NUC_ELC"/>
    <n v="92360843.101629689"/>
    <x v="0"/>
    <x v="0"/>
  </r>
  <r>
    <x v="1"/>
    <x v="0"/>
    <s v="NUC_ELC"/>
    <n v="423454524.12489945"/>
    <x v="0"/>
    <x v="0"/>
  </r>
  <r>
    <x v="2"/>
    <x v="0"/>
    <s v="NUC_ELC"/>
    <n v="23424740"/>
    <x v="0"/>
    <x v="0"/>
  </r>
  <r>
    <x v="0"/>
    <x v="1"/>
    <s v="NUC_ELC"/>
    <n v="32849068.858940128"/>
    <x v="0"/>
    <x v="0"/>
  </r>
  <r>
    <x v="1"/>
    <x v="1"/>
    <s v="NUC_ELC"/>
    <n v="377547216.87339461"/>
    <x v="0"/>
    <x v="0"/>
  </r>
  <r>
    <x v="2"/>
    <x v="1"/>
    <s v="NUC_ELC"/>
    <n v="20661040"/>
    <x v="0"/>
    <x v="0"/>
  </r>
  <r>
    <x v="0"/>
    <x v="2"/>
    <s v="NUC_ELC"/>
    <n v="0"/>
    <x v="0"/>
    <x v="0"/>
  </r>
  <r>
    <x v="1"/>
    <x v="2"/>
    <s v="NUC_ELC"/>
    <n v="367091902.00370854"/>
    <x v="0"/>
    <x v="0"/>
  </r>
  <r>
    <x v="2"/>
    <x v="2"/>
    <s v="NUC_ELC"/>
    <n v="15228940"/>
    <x v="0"/>
    <x v="0"/>
  </r>
  <r>
    <x v="0"/>
    <x v="3"/>
    <s v="NUC_ELC"/>
    <n v="0"/>
    <x v="0"/>
    <x v="0"/>
  </r>
  <r>
    <x v="1"/>
    <x v="3"/>
    <s v="NUC_ELC"/>
    <n v="366963824.62442666"/>
    <x v="0"/>
    <x v="0"/>
  </r>
  <r>
    <x v="2"/>
    <x v="3"/>
    <s v="NUC_ELC"/>
    <n v="8395930"/>
    <x v="0"/>
    <x v="0"/>
  </r>
  <r>
    <x v="0"/>
    <x v="4"/>
    <s v="NUC_ELC"/>
    <n v="0"/>
    <x v="0"/>
    <x v="0"/>
  </r>
  <r>
    <x v="1"/>
    <x v="4"/>
    <s v="NUC_ELC"/>
    <n v="361131045.87692714"/>
    <x v="0"/>
    <x v="0"/>
  </r>
  <r>
    <x v="2"/>
    <x v="4"/>
    <s v="NUC_ELC"/>
    <n v="0"/>
    <x v="0"/>
    <x v="0"/>
  </r>
  <r>
    <x v="0"/>
    <x v="5"/>
    <s v="NUC_ELC"/>
    <n v="0"/>
    <x v="0"/>
    <x v="0"/>
  </r>
  <r>
    <x v="1"/>
    <x v="5"/>
    <s v="NUC_ELC"/>
    <n v="285197035.19693631"/>
    <x v="0"/>
    <x v="0"/>
  </r>
  <r>
    <x v="2"/>
    <x v="5"/>
    <s v="NUC_ELC"/>
    <n v="0"/>
    <x v="0"/>
    <x v="0"/>
  </r>
  <r>
    <x v="0"/>
    <x v="6"/>
    <s v="NUC_ELC"/>
    <n v="0"/>
    <x v="0"/>
    <x v="0"/>
  </r>
  <r>
    <x v="1"/>
    <x v="6"/>
    <s v="NUC_ELC"/>
    <n v="270121017.99136853"/>
    <x v="0"/>
    <x v="0"/>
  </r>
  <r>
    <x v="2"/>
    <x v="6"/>
    <s v="NUC_ELC"/>
    <n v="0"/>
    <x v="0"/>
    <x v="0"/>
  </r>
  <r>
    <x v="0"/>
    <x v="7"/>
    <s v="NUC_ELC"/>
    <n v="0"/>
    <x v="0"/>
    <x v="0"/>
  </r>
  <r>
    <x v="1"/>
    <x v="7"/>
    <s v="NUC_ELC"/>
    <n v="234500553.64601052"/>
    <x v="0"/>
    <x v="0"/>
  </r>
  <r>
    <x v="2"/>
    <x v="7"/>
    <s v="NUC_ELC"/>
    <n v="0"/>
    <x v="0"/>
    <x v="0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4"/>
    <x v="0"/>
    <s v="GAS_TOT"/>
    <n v="109190007.43939728"/>
    <x v="0"/>
    <x v="2"/>
  </r>
  <r>
    <x v="1"/>
    <x v="0"/>
    <s v="GAS_TOT"/>
    <n v="25494984.986944769"/>
    <x v="0"/>
    <x v="2"/>
  </r>
  <r>
    <x v="5"/>
    <x v="0"/>
    <s v="GAS_TOT"/>
    <n v="6706152.0955656618"/>
    <x v="0"/>
    <x v="2"/>
  </r>
  <r>
    <x v="4"/>
    <x v="1"/>
    <s v="GAS_TOT"/>
    <n v="124904448.59117445"/>
    <x v="0"/>
    <x v="2"/>
  </r>
  <r>
    <x v="1"/>
    <x v="1"/>
    <s v="GAS_TOT"/>
    <n v="22102503.81462159"/>
    <x v="0"/>
    <x v="2"/>
  </r>
  <r>
    <x v="5"/>
    <x v="1"/>
    <s v="GAS_TOT"/>
    <n v="13936802.34363615"/>
    <x v="0"/>
    <x v="2"/>
  </r>
  <r>
    <x v="4"/>
    <x v="2"/>
    <s v="GAS_TOT"/>
    <n v="123003190.60945939"/>
    <x v="0"/>
    <x v="2"/>
  </r>
  <r>
    <x v="1"/>
    <x v="2"/>
    <s v="GAS_TOT"/>
    <n v="23433783.796855375"/>
    <x v="0"/>
    <x v="2"/>
  </r>
  <r>
    <x v="5"/>
    <x v="2"/>
    <s v="GAS_TOT"/>
    <n v="13429319.477037651"/>
    <x v="0"/>
    <x v="2"/>
  </r>
  <r>
    <x v="4"/>
    <x v="3"/>
    <s v="GAS_TOT"/>
    <n v="121222677.48178104"/>
    <x v="0"/>
    <x v="2"/>
  </r>
  <r>
    <x v="1"/>
    <x v="3"/>
    <s v="GAS_TOT"/>
    <n v="11927007.535156759"/>
    <x v="0"/>
    <x v="2"/>
  </r>
  <r>
    <x v="5"/>
    <x v="3"/>
    <s v="GAS_TOT"/>
    <n v="14443443.116787661"/>
    <x v="0"/>
    <x v="2"/>
  </r>
  <r>
    <x v="4"/>
    <x v="4"/>
    <s v="GAS_TOT"/>
    <n v="135012943.76575994"/>
    <x v="0"/>
    <x v="2"/>
  </r>
  <r>
    <x v="1"/>
    <x v="4"/>
    <s v="GAS_TOT"/>
    <n v="9941925.832129864"/>
    <x v="0"/>
    <x v="2"/>
  </r>
  <r>
    <x v="5"/>
    <x v="4"/>
    <s v="GAS_TOT"/>
    <n v="19208570.310340982"/>
    <x v="0"/>
    <x v="2"/>
  </r>
  <r>
    <x v="4"/>
    <x v="5"/>
    <s v="GAS_TOT"/>
    <n v="165949662.54158127"/>
    <x v="0"/>
    <x v="2"/>
  </r>
  <r>
    <x v="1"/>
    <x v="5"/>
    <s v="GAS_TOT"/>
    <n v="53435115.643548772"/>
    <x v="0"/>
    <x v="2"/>
  </r>
  <r>
    <x v="5"/>
    <x v="5"/>
    <s v="GAS_TOT"/>
    <n v="19737238.551186319"/>
    <x v="0"/>
    <x v="2"/>
  </r>
  <r>
    <x v="4"/>
    <x v="6"/>
    <s v="GAS_TOT"/>
    <n v="145277769.02369347"/>
    <x v="0"/>
    <x v="2"/>
  </r>
  <r>
    <x v="1"/>
    <x v="6"/>
    <s v="GAS_TOT"/>
    <n v="55320585.443686828"/>
    <x v="0"/>
    <x v="2"/>
  </r>
  <r>
    <x v="5"/>
    <x v="6"/>
    <s v="GAS_TOT"/>
    <n v="19584917.188930467"/>
    <x v="0"/>
    <x v="2"/>
  </r>
  <r>
    <x v="4"/>
    <x v="7"/>
    <s v="GAS_TOT"/>
    <n v="142296187.69353238"/>
    <x v="0"/>
    <x v="2"/>
  </r>
  <r>
    <x v="1"/>
    <x v="7"/>
    <s v="GAS_TOT"/>
    <n v="38889687.315191127"/>
    <x v="0"/>
    <x v="2"/>
  </r>
  <r>
    <x v="5"/>
    <x v="7"/>
    <s v="GAS_TOT"/>
    <n v="17289143.838449109"/>
    <x v="0"/>
    <x v="2"/>
  </r>
  <r>
    <x v="4"/>
    <x v="0"/>
    <s v="HCO_LIN"/>
    <n v="53853059.962231345"/>
    <x v="0"/>
    <x v="3"/>
  </r>
  <r>
    <x v="1"/>
    <x v="0"/>
    <s v="HCO_LIN"/>
    <n v="8070642.0824392093"/>
    <x v="0"/>
    <x v="3"/>
  </r>
  <r>
    <x v="5"/>
    <x v="0"/>
    <s v="HCO_LIN"/>
    <n v="3837415.2229196681"/>
    <x v="0"/>
    <x v="3"/>
  </r>
  <r>
    <x v="4"/>
    <x v="1"/>
    <s v="HCO_LIN"/>
    <n v="61453986.182493925"/>
    <x v="0"/>
    <x v="3"/>
  </r>
  <r>
    <x v="1"/>
    <x v="1"/>
    <s v="HCO_LIN"/>
    <n v="8334656.9916366898"/>
    <x v="0"/>
    <x v="3"/>
  </r>
  <r>
    <x v="5"/>
    <x v="1"/>
    <s v="HCO_LIN"/>
    <n v="4519671.393254864"/>
    <x v="0"/>
    <x v="3"/>
  </r>
  <r>
    <x v="4"/>
    <x v="2"/>
    <s v="HCO_LIN"/>
    <n v="41260345.388193317"/>
    <x v="0"/>
    <x v="3"/>
  </r>
  <r>
    <x v="1"/>
    <x v="2"/>
    <s v="HCO_LIN"/>
    <n v="330600.45434457943"/>
    <x v="0"/>
    <x v="3"/>
  </r>
  <r>
    <x v="5"/>
    <x v="2"/>
    <s v="HCO_LIN"/>
    <n v="3036771.1119949338"/>
    <x v="0"/>
    <x v="3"/>
  </r>
  <r>
    <x v="4"/>
    <x v="3"/>
    <s v="HCO_LIN"/>
    <n v="40870902.538665265"/>
    <x v="0"/>
    <x v="3"/>
  </r>
  <r>
    <x v="1"/>
    <x v="3"/>
    <s v="HCO_LIN"/>
    <n v="62797.312271808318"/>
    <x v="0"/>
    <x v="3"/>
  </r>
  <r>
    <x v="5"/>
    <x v="3"/>
    <s v="HCO_LIN"/>
    <n v="3010198.1130111003"/>
    <x v="0"/>
    <x v="3"/>
  </r>
  <r>
    <x v="4"/>
    <x v="4"/>
    <s v="HCO_LIN"/>
    <n v="35456963.977508433"/>
    <x v="0"/>
    <x v="3"/>
  </r>
  <r>
    <x v="1"/>
    <x v="4"/>
    <s v="HCO_LIN"/>
    <n v="0"/>
    <x v="0"/>
    <x v="3"/>
  </r>
  <r>
    <x v="5"/>
    <x v="4"/>
    <s v="HCO_LIN"/>
    <n v="82034.509970361454"/>
    <x v="0"/>
    <x v="3"/>
  </r>
  <r>
    <x v="4"/>
    <x v="5"/>
    <s v="HCO_LIN"/>
    <n v="9028727.2027557623"/>
    <x v="0"/>
    <x v="3"/>
  </r>
  <r>
    <x v="1"/>
    <x v="5"/>
    <s v="HCO_LIN"/>
    <n v="0"/>
    <x v="0"/>
    <x v="3"/>
  </r>
  <r>
    <x v="5"/>
    <x v="5"/>
    <s v="HCO_LIN"/>
    <n v="75421.920645173042"/>
    <x v="0"/>
    <x v="3"/>
  </r>
  <r>
    <x v="4"/>
    <x v="6"/>
    <s v="HCO_LIN"/>
    <n v="8421435.1200823728"/>
    <x v="0"/>
    <x v="3"/>
  </r>
  <r>
    <x v="1"/>
    <x v="6"/>
    <s v="HCO_LIN"/>
    <n v="0"/>
    <x v="0"/>
    <x v="3"/>
  </r>
  <r>
    <x v="5"/>
    <x v="6"/>
    <s v="HCO_LIN"/>
    <n v="27579.484048110051"/>
    <x v="0"/>
    <x v="3"/>
  </r>
  <r>
    <x v="4"/>
    <x v="7"/>
    <s v="HCO_LIN"/>
    <n v="0"/>
    <x v="0"/>
    <x v="3"/>
  </r>
  <r>
    <x v="1"/>
    <x v="7"/>
    <s v="HCO_LIN"/>
    <n v="0"/>
    <x v="0"/>
    <x v="3"/>
  </r>
  <r>
    <x v="5"/>
    <x v="7"/>
    <s v="HCO_LIN"/>
    <n v="27030.780313189156"/>
    <x v="0"/>
    <x v="3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0"/>
    <x v="0"/>
    <s v="LIG_HCO"/>
    <n v="249698835.17300799"/>
    <x v="0"/>
    <x v="4"/>
  </r>
  <r>
    <x v="0"/>
    <x v="1"/>
    <s v="LIG_HCO"/>
    <n v="250545251.07467914"/>
    <x v="0"/>
    <x v="4"/>
  </r>
  <r>
    <x v="0"/>
    <x v="2"/>
    <s v="LIG_HCO"/>
    <n v="244466205.03039464"/>
    <x v="0"/>
    <x v="4"/>
  </r>
  <r>
    <x v="0"/>
    <x v="3"/>
    <s v="LIG_HCO"/>
    <n v="212224045.9507376"/>
    <x v="0"/>
    <x v="4"/>
  </r>
  <r>
    <x v="0"/>
    <x v="4"/>
    <s v="LIG_HCO"/>
    <n v="167396193.99555439"/>
    <x v="0"/>
    <x v="4"/>
  </r>
  <r>
    <x v="0"/>
    <x v="5"/>
    <s v="LIG_HCO"/>
    <n v="146771088.88929152"/>
    <x v="0"/>
    <x v="4"/>
  </r>
  <r>
    <x v="0"/>
    <x v="6"/>
    <s v="LIG_HCO"/>
    <n v="104781991.70567185"/>
    <x v="0"/>
    <x v="4"/>
  </r>
  <r>
    <x v="0"/>
    <x v="7"/>
    <s v="LIG_HCO"/>
    <n v="125221776.6493993"/>
    <x v="0"/>
    <x v="4"/>
  </r>
  <r>
    <x v="0"/>
    <x v="0"/>
    <s v="GAS_TOT"/>
    <n v="91879646.103811458"/>
    <x v="0"/>
    <x v="2"/>
  </r>
  <r>
    <x v="0"/>
    <x v="1"/>
    <s v="GAS_TOT"/>
    <n v="73969428.038254932"/>
    <x v="0"/>
    <x v="2"/>
  </r>
  <r>
    <x v="0"/>
    <x v="2"/>
    <s v="GAS_TOT"/>
    <n v="101205591.63020658"/>
    <x v="0"/>
    <x v="2"/>
  </r>
  <r>
    <x v="0"/>
    <x v="3"/>
    <s v="GAS_TOT"/>
    <n v="107722229.6100644"/>
    <x v="0"/>
    <x v="2"/>
  </r>
  <r>
    <x v="0"/>
    <x v="4"/>
    <s v="GAS_TOT"/>
    <n v="148608881.27139977"/>
    <x v="0"/>
    <x v="2"/>
  </r>
  <r>
    <x v="0"/>
    <x v="5"/>
    <s v="GAS_TOT"/>
    <n v="153069664.83605677"/>
    <x v="0"/>
    <x v="2"/>
  </r>
  <r>
    <x v="0"/>
    <x v="6"/>
    <s v="GAS_TOT"/>
    <n v="151250117.05345312"/>
    <x v="0"/>
    <x v="2"/>
  </r>
  <r>
    <x v="0"/>
    <x v="7"/>
    <s v="GAS_TOT"/>
    <n v="123424489.79558875"/>
    <x v="0"/>
    <x v="2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3"/>
    <x v="8"/>
    <m/>
    <n v="0"/>
    <x v="1"/>
    <x v="1"/>
  </r>
  <r>
    <x v="0"/>
    <x v="0"/>
    <s v="HYD_RES"/>
    <n v="3671569.7736617443"/>
    <x v="0"/>
    <x v="5"/>
  </r>
  <r>
    <x v="4"/>
    <x v="0"/>
    <s v="HYD_RES"/>
    <n v="26833571.115082383"/>
    <x v="0"/>
    <x v="5"/>
  </r>
  <r>
    <x v="5"/>
    <x v="0"/>
    <s v="HYD_RES"/>
    <n v="15118028.956862194"/>
    <x v="0"/>
    <x v="5"/>
  </r>
  <r>
    <x v="1"/>
    <x v="0"/>
    <s v="HYD_RES"/>
    <n v="20884210.351880398"/>
    <x v="0"/>
    <x v="5"/>
  </r>
  <r>
    <x v="0"/>
    <x v="1"/>
    <s v="HYD_RES"/>
    <n v="3789155.3649636577"/>
    <x v="0"/>
    <x v="5"/>
  </r>
  <r>
    <x v="4"/>
    <x v="1"/>
    <s v="HYD_RES"/>
    <n v="25931932.689667899"/>
    <x v="0"/>
    <x v="5"/>
  </r>
  <r>
    <x v="5"/>
    <x v="1"/>
    <s v="HYD_RES"/>
    <n v="16135879.341940753"/>
    <x v="0"/>
    <x v="5"/>
  </r>
  <r>
    <x v="1"/>
    <x v="1"/>
    <s v="HYD_RES"/>
    <n v="24078570.13935091"/>
    <x v="0"/>
    <x v="5"/>
  </r>
  <r>
    <x v="0"/>
    <x v="2"/>
    <s v="HYD_RES"/>
    <n v="3935407.2246711603"/>
    <x v="0"/>
    <x v="5"/>
  </r>
  <r>
    <x v="4"/>
    <x v="2"/>
    <s v="HYD_RES"/>
    <n v="27362505.247575749"/>
    <x v="0"/>
    <x v="5"/>
  </r>
  <r>
    <x v="5"/>
    <x v="2"/>
    <s v="HYD_RES"/>
    <n v="17440415.692088179"/>
    <x v="0"/>
    <x v="5"/>
  </r>
  <r>
    <x v="1"/>
    <x v="2"/>
    <s v="HYD_RES"/>
    <n v="21330113.338464662"/>
    <x v="0"/>
    <x v="5"/>
  </r>
  <r>
    <x v="0"/>
    <x v="3"/>
    <s v="HYD_RES"/>
    <n v="4211793.8208022444"/>
    <x v="0"/>
    <x v="5"/>
  </r>
  <r>
    <x v="4"/>
    <x v="3"/>
    <s v="HYD_RES"/>
    <n v="27963319.84840906"/>
    <x v="0"/>
    <x v="5"/>
  </r>
  <r>
    <x v="5"/>
    <x v="3"/>
    <s v="HYD_RES"/>
    <n v="17450514.367631763"/>
    <x v="0"/>
    <x v="5"/>
  </r>
  <r>
    <x v="1"/>
    <x v="3"/>
    <s v="HYD_RES"/>
    <n v="21346199.211644586"/>
    <x v="0"/>
    <x v="5"/>
  </r>
  <r>
    <x v="0"/>
    <x v="4"/>
    <s v="HYD_RES"/>
    <n v="4864968.1329340972"/>
    <x v="0"/>
    <x v="5"/>
  </r>
  <r>
    <x v="4"/>
    <x v="4"/>
    <s v="HYD_RES"/>
    <n v="29242124.537777897"/>
    <x v="0"/>
    <x v="5"/>
  </r>
  <r>
    <x v="5"/>
    <x v="4"/>
    <s v="HYD_RES"/>
    <n v="17663854.215685692"/>
    <x v="0"/>
    <x v="5"/>
  </r>
  <r>
    <x v="1"/>
    <x v="4"/>
    <s v="HYD_RES"/>
    <n v="22154345.151798982"/>
    <x v="0"/>
    <x v="5"/>
  </r>
  <r>
    <x v="0"/>
    <x v="5"/>
    <s v="HYD_RES"/>
    <n v="5416598.1055895733"/>
    <x v="0"/>
    <x v="5"/>
  </r>
  <r>
    <x v="4"/>
    <x v="5"/>
    <s v="HYD_RES"/>
    <n v="30273115.348820504"/>
    <x v="0"/>
    <x v="5"/>
  </r>
  <r>
    <x v="5"/>
    <x v="5"/>
    <s v="HYD_RES"/>
    <n v="17744118.752142385"/>
    <x v="0"/>
    <x v="5"/>
  </r>
  <r>
    <x v="1"/>
    <x v="5"/>
    <s v="HYD_RES"/>
    <n v="24614999.482328169"/>
    <x v="0"/>
    <x v="5"/>
  </r>
  <r>
    <x v="0"/>
    <x v="6"/>
    <s v="HYD_RES"/>
    <n v="6092904.9877324281"/>
    <x v="0"/>
    <x v="5"/>
  </r>
  <r>
    <x v="4"/>
    <x v="6"/>
    <s v="HYD_RES"/>
    <n v="30845039.30005461"/>
    <x v="0"/>
    <x v="5"/>
  </r>
  <r>
    <x v="5"/>
    <x v="6"/>
    <s v="HYD_RES"/>
    <n v="17753828.588872984"/>
    <x v="0"/>
    <x v="5"/>
  </r>
  <r>
    <x v="1"/>
    <x v="6"/>
    <s v="HYD_RES"/>
    <n v="27063811.428855918"/>
    <x v="0"/>
    <x v="5"/>
  </r>
  <r>
    <x v="0"/>
    <x v="7"/>
    <s v="HYD_RES"/>
    <n v="6648233.5073464839"/>
    <x v="0"/>
    <x v="5"/>
  </r>
  <r>
    <x v="4"/>
    <x v="7"/>
    <s v="HYD_RES"/>
    <n v="31318942.552744113"/>
    <x v="0"/>
    <x v="5"/>
  </r>
  <r>
    <x v="5"/>
    <x v="7"/>
    <s v="HYD_RES"/>
    <n v="18105633.593002651"/>
    <x v="0"/>
    <x v="5"/>
  </r>
  <r>
    <x v="1"/>
    <x v="7"/>
    <s v="HYD_RES"/>
    <n v="29669421.623563342"/>
    <x v="0"/>
    <x v="5"/>
  </r>
  <r>
    <x v="0"/>
    <x v="0"/>
    <s v="HYD_ROR"/>
    <n v="18485224.299009111"/>
    <x v="0"/>
    <x v="6"/>
  </r>
  <r>
    <x v="4"/>
    <x v="0"/>
    <s v="HYD_ROR"/>
    <n v="20808303.065750469"/>
    <x v="0"/>
    <x v="6"/>
  </r>
  <r>
    <x v="5"/>
    <x v="0"/>
    <s v="HYD_ROR"/>
    <n v="25481082.630432401"/>
    <x v="0"/>
    <x v="6"/>
  </r>
  <r>
    <x v="1"/>
    <x v="0"/>
    <s v="HYD_ROR"/>
    <n v="42151676.746566556"/>
    <x v="0"/>
    <x v="6"/>
  </r>
  <r>
    <x v="0"/>
    <x v="1"/>
    <s v="HYD_ROR"/>
    <n v="18490505.89006165"/>
    <x v="0"/>
    <x v="6"/>
  </r>
  <r>
    <x v="4"/>
    <x v="1"/>
    <s v="HYD_ROR"/>
    <n v="21141349.232595913"/>
    <x v="0"/>
    <x v="6"/>
  </r>
  <r>
    <x v="5"/>
    <x v="1"/>
    <s v="HYD_ROR"/>
    <n v="26647681.743940674"/>
    <x v="0"/>
    <x v="6"/>
  </r>
  <r>
    <x v="1"/>
    <x v="1"/>
    <s v="HYD_ROR"/>
    <n v="42151716.141810782"/>
    <x v="0"/>
    <x v="6"/>
  </r>
  <r>
    <x v="0"/>
    <x v="2"/>
    <s v="HYD_ROR"/>
    <n v="18842460.380283821"/>
    <x v="0"/>
    <x v="6"/>
  </r>
  <r>
    <x v="4"/>
    <x v="2"/>
    <s v="HYD_ROR"/>
    <n v="21141349.232595913"/>
    <x v="0"/>
    <x v="6"/>
  </r>
  <r>
    <x v="5"/>
    <x v="2"/>
    <s v="HYD_ROR"/>
    <n v="26647681.743940674"/>
    <x v="0"/>
    <x v="6"/>
  </r>
  <r>
    <x v="1"/>
    <x v="2"/>
    <s v="HYD_ROR"/>
    <n v="42151716.141810782"/>
    <x v="0"/>
    <x v="6"/>
  </r>
  <r>
    <x v="0"/>
    <x v="3"/>
    <s v="HYD_ROR"/>
    <n v="19369695.720111821"/>
    <x v="0"/>
    <x v="6"/>
  </r>
  <r>
    <x v="4"/>
    <x v="3"/>
    <s v="HYD_ROR"/>
    <n v="21288050.421116281"/>
    <x v="0"/>
    <x v="6"/>
  </r>
  <r>
    <x v="5"/>
    <x v="3"/>
    <s v="HYD_ROR"/>
    <n v="26656568.281314448"/>
    <x v="0"/>
    <x v="6"/>
  </r>
  <r>
    <x v="1"/>
    <x v="3"/>
    <s v="HYD_ROR"/>
    <n v="42151716.141810782"/>
    <x v="0"/>
    <x v="6"/>
  </r>
  <r>
    <x v="0"/>
    <x v="4"/>
    <s v="HYD_ROR"/>
    <n v="20623650.982966196"/>
    <x v="0"/>
    <x v="6"/>
  </r>
  <r>
    <x v="4"/>
    <x v="4"/>
    <s v="HYD_ROR"/>
    <n v="21586895.936282072"/>
    <x v="0"/>
    <x v="6"/>
  </r>
  <r>
    <x v="5"/>
    <x v="4"/>
    <s v="HYD_ROR"/>
    <n v="26837653.331372693"/>
    <x v="0"/>
    <x v="6"/>
  </r>
  <r>
    <x v="1"/>
    <x v="4"/>
    <s v="HYD_ROR"/>
    <n v="42708190.405117176"/>
    <x v="0"/>
    <x v="6"/>
  </r>
  <r>
    <x v="0"/>
    <x v="5"/>
    <s v="HYD_ROR"/>
    <n v="21684746.471585825"/>
    <x v="0"/>
    <x v="6"/>
  </r>
  <r>
    <x v="4"/>
    <x v="5"/>
    <s v="HYD_ROR"/>
    <n v="21826664.491890669"/>
    <x v="0"/>
    <x v="6"/>
  </r>
  <r>
    <x v="5"/>
    <x v="5"/>
    <s v="HYD_ROR"/>
    <n v="26899851.458366077"/>
    <x v="0"/>
    <x v="6"/>
  </r>
  <r>
    <x v="1"/>
    <x v="5"/>
    <s v="HYD_ROR"/>
    <n v="44194432.139504738"/>
    <x v="0"/>
    <x v="6"/>
  </r>
  <r>
    <x v="0"/>
    <x v="6"/>
    <s v="HYD_ROR"/>
    <n v="22984949.210679315"/>
    <x v="0"/>
    <x v="6"/>
  </r>
  <r>
    <x v="4"/>
    <x v="6"/>
    <s v="HYD_ROR"/>
    <n v="21945992.407412034"/>
    <x v="0"/>
    <x v="6"/>
  </r>
  <r>
    <x v="5"/>
    <x v="6"/>
    <s v="HYD_ROR"/>
    <n v="26899851.458366077"/>
    <x v="0"/>
    <x v="6"/>
  </r>
  <r>
    <x v="1"/>
    <x v="6"/>
    <s v="HYD_ROR"/>
    <n v="45766899.97784733"/>
    <x v="0"/>
    <x v="6"/>
  </r>
  <r>
    <x v="0"/>
    <x v="7"/>
    <s v="HYD_ROR"/>
    <n v="23710260.360182155"/>
    <x v="0"/>
    <x v="6"/>
  </r>
  <r>
    <x v="4"/>
    <x v="7"/>
    <s v="HYD_ROR"/>
    <n v="22017687.177123163"/>
    <x v="0"/>
    <x v="6"/>
  </r>
  <r>
    <x v="5"/>
    <x v="7"/>
    <s v="HYD_ROR"/>
    <n v="27212500.20961567"/>
    <x v="0"/>
    <x v="6"/>
  </r>
  <r>
    <x v="1"/>
    <x v="7"/>
    <s v="HYD_ROR"/>
    <n v="47366947.446375765"/>
    <x v="0"/>
    <x v="6"/>
  </r>
  <r>
    <x v="0"/>
    <x v="0"/>
    <s v="WAS_ELC"/>
    <n v="10556220.495000001"/>
    <x v="0"/>
    <x v="7"/>
  </r>
  <r>
    <x v="4"/>
    <x v="0"/>
    <s v="WAS_ELC"/>
    <n v="2232417"/>
    <x v="0"/>
    <x v="7"/>
  </r>
  <r>
    <x v="5"/>
    <x v="0"/>
    <s v="WAS_ELC"/>
    <n v="628843.82735840243"/>
    <x v="0"/>
    <x v="7"/>
  </r>
  <r>
    <x v="1"/>
    <x v="0"/>
    <s v="WAS_ELC"/>
    <n v="3883260"/>
    <x v="0"/>
    <x v="7"/>
  </r>
  <r>
    <x v="0"/>
    <x v="1"/>
    <s v="WAS_ELC"/>
    <n v="10556220.495000001"/>
    <x v="0"/>
    <x v="7"/>
  </r>
  <r>
    <x v="4"/>
    <x v="1"/>
    <s v="WAS_ELC"/>
    <n v="2793429.3150946372"/>
    <x v="0"/>
    <x v="7"/>
  </r>
  <r>
    <x v="5"/>
    <x v="1"/>
    <s v="WAS_ELC"/>
    <n v="772052.39119534066"/>
    <x v="0"/>
    <x v="7"/>
  </r>
  <r>
    <x v="1"/>
    <x v="1"/>
    <s v="WAS_ELC"/>
    <n v="6599044.3967947168"/>
    <x v="0"/>
    <x v="7"/>
  </r>
  <r>
    <x v="0"/>
    <x v="2"/>
    <s v="WAS_ELC"/>
    <n v="10556220.495000001"/>
    <x v="0"/>
    <x v="7"/>
  </r>
  <r>
    <x v="4"/>
    <x v="2"/>
    <s v="WAS_ELC"/>
    <n v="2846947.3544831951"/>
    <x v="0"/>
    <x v="7"/>
  </r>
  <r>
    <x v="5"/>
    <x v="2"/>
    <s v="WAS_ELC"/>
    <n v="759052.41226206953"/>
    <x v="0"/>
    <x v="7"/>
  </r>
  <r>
    <x v="1"/>
    <x v="2"/>
    <s v="WAS_ELC"/>
    <n v="7516572.5650760578"/>
    <x v="0"/>
    <x v="7"/>
  </r>
  <r>
    <x v="0"/>
    <x v="3"/>
    <s v="WAS_ELC"/>
    <n v="10556220.495000001"/>
    <x v="0"/>
    <x v="7"/>
  </r>
  <r>
    <x v="4"/>
    <x v="3"/>
    <s v="WAS_ELC"/>
    <n v="2814200.6829785998"/>
    <x v="0"/>
    <x v="7"/>
  </r>
  <r>
    <x v="5"/>
    <x v="3"/>
    <s v="WAS_ELC"/>
    <n v="807503.74290518195"/>
    <x v="0"/>
    <x v="7"/>
  </r>
  <r>
    <x v="1"/>
    <x v="3"/>
    <s v="WAS_ELC"/>
    <n v="7824553.2350312704"/>
    <x v="0"/>
    <x v="7"/>
  </r>
  <r>
    <x v="0"/>
    <x v="4"/>
    <s v="WAS_ELC"/>
    <n v="10556220.495000001"/>
    <x v="0"/>
    <x v="7"/>
  </r>
  <r>
    <x v="4"/>
    <x v="4"/>
    <s v="WAS_ELC"/>
    <n v="2888075.5357396477"/>
    <x v="0"/>
    <x v="7"/>
  </r>
  <r>
    <x v="5"/>
    <x v="4"/>
    <s v="WAS_ELC"/>
    <n v="800670.42742913566"/>
    <x v="0"/>
    <x v="7"/>
  </r>
  <r>
    <x v="1"/>
    <x v="4"/>
    <s v="WAS_ELC"/>
    <n v="7891561.7323740972"/>
    <x v="0"/>
    <x v="7"/>
  </r>
  <r>
    <x v="0"/>
    <x v="5"/>
    <s v="WAS_ELC"/>
    <n v="10556220.495000001"/>
    <x v="0"/>
    <x v="7"/>
  </r>
  <r>
    <x v="4"/>
    <x v="5"/>
    <s v="WAS_ELC"/>
    <n v="3534344.2969541019"/>
    <x v="0"/>
    <x v="7"/>
  </r>
  <r>
    <x v="5"/>
    <x v="5"/>
    <s v="WAS_ELC"/>
    <n v="1025678.5276303918"/>
    <x v="0"/>
    <x v="7"/>
  </r>
  <r>
    <x v="1"/>
    <x v="5"/>
    <s v="WAS_ELC"/>
    <n v="8000035.5462993989"/>
    <x v="0"/>
    <x v="7"/>
  </r>
  <r>
    <x v="0"/>
    <x v="6"/>
    <s v="WAS_ELC"/>
    <n v="10556220.495000001"/>
    <x v="0"/>
    <x v="7"/>
  </r>
  <r>
    <x v="4"/>
    <x v="6"/>
    <s v="WAS_ELC"/>
    <n v="3540621.7742091478"/>
    <x v="0"/>
    <x v="7"/>
  </r>
  <r>
    <x v="5"/>
    <x v="6"/>
    <s v="WAS_ELC"/>
    <n v="984358.56237532489"/>
    <x v="0"/>
    <x v="7"/>
  </r>
  <r>
    <x v="1"/>
    <x v="6"/>
    <s v="WAS_ELC"/>
    <n v="8205010.3159354748"/>
    <x v="0"/>
    <x v="7"/>
  </r>
  <r>
    <x v="0"/>
    <x v="7"/>
    <s v="WAS_ELC"/>
    <n v="10556220.495000001"/>
    <x v="0"/>
    <x v="7"/>
  </r>
  <r>
    <x v="4"/>
    <x v="7"/>
    <s v="WAS_ELC"/>
    <n v="3498475.9849488684"/>
    <x v="0"/>
    <x v="7"/>
  </r>
  <r>
    <x v="5"/>
    <x v="7"/>
    <s v="WAS_ELC"/>
    <n v="840029.36283621169"/>
    <x v="0"/>
    <x v="7"/>
  </r>
  <r>
    <x v="1"/>
    <x v="7"/>
    <s v="WAS_ELC"/>
    <n v="8291056.0865338165"/>
    <x v="0"/>
    <x v="7"/>
  </r>
  <r>
    <x v="0"/>
    <x v="0"/>
    <s v="BAL_ELC"/>
    <n v="40784295"/>
    <x v="0"/>
    <x v="8"/>
  </r>
  <r>
    <x v="4"/>
    <x v="0"/>
    <s v="BAL_ELC"/>
    <n v="16630857"/>
    <x v="0"/>
    <x v="8"/>
  </r>
  <r>
    <x v="5"/>
    <x v="0"/>
    <s v="BAL_ELC"/>
    <n v="2423148.9838005793"/>
    <x v="0"/>
    <x v="8"/>
  </r>
  <r>
    <x v="1"/>
    <x v="0"/>
    <s v="BAL_ELC"/>
    <n v="7287700.4999999991"/>
    <x v="0"/>
    <x v="8"/>
  </r>
  <r>
    <x v="0"/>
    <x v="1"/>
    <s v="BAL_ELC"/>
    <n v="40784295"/>
    <x v="0"/>
    <x v="8"/>
  </r>
  <r>
    <x v="4"/>
    <x v="1"/>
    <s v="BAL_ELC"/>
    <n v="20810235.48868642"/>
    <x v="0"/>
    <x v="8"/>
  </r>
  <r>
    <x v="5"/>
    <x v="1"/>
    <s v="BAL_ELC"/>
    <n v="2974980.2506999201"/>
    <x v="0"/>
    <x v="8"/>
  </r>
  <r>
    <x v="1"/>
    <x v="1"/>
    <s v="BAL_ELC"/>
    <n v="12384403.606774479"/>
    <x v="0"/>
    <x v="8"/>
  </r>
  <r>
    <x v="0"/>
    <x v="2"/>
    <s v="BAL_ELC"/>
    <n v="40784295"/>
    <x v="0"/>
    <x v="8"/>
  </r>
  <r>
    <x v="4"/>
    <x v="2"/>
    <s v="BAL_ELC"/>
    <n v="21208929.307982475"/>
    <x v="0"/>
    <x v="8"/>
  </r>
  <r>
    <x v="5"/>
    <x v="2"/>
    <s v="BAL_ELC"/>
    <n v="2924886.9137359373"/>
    <x v="0"/>
    <x v="8"/>
  </r>
  <r>
    <x v="1"/>
    <x v="2"/>
    <s v="BAL_ELC"/>
    <n v="14106325.520513967"/>
    <x v="0"/>
    <x v="8"/>
  </r>
  <r>
    <x v="0"/>
    <x v="3"/>
    <s v="BAL_ELC"/>
    <n v="40784295"/>
    <x v="0"/>
    <x v="8"/>
  </r>
  <r>
    <x v="4"/>
    <x v="3"/>
    <s v="BAL_ELC"/>
    <n v="20964976.134798937"/>
    <x v="0"/>
    <x v="8"/>
  </r>
  <r>
    <x v="5"/>
    <x v="3"/>
    <s v="BAL_ELC"/>
    <n v="3111586.357228654"/>
    <x v="0"/>
    <x v="8"/>
  </r>
  <r>
    <x v="1"/>
    <x v="3"/>
    <s v="BAL_ELC"/>
    <n v="14684311.769805266"/>
    <x v="0"/>
    <x v="8"/>
  </r>
  <r>
    <x v="0"/>
    <x v="4"/>
    <s v="BAL_ELC"/>
    <n v="40784295"/>
    <x v="0"/>
    <x v="8"/>
  </r>
  <r>
    <x v="4"/>
    <x v="4"/>
    <s v="BAL_ELC"/>
    <n v="21515322.289735507"/>
    <x v="0"/>
    <x v="8"/>
  </r>
  <r>
    <x v="5"/>
    <x v="4"/>
    <s v="BAL_ELC"/>
    <n v="3085255.2703492199"/>
    <x v="0"/>
    <x v="8"/>
  </r>
  <r>
    <x v="1"/>
    <x v="4"/>
    <s v="BAL_ELC"/>
    <n v="14810066.383091416"/>
    <x v="0"/>
    <x v="8"/>
  </r>
  <r>
    <x v="0"/>
    <x v="5"/>
    <s v="BAL_ELC"/>
    <n v="40784295"/>
    <x v="0"/>
    <x v="8"/>
  </r>
  <r>
    <x v="4"/>
    <x v="5"/>
    <s v="BAL_ELC"/>
    <n v="26329836.491752755"/>
    <x v="0"/>
    <x v="8"/>
  </r>
  <r>
    <x v="5"/>
    <x v="5"/>
    <s v="BAL_ELC"/>
    <n v="3952287.9510068707"/>
    <x v="0"/>
    <x v="8"/>
  </r>
  <r>
    <x v="1"/>
    <x v="5"/>
    <s v="BAL_ELC"/>
    <n v="15013638.811406884"/>
    <x v="0"/>
    <x v="8"/>
  </r>
  <r>
    <x v="0"/>
    <x v="6"/>
    <s v="BAL_ELC"/>
    <n v="40784295"/>
    <x v="0"/>
    <x v="8"/>
  </r>
  <r>
    <x v="4"/>
    <x v="6"/>
    <s v="BAL_ELC"/>
    <n v="26376601.870510131"/>
    <x v="0"/>
    <x v="8"/>
  </r>
  <r>
    <x v="5"/>
    <x v="6"/>
    <s v="BAL_ELC"/>
    <n v="3793068.0819988763"/>
    <x v="0"/>
    <x v="8"/>
  </r>
  <r>
    <x v="1"/>
    <x v="6"/>
    <s v="BAL_ELC"/>
    <n v="15398314.246779284"/>
    <x v="0"/>
    <x v="8"/>
  </r>
  <r>
    <x v="0"/>
    <x v="7"/>
    <s v="BAL_ELC"/>
    <n v="40784295"/>
    <x v="0"/>
    <x v="8"/>
  </r>
  <r>
    <x v="4"/>
    <x v="7"/>
    <s v="BAL_ELC"/>
    <n v="26062628.005260117"/>
    <x v="0"/>
    <x v="8"/>
  </r>
  <r>
    <x v="5"/>
    <x v="7"/>
    <s v="BAL_ELC"/>
    <n v="3236918.6248831465"/>
    <x v="0"/>
    <x v="8"/>
  </r>
  <r>
    <x v="1"/>
    <x v="7"/>
    <s v="BAL_ELC"/>
    <n v="15559796.044395829"/>
    <x v="0"/>
    <x v="8"/>
  </r>
  <r>
    <x v="0"/>
    <x v="0"/>
    <s v="WIN_TOT"/>
    <n v="66153320.47039751"/>
    <x v="0"/>
    <x v="9"/>
  </r>
  <r>
    <x v="4"/>
    <x v="0"/>
    <s v="WIN_TOT"/>
    <n v="14627998.112011898"/>
    <x v="0"/>
    <x v="9"/>
  </r>
  <r>
    <x v="5"/>
    <x v="0"/>
    <s v="WIN_TOT"/>
    <n v="3958212.1963833002"/>
    <x v="0"/>
    <x v="9"/>
  </r>
  <r>
    <x v="1"/>
    <x v="0"/>
    <s v="WIN_TOT"/>
    <n v="21516549.318470199"/>
    <x v="0"/>
    <x v="9"/>
  </r>
  <r>
    <x v="0"/>
    <x v="1"/>
    <s v="WIN_TOT"/>
    <n v="109449743.805814"/>
    <x v="0"/>
    <x v="9"/>
  </r>
  <r>
    <x v="4"/>
    <x v="1"/>
    <s v="WIN_TOT"/>
    <n v="14645538.091604799"/>
    <x v="0"/>
    <x v="9"/>
  </r>
  <r>
    <x v="5"/>
    <x v="1"/>
    <s v="WIN_TOT"/>
    <n v="4442621.1016638996"/>
    <x v="0"/>
    <x v="9"/>
  </r>
  <r>
    <x v="1"/>
    <x v="1"/>
    <s v="WIN_TOT"/>
    <n v="55128602.239687301"/>
    <x v="0"/>
    <x v="9"/>
  </r>
  <r>
    <x v="0"/>
    <x v="2"/>
    <s v="WIN_TOT"/>
    <n v="113228663.67316701"/>
    <x v="0"/>
    <x v="9"/>
  </r>
  <r>
    <x v="4"/>
    <x v="2"/>
    <s v="WIN_TOT"/>
    <n v="25587731.003884699"/>
    <x v="0"/>
    <x v="9"/>
  </r>
  <r>
    <x v="5"/>
    <x v="2"/>
    <s v="WIN_TOT"/>
    <n v="7230646.6035179002"/>
    <x v="0"/>
    <x v="9"/>
  </r>
  <r>
    <x v="1"/>
    <x v="2"/>
    <s v="WIN_TOT"/>
    <n v="65349711.600884199"/>
    <x v="0"/>
    <x v="9"/>
  </r>
  <r>
    <x v="0"/>
    <x v="3"/>
    <s v="WIN_TOT"/>
    <n v="128324174.161107"/>
    <x v="0"/>
    <x v="9"/>
  </r>
  <r>
    <x v="4"/>
    <x v="3"/>
    <s v="WIN_TOT"/>
    <n v="32732246.950413302"/>
    <x v="0"/>
    <x v="9"/>
  </r>
  <r>
    <x v="5"/>
    <x v="3"/>
    <s v="WIN_TOT"/>
    <n v="10049776.431663901"/>
    <x v="0"/>
    <x v="9"/>
  </r>
  <r>
    <x v="1"/>
    <x v="3"/>
    <s v="WIN_TOT"/>
    <n v="83417634.058887795"/>
    <x v="0"/>
    <x v="9"/>
  </r>
  <r>
    <x v="0"/>
    <x v="4"/>
    <s v="WIN_TOT"/>
    <n v="130056895.989032"/>
    <x v="0"/>
    <x v="9"/>
  </r>
  <r>
    <x v="4"/>
    <x v="4"/>
    <s v="WIN_TOT"/>
    <n v="33760850.351018898"/>
    <x v="0"/>
    <x v="9"/>
  </r>
  <r>
    <x v="5"/>
    <x v="4"/>
    <s v="WIN_TOT"/>
    <n v="10161064.6620564"/>
    <x v="0"/>
    <x v="9"/>
  </r>
  <r>
    <x v="1"/>
    <x v="4"/>
    <s v="WIN_TOT"/>
    <n v="83550463.663565397"/>
    <x v="0"/>
    <x v="9"/>
  </r>
  <r>
    <x v="0"/>
    <x v="5"/>
    <s v="WIN_TOT"/>
    <n v="139033447.25702101"/>
    <x v="0"/>
    <x v="9"/>
  </r>
  <r>
    <x v="4"/>
    <x v="5"/>
    <s v="WIN_TOT"/>
    <n v="39768467.599635303"/>
    <x v="0"/>
    <x v="9"/>
  </r>
  <r>
    <x v="5"/>
    <x v="5"/>
    <s v="WIN_TOT"/>
    <n v="10914539.3401135"/>
    <x v="0"/>
    <x v="9"/>
  </r>
  <r>
    <x v="1"/>
    <x v="5"/>
    <s v="WIN_TOT"/>
    <n v="103668021.94797"/>
    <x v="0"/>
    <x v="9"/>
  </r>
  <r>
    <x v="0"/>
    <x v="6"/>
    <s v="WIN_TOT"/>
    <n v="179224626.28509501"/>
    <x v="0"/>
    <x v="9"/>
  </r>
  <r>
    <x v="4"/>
    <x v="6"/>
    <s v="WIN_TOT"/>
    <n v="46429276.9184267"/>
    <x v="0"/>
    <x v="9"/>
  </r>
  <r>
    <x v="5"/>
    <x v="6"/>
    <s v="WIN_TOT"/>
    <n v="13598267.722197799"/>
    <x v="0"/>
    <x v="9"/>
  </r>
  <r>
    <x v="1"/>
    <x v="6"/>
    <s v="WIN_TOT"/>
    <n v="121762989.960372"/>
    <x v="0"/>
    <x v="9"/>
  </r>
  <r>
    <x v="0"/>
    <x v="7"/>
    <s v="WIN_TOT"/>
    <n v="195659045.94176599"/>
    <x v="0"/>
    <x v="9"/>
  </r>
  <r>
    <x v="4"/>
    <x v="7"/>
    <s v="WIN_TOT"/>
    <n v="62046572.211263999"/>
    <x v="0"/>
    <x v="9"/>
  </r>
  <r>
    <x v="5"/>
    <x v="7"/>
    <s v="WIN_TOT"/>
    <n v="15410272.9472588"/>
    <x v="0"/>
    <x v="9"/>
  </r>
  <r>
    <x v="1"/>
    <x v="7"/>
    <s v="WIN_TOT"/>
    <n v="171302313.82977298"/>
    <x v="0"/>
    <x v="9"/>
  </r>
  <r>
    <x v="0"/>
    <x v="0"/>
    <s v="SOL_PHO"/>
    <n v="34611594.899224199"/>
    <x v="0"/>
    <x v="10"/>
  </r>
  <r>
    <x v="4"/>
    <x v="0"/>
    <s v="SOL_PHO"/>
    <n v="23409301.3112133"/>
    <x v="0"/>
    <x v="10"/>
  </r>
  <r>
    <x v="5"/>
    <x v="0"/>
    <s v="SOL_PHO"/>
    <n v="871449.37575079908"/>
    <x v="0"/>
    <x v="10"/>
  </r>
  <r>
    <x v="1"/>
    <x v="0"/>
    <s v="SOL_PHO"/>
    <n v="8601328.492601661"/>
    <x v="0"/>
    <x v="10"/>
  </r>
  <r>
    <x v="0"/>
    <x v="1"/>
    <s v="SOL_PHO"/>
    <n v="48465362.989064999"/>
    <x v="0"/>
    <x v="10"/>
  </r>
  <r>
    <x v="4"/>
    <x v="1"/>
    <s v="SOL_PHO"/>
    <n v="25552393.376553599"/>
    <x v="0"/>
    <x v="10"/>
  </r>
  <r>
    <x v="5"/>
    <x v="1"/>
    <s v="SOL_PHO"/>
    <n v="1174484.9698447098"/>
    <x v="0"/>
    <x v="10"/>
  </r>
  <r>
    <x v="1"/>
    <x v="1"/>
    <s v="SOL_PHO"/>
    <n v="31588710.540029101"/>
    <x v="0"/>
    <x v="10"/>
  </r>
  <r>
    <x v="0"/>
    <x v="2"/>
    <s v="SOL_PHO"/>
    <n v="51777497.313538298"/>
    <x v="0"/>
    <x v="10"/>
  </r>
  <r>
    <x v="4"/>
    <x v="2"/>
    <s v="SOL_PHO"/>
    <n v="31473134.609725799"/>
    <x v="0"/>
    <x v="10"/>
  </r>
  <r>
    <x v="5"/>
    <x v="2"/>
    <s v="SOL_PHO"/>
    <n v="3124583.04888845"/>
    <x v="0"/>
    <x v="10"/>
  </r>
  <r>
    <x v="1"/>
    <x v="2"/>
    <s v="SOL_PHO"/>
    <n v="39234166.1332964"/>
    <x v="0"/>
    <x v="10"/>
  </r>
  <r>
    <x v="0"/>
    <x v="3"/>
    <s v="SOL_PHO"/>
    <n v="60513390.975464202"/>
    <x v="0"/>
    <x v="10"/>
  </r>
  <r>
    <x v="4"/>
    <x v="3"/>
    <s v="SOL_PHO"/>
    <n v="34026934.048563898"/>
    <x v="0"/>
    <x v="10"/>
  </r>
  <r>
    <x v="5"/>
    <x v="3"/>
    <s v="SOL_PHO"/>
    <n v="3312184.8429676001"/>
    <x v="0"/>
    <x v="10"/>
  </r>
  <r>
    <x v="1"/>
    <x v="3"/>
    <s v="SOL_PHO"/>
    <n v="41048335.874749295"/>
    <x v="0"/>
    <x v="10"/>
  </r>
  <r>
    <x v="0"/>
    <x v="4"/>
    <s v="SOL_PHO"/>
    <n v="60978532.916030601"/>
    <x v="0"/>
    <x v="10"/>
  </r>
  <r>
    <x v="4"/>
    <x v="4"/>
    <s v="SOL_PHO"/>
    <n v="36679053.857585102"/>
    <x v="0"/>
    <x v="10"/>
  </r>
  <r>
    <x v="5"/>
    <x v="4"/>
    <s v="SOL_PHO"/>
    <n v="3413766.1591192801"/>
    <x v="0"/>
    <x v="10"/>
  </r>
  <r>
    <x v="1"/>
    <x v="4"/>
    <s v="SOL_PHO"/>
    <n v="41864978.183142304"/>
    <x v="0"/>
    <x v="10"/>
  </r>
  <r>
    <x v="0"/>
    <x v="5"/>
    <s v="SOL_PHO"/>
    <n v="63857101.641731799"/>
    <x v="0"/>
    <x v="10"/>
  </r>
  <r>
    <x v="4"/>
    <x v="5"/>
    <s v="SOL_PHO"/>
    <n v="39891005.236769296"/>
    <x v="0"/>
    <x v="10"/>
  </r>
  <r>
    <x v="5"/>
    <x v="5"/>
    <s v="SOL_PHO"/>
    <n v="3502270.1924624899"/>
    <x v="0"/>
    <x v="10"/>
  </r>
  <r>
    <x v="1"/>
    <x v="5"/>
    <s v="SOL_PHO"/>
    <n v="51256660.7010151"/>
    <x v="0"/>
    <x v="10"/>
  </r>
  <r>
    <x v="0"/>
    <x v="6"/>
    <s v="SOL_PHO"/>
    <n v="68812765.286356091"/>
    <x v="0"/>
    <x v="10"/>
  </r>
  <r>
    <x v="4"/>
    <x v="6"/>
    <s v="SOL_PHO"/>
    <n v="74047388.558052108"/>
    <x v="0"/>
    <x v="10"/>
  </r>
  <r>
    <x v="5"/>
    <x v="6"/>
    <s v="SOL_PHO"/>
    <n v="3889822.0602433598"/>
    <x v="0"/>
    <x v="10"/>
  </r>
  <r>
    <x v="1"/>
    <x v="6"/>
    <s v="SOL_PHO"/>
    <n v="58297696.755261004"/>
    <x v="0"/>
    <x v="10"/>
  </r>
  <r>
    <x v="0"/>
    <x v="7"/>
    <s v="SOL_PHO"/>
    <n v="83043860.283039391"/>
    <x v="0"/>
    <x v="10"/>
  </r>
  <r>
    <x v="4"/>
    <x v="7"/>
    <s v="SOL_PHO"/>
    <n v="87928339.728152603"/>
    <x v="0"/>
    <x v="10"/>
  </r>
  <r>
    <x v="5"/>
    <x v="7"/>
    <s v="SOL_PHO"/>
    <n v="5059820.4301921697"/>
    <x v="0"/>
    <x v="10"/>
  </r>
  <r>
    <x v="1"/>
    <x v="7"/>
    <s v="SOL_PHO"/>
    <n v="77182068.668514609"/>
    <x v="0"/>
    <x v="10"/>
  </r>
  <r>
    <x v="0"/>
    <x v="0"/>
    <s v="OIL_LIN"/>
    <n v="987165.88024849549"/>
    <x v="0"/>
    <x v="11"/>
  </r>
  <r>
    <x v="4"/>
    <x v="0"/>
    <s v="OIL_LIN"/>
    <n v="8035037.0145081012"/>
    <x v="0"/>
    <x v="11"/>
  </r>
  <r>
    <x v="5"/>
    <x v="0"/>
    <s v="OIL_LIN"/>
    <n v="190389.86320823801"/>
    <x v="0"/>
    <x v="11"/>
  </r>
  <r>
    <x v="1"/>
    <x v="0"/>
    <s v="OIL_LIN"/>
    <n v="471950.59866921412"/>
    <x v="0"/>
    <x v="11"/>
  </r>
  <r>
    <x v="0"/>
    <x v="1"/>
    <s v="OIL_LIN"/>
    <n v="861092.9683437401"/>
    <x v="0"/>
    <x v="11"/>
  </r>
  <r>
    <x v="4"/>
    <x v="1"/>
    <s v="OIL_LIN"/>
    <n v="7129057.7961110668"/>
    <x v="0"/>
    <x v="11"/>
  </r>
  <r>
    <x v="5"/>
    <x v="1"/>
    <s v="OIL_LIN"/>
    <n v="197091.88101221155"/>
    <x v="0"/>
    <x v="11"/>
  </r>
  <r>
    <x v="1"/>
    <x v="1"/>
    <s v="OIL_LIN"/>
    <n v="0"/>
    <x v="0"/>
    <x v="11"/>
  </r>
  <r>
    <x v="0"/>
    <x v="2"/>
    <s v="OIL_LIN"/>
    <n v="1827681.9480824457"/>
    <x v="0"/>
    <x v="11"/>
  </r>
  <r>
    <x v="4"/>
    <x v="2"/>
    <s v="OIL_LIN"/>
    <n v="7328282.5729993172"/>
    <x v="0"/>
    <x v="11"/>
  </r>
  <r>
    <x v="5"/>
    <x v="2"/>
    <s v="OIL_LIN"/>
    <n v="70482.022992383689"/>
    <x v="0"/>
    <x v="11"/>
  </r>
  <r>
    <x v="1"/>
    <x v="2"/>
    <s v="OIL_LIN"/>
    <n v="308290.54717534827"/>
    <x v="0"/>
    <x v="11"/>
  </r>
  <r>
    <x v="0"/>
    <x v="3"/>
    <s v="OIL_LIN"/>
    <n v="2796386.7184260576"/>
    <x v="0"/>
    <x v="11"/>
  </r>
  <r>
    <x v="4"/>
    <x v="3"/>
    <s v="OIL_LIN"/>
    <n v="7100329.7229917385"/>
    <x v="0"/>
    <x v="11"/>
  </r>
  <r>
    <x v="5"/>
    <x v="3"/>
    <s v="OIL_LIN"/>
    <n v="61684.405139864481"/>
    <x v="0"/>
    <x v="11"/>
  </r>
  <r>
    <x v="1"/>
    <x v="3"/>
    <s v="OIL_LIN"/>
    <n v="311630.37994715961"/>
    <x v="0"/>
    <x v="11"/>
  </r>
  <r>
    <x v="0"/>
    <x v="4"/>
    <s v="OIL_LIN"/>
    <n v="3071606.0658979146"/>
    <x v="0"/>
    <x v="11"/>
  </r>
  <r>
    <x v="4"/>
    <x v="4"/>
    <s v="OIL_LIN"/>
    <n v="4636287.6580170961"/>
    <x v="0"/>
    <x v="11"/>
  </r>
  <r>
    <x v="5"/>
    <x v="4"/>
    <s v="OIL_LIN"/>
    <n v="58249.549310686249"/>
    <x v="0"/>
    <x v="11"/>
  </r>
  <r>
    <x v="1"/>
    <x v="4"/>
    <s v="OIL_LIN"/>
    <n v="222341.30037995559"/>
    <x v="0"/>
    <x v="11"/>
  </r>
  <r>
    <x v="0"/>
    <x v="5"/>
    <s v="OIL_LIN"/>
    <n v="3312837.7940740013"/>
    <x v="0"/>
    <x v="11"/>
  </r>
  <r>
    <x v="4"/>
    <x v="5"/>
    <s v="OIL_LIN"/>
    <n v="4110184.5651911083"/>
    <x v="0"/>
    <x v="11"/>
  </r>
  <r>
    <x v="5"/>
    <x v="5"/>
    <s v="OIL_LIN"/>
    <n v="268.73091798158771"/>
    <x v="0"/>
    <x v="11"/>
  </r>
  <r>
    <x v="1"/>
    <x v="5"/>
    <s v="OIL_LIN"/>
    <n v="85322.723421033748"/>
    <x v="0"/>
    <x v="11"/>
  </r>
  <r>
    <x v="0"/>
    <x v="6"/>
    <s v="OIL_LIN"/>
    <n v="3235510.8996521374"/>
    <x v="0"/>
    <x v="11"/>
  </r>
  <r>
    <x v="4"/>
    <x v="6"/>
    <s v="OIL_LIN"/>
    <n v="2572247.2848701202"/>
    <x v="0"/>
    <x v="11"/>
  </r>
  <r>
    <x v="5"/>
    <x v="6"/>
    <s v="OIL_LIN"/>
    <n v="268.73091798158771"/>
    <x v="0"/>
    <x v="11"/>
  </r>
  <r>
    <x v="1"/>
    <x v="6"/>
    <s v="OIL_LIN"/>
    <n v="107403.522317454"/>
    <x v="0"/>
    <x v="11"/>
  </r>
  <r>
    <x v="0"/>
    <x v="7"/>
    <s v="OIL_LIN"/>
    <n v="505412.30841988756"/>
    <x v="0"/>
    <x v="11"/>
  </r>
  <r>
    <x v="4"/>
    <x v="7"/>
    <s v="OIL_LIN"/>
    <n v="790954.97179232421"/>
    <x v="0"/>
    <x v="11"/>
  </r>
  <r>
    <x v="5"/>
    <x v="7"/>
    <s v="OIL_LIN"/>
    <n v="0"/>
    <x v="0"/>
    <x v="11"/>
  </r>
  <r>
    <x v="1"/>
    <x v="7"/>
    <s v="OIL_LIN"/>
    <n v="17905.216431285404"/>
    <x v="0"/>
    <x v="1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2"/>
    <x v="0"/>
    <s v="HYD_RES"/>
    <n v="22014639.454330746"/>
    <x v="0"/>
    <x v="5"/>
  </r>
  <r>
    <x v="2"/>
    <x v="1"/>
    <s v="HYD_RES"/>
    <n v="20462157.822517857"/>
    <x v="0"/>
    <x v="5"/>
  </r>
  <r>
    <x v="2"/>
    <x v="2"/>
    <s v="HYD_RES"/>
    <n v="20661488.58803384"/>
    <x v="0"/>
    <x v="5"/>
  </r>
  <r>
    <x v="2"/>
    <x v="3"/>
    <s v="HYD_RES"/>
    <n v="20871563.311185833"/>
    <x v="0"/>
    <x v="5"/>
  </r>
  <r>
    <x v="2"/>
    <x v="4"/>
    <s v="HYD_RES"/>
    <n v="21031127.318456743"/>
    <x v="0"/>
    <x v="5"/>
  </r>
  <r>
    <x v="2"/>
    <x v="5"/>
    <s v="HYD_RES"/>
    <n v="21260324.842217799"/>
    <x v="0"/>
    <x v="5"/>
  </r>
  <r>
    <x v="2"/>
    <x v="6"/>
    <s v="HYD_RES"/>
    <n v="21343030.330885757"/>
    <x v="0"/>
    <x v="5"/>
  </r>
  <r>
    <x v="2"/>
    <x v="7"/>
    <s v="HYD_RES"/>
    <n v="21376235.819553725"/>
    <x v="0"/>
    <x v="5"/>
  </r>
  <r>
    <x v="2"/>
    <x v="0"/>
    <s v="HYD_ROR"/>
    <n v="16595360.545669252"/>
    <x v="0"/>
    <x v="6"/>
  </r>
  <r>
    <x v="2"/>
    <x v="1"/>
    <s v="HYD_ROR"/>
    <n v="21078242.177482143"/>
    <x v="0"/>
    <x v="6"/>
  </r>
  <r>
    <x v="2"/>
    <x v="2"/>
    <s v="HYD_ROR"/>
    <n v="21265011.41196616"/>
    <x v="0"/>
    <x v="6"/>
  </r>
  <r>
    <x v="2"/>
    <x v="3"/>
    <s v="HYD_ROR"/>
    <n v="21371736.688814163"/>
    <x v="0"/>
    <x v="6"/>
  </r>
  <r>
    <x v="2"/>
    <x v="4"/>
    <s v="HYD_ROR"/>
    <n v="21558672.681543257"/>
    <x v="0"/>
    <x v="6"/>
  </r>
  <r>
    <x v="2"/>
    <x v="5"/>
    <s v="HYD_ROR"/>
    <n v="21745275.157782201"/>
    <x v="0"/>
    <x v="6"/>
  </r>
  <r>
    <x v="2"/>
    <x v="6"/>
    <s v="HYD_ROR"/>
    <n v="22038769.669114243"/>
    <x v="0"/>
    <x v="6"/>
  </r>
  <r>
    <x v="2"/>
    <x v="7"/>
    <s v="HYD_ROR"/>
    <n v="22332264.180446275"/>
    <x v="0"/>
    <x v="6"/>
  </r>
  <r>
    <x v="2"/>
    <x v="0"/>
    <s v="WAS_ELC"/>
    <n v="1998518.7525000002"/>
    <x v="0"/>
    <x v="7"/>
  </r>
  <r>
    <x v="2"/>
    <x v="1"/>
    <s v="WAS_ELC"/>
    <n v="2139377.391397059"/>
    <x v="0"/>
    <x v="7"/>
  </r>
  <r>
    <x v="2"/>
    <x v="2"/>
    <s v="WAS_ELC"/>
    <n v="2305846.6919117649"/>
    <x v="0"/>
    <x v="7"/>
  </r>
  <r>
    <x v="2"/>
    <x v="3"/>
    <s v="WAS_ELC"/>
    <n v="2421094.6691911803"/>
    <x v="0"/>
    <x v="7"/>
  </r>
  <r>
    <x v="2"/>
    <x v="4"/>
    <s v="WAS_ELC"/>
    <n v="2421094.6691911803"/>
    <x v="0"/>
    <x v="7"/>
  </r>
  <r>
    <x v="2"/>
    <x v="5"/>
    <s v="WAS_ELC"/>
    <n v="2433900.0000000019"/>
    <x v="0"/>
    <x v="7"/>
  </r>
  <r>
    <x v="2"/>
    <x v="6"/>
    <s v="WAS_ELC"/>
    <n v="2433900.0000000019"/>
    <x v="0"/>
    <x v="7"/>
  </r>
  <r>
    <x v="2"/>
    <x v="7"/>
    <s v="WAS_ELC"/>
    <n v="2433900.0000000019"/>
    <x v="0"/>
    <x v="7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4"/>
    <x v="0"/>
    <s v="GEO_ELC"/>
    <n v="5918513.1060000099"/>
    <x v="0"/>
    <x v="12"/>
  </r>
  <r>
    <x v="4"/>
    <x v="1"/>
    <s v="GEO_ELC"/>
    <n v="5918513.1059999997"/>
    <x v="0"/>
    <x v="12"/>
  </r>
  <r>
    <x v="4"/>
    <x v="2"/>
    <s v="GEO_ELC"/>
    <n v="5918513.1059999997"/>
    <x v="0"/>
    <x v="12"/>
  </r>
  <r>
    <x v="4"/>
    <x v="3"/>
    <s v="GEO_ELC"/>
    <n v="5918513.1059999997"/>
    <x v="0"/>
    <x v="12"/>
  </r>
  <r>
    <x v="4"/>
    <x v="4"/>
    <s v="GEO_ELC"/>
    <n v="5918513.1059999997"/>
    <x v="0"/>
    <x v="12"/>
  </r>
  <r>
    <x v="4"/>
    <x v="5"/>
    <s v="GEO_ELC"/>
    <n v="5918513.1059999997"/>
    <x v="0"/>
    <x v="12"/>
  </r>
  <r>
    <x v="4"/>
    <x v="6"/>
    <s v="GEO_ELC"/>
    <n v="5478976.1639999999"/>
    <x v="0"/>
    <x v="12"/>
  </r>
  <r>
    <x v="4"/>
    <x v="7"/>
    <s v="GEO_ELC"/>
    <n v="5478976.1640000092"/>
    <x v="0"/>
    <x v="12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3"/>
    <x v="8"/>
    <m/>
    <m/>
    <x v="1"/>
    <x v="1"/>
  </r>
  <r>
    <x v="2"/>
    <x v="0"/>
    <s v="BAL_ELC"/>
    <n v="195450.84420000002"/>
    <x v="2"/>
    <x v="8"/>
  </r>
  <r>
    <x v="2"/>
    <x v="1"/>
    <s v="BAL_ELC"/>
    <n v="536167.62299361755"/>
    <x v="2"/>
    <x v="8"/>
  </r>
  <r>
    <x v="2"/>
    <x v="2"/>
    <s v="BAL_ELC"/>
    <n v="952599.24151914846"/>
    <x v="2"/>
    <x v="8"/>
  </r>
  <r>
    <x v="2"/>
    <x v="3"/>
    <s v="BAL_ELC"/>
    <n v="1293316.0203127661"/>
    <x v="2"/>
    <x v="8"/>
  </r>
  <r>
    <x v="2"/>
    <x v="4"/>
    <s v="BAL_ELC"/>
    <n v="1305935.1602680848"/>
    <x v="2"/>
    <x v="8"/>
  </r>
  <r>
    <x v="2"/>
    <x v="5"/>
    <s v="BAL_ELC"/>
    <n v="1343792.5801340416"/>
    <x v="2"/>
    <x v="8"/>
  </r>
  <r>
    <x v="2"/>
    <x v="6"/>
    <s v="BAL_ELC"/>
    <n v="1381649.9999999981"/>
    <x v="2"/>
    <x v="8"/>
  </r>
  <r>
    <x v="2"/>
    <x v="7"/>
    <s v="BAL_ELC"/>
    <n v="1381649.9999999981"/>
    <x v="2"/>
    <x v="8"/>
  </r>
  <r>
    <x v="2"/>
    <x v="0"/>
    <s v="GEO_ELC"/>
    <n v="0"/>
    <x v="2"/>
    <x v="12"/>
  </r>
  <r>
    <x v="2"/>
    <x v="1"/>
    <s v="GEO_ELC"/>
    <n v="71841.538461538454"/>
    <x v="2"/>
    <x v="12"/>
  </r>
  <r>
    <x v="2"/>
    <x v="2"/>
    <s v="GEO_ELC"/>
    <n v="174472.30769230769"/>
    <x v="2"/>
    <x v="12"/>
  </r>
  <r>
    <x v="2"/>
    <x v="3"/>
    <s v="GEO_ELC"/>
    <n v="307892.30769230792"/>
    <x v="2"/>
    <x v="12"/>
  </r>
  <r>
    <x v="2"/>
    <x v="4"/>
    <s v="GEO_ELC"/>
    <n v="369470.76923076913"/>
    <x v="2"/>
    <x v="12"/>
  </r>
  <r>
    <x v="2"/>
    <x v="5"/>
    <s v="GEO_ELC"/>
    <n v="369470.76923076913"/>
    <x v="2"/>
    <x v="12"/>
  </r>
  <r>
    <x v="2"/>
    <x v="6"/>
    <s v="GEO_ELC"/>
    <n v="400260.00000000012"/>
    <x v="2"/>
    <x v="12"/>
  </r>
  <r>
    <x v="2"/>
    <x v="7"/>
    <s v="GEO_ELC"/>
    <n v="400260"/>
    <x v="2"/>
    <x v="12"/>
  </r>
  <r>
    <x v="2"/>
    <x v="0"/>
    <s v="GAS_OIL"/>
    <n v="2623500"/>
    <x v="2"/>
    <x v="13"/>
  </r>
  <r>
    <x v="2"/>
    <x v="1"/>
    <s v="GAS_OIL"/>
    <n v="3900600"/>
    <x v="2"/>
    <x v="13"/>
  </r>
  <r>
    <x v="2"/>
    <x v="2"/>
    <s v="GAS_OIL"/>
    <n v="6831000"/>
    <x v="2"/>
    <x v="13"/>
  </r>
  <r>
    <x v="2"/>
    <x v="3"/>
    <s v="GAS_OIL"/>
    <n v="9919800.0000000019"/>
    <x v="2"/>
    <x v="13"/>
  </r>
  <r>
    <x v="2"/>
    <x v="4"/>
    <s v="GAS_OIL"/>
    <n v="22067100"/>
    <x v="2"/>
    <x v="13"/>
  </r>
  <r>
    <x v="2"/>
    <x v="5"/>
    <s v="GAS_OIL"/>
    <n v="21384000"/>
    <x v="2"/>
    <x v="13"/>
  </r>
  <r>
    <x v="2"/>
    <x v="6"/>
    <s v="GAS_OIL"/>
    <n v="21760200"/>
    <x v="2"/>
    <x v="13"/>
  </r>
  <r>
    <x v="2"/>
    <x v="7"/>
    <s v="GAS_OIL"/>
    <n v="21433500"/>
    <x v="2"/>
    <x v="13"/>
  </r>
  <r>
    <x v="2"/>
    <x v="0"/>
    <s v="SOL_PHO"/>
    <n v="210000"/>
    <x v="2"/>
    <x v="10"/>
  </r>
  <r>
    <x v="2"/>
    <x v="1"/>
    <s v="SOL_PHO"/>
    <n v="340000"/>
    <x v="2"/>
    <x v="10"/>
  </r>
  <r>
    <x v="2"/>
    <x v="2"/>
    <s v="SOL_PHO"/>
    <n v="550000"/>
    <x v="2"/>
    <x v="10"/>
  </r>
  <r>
    <x v="2"/>
    <x v="3"/>
    <s v="SOL_PHO"/>
    <n v="960000"/>
    <x v="2"/>
    <x v="10"/>
  </r>
  <r>
    <x v="2"/>
    <x v="4"/>
    <s v="SOL_PHO"/>
    <n v="2520000"/>
    <x v="2"/>
    <x v="10"/>
  </r>
  <r>
    <x v="2"/>
    <x v="5"/>
    <s v="SOL_PHO"/>
    <n v="3480000"/>
    <x v="2"/>
    <x v="10"/>
  </r>
  <r>
    <x v="2"/>
    <x v="6"/>
    <s v="SOL_PHO"/>
    <n v="4730000"/>
    <x v="2"/>
    <x v="10"/>
  </r>
  <r>
    <x v="2"/>
    <x v="7"/>
    <s v="SOL_PHO"/>
    <n v="5920000"/>
    <x v="2"/>
    <x v="10"/>
  </r>
  <r>
    <x v="2"/>
    <x v="0"/>
    <s v="WIN_ONS"/>
    <n v="89100"/>
    <x v="2"/>
    <x v="14"/>
  </r>
  <r>
    <x v="2"/>
    <x v="1"/>
    <s v="WIN_ONS"/>
    <n v="138600"/>
    <x v="2"/>
    <x v="14"/>
  </r>
  <r>
    <x v="2"/>
    <x v="2"/>
    <s v="WIN_ONS"/>
    <n v="247500"/>
    <x v="2"/>
    <x v="14"/>
  </r>
  <r>
    <x v="2"/>
    <x v="3"/>
    <s v="WIN_ONS"/>
    <n v="564300"/>
    <x v="2"/>
    <x v="14"/>
  </r>
  <r>
    <x v="2"/>
    <x v="4"/>
    <s v="WIN_ONS"/>
    <n v="762300"/>
    <x v="2"/>
    <x v="14"/>
  </r>
  <r>
    <x v="2"/>
    <x v="5"/>
    <s v="WIN_ONS"/>
    <n v="1009800"/>
    <x v="2"/>
    <x v="14"/>
  </r>
  <r>
    <x v="2"/>
    <x v="6"/>
    <s v="WIN_ONS"/>
    <n v="1237500"/>
    <x v="2"/>
    <x v="14"/>
  </r>
  <r>
    <x v="2"/>
    <x v="7"/>
    <s v="WIN_ONS"/>
    <n v="1395900"/>
    <x v="2"/>
    <x v="14"/>
  </r>
  <r>
    <x v="2"/>
    <x v="0"/>
    <s v="BAL_ELC"/>
    <n v="195450.84420000002"/>
    <x v="3"/>
    <x v="8"/>
  </r>
  <r>
    <x v="2"/>
    <x v="1"/>
    <s v="BAL_ELC"/>
    <n v="809146.80323076842"/>
    <x v="3"/>
    <x v="8"/>
  </r>
  <r>
    <x v="2"/>
    <x v="2"/>
    <s v="BAL_ELC"/>
    <n v="1724307.4438906894"/>
    <x v="3"/>
    <x v="8"/>
  </r>
  <r>
    <x v="2"/>
    <x v="3"/>
    <s v="BAL_ELC"/>
    <n v="2477969.147963562"/>
    <x v="3"/>
    <x v="8"/>
  </r>
  <r>
    <x v="2"/>
    <x v="4"/>
    <s v="BAL_ELC"/>
    <n v="2704067.6591854244"/>
    <x v="3"/>
    <x v="8"/>
  </r>
  <r>
    <x v="2"/>
    <x v="5"/>
    <s v="BAL_ELC"/>
    <n v="2800967.0211376501"/>
    <x v="3"/>
    <x v="8"/>
  </r>
  <r>
    <x v="2"/>
    <x v="6"/>
    <s v="BAL_ELC"/>
    <n v="2844033.4042275287"/>
    <x v="3"/>
    <x v="8"/>
  </r>
  <r>
    <x v="2"/>
    <x v="7"/>
    <s v="BAL_ELC"/>
    <n v="2854800.0000000005"/>
    <x v="3"/>
    <x v="8"/>
  </r>
  <r>
    <x v="2"/>
    <x v="0"/>
    <s v="GEO_ELC"/>
    <n v="0"/>
    <x v="3"/>
    <x v="12"/>
  </r>
  <r>
    <x v="2"/>
    <x v="1"/>
    <s v="GEO_ELC"/>
    <n v="97521.445221445611"/>
    <x v="3"/>
    <x v="12"/>
  </r>
  <r>
    <x v="2"/>
    <x v="2"/>
    <s v="GEO_ELC"/>
    <n v="282812.19114219141"/>
    <x v="3"/>
    <x v="12"/>
  </r>
  <r>
    <x v="2"/>
    <x v="3"/>
    <s v="GEO_ELC"/>
    <n v="663145.82750582765"/>
    <x v="3"/>
    <x v="12"/>
  </r>
  <r>
    <x v="2"/>
    <x v="4"/>
    <s v="GEO_ELC"/>
    <n v="1297035.2214452254"/>
    <x v="3"/>
    <x v="12"/>
  </r>
  <r>
    <x v="2"/>
    <x v="5"/>
    <s v="GEO_ELC"/>
    <n v="2252745.3846153845"/>
    <x v="3"/>
    <x v="12"/>
  </r>
  <r>
    <x v="2"/>
    <x v="6"/>
    <s v="GEO_ELC"/>
    <n v="3296224.8484848496"/>
    <x v="3"/>
    <x v="12"/>
  </r>
  <r>
    <x v="2"/>
    <x v="7"/>
    <s v="GEO_ELC"/>
    <n v="4183670"/>
    <x v="3"/>
    <x v="12"/>
  </r>
  <r>
    <x v="2"/>
    <x v="0"/>
    <s v="GAS_OIL"/>
    <n v="2673000"/>
    <x v="3"/>
    <x v="13"/>
  </r>
  <r>
    <x v="2"/>
    <x v="1"/>
    <s v="GAS_OIL"/>
    <n v="3098700"/>
    <x v="3"/>
    <x v="13"/>
  </r>
  <r>
    <x v="2"/>
    <x v="2"/>
    <s v="GAS_OIL"/>
    <n v="3356100"/>
    <x v="3"/>
    <x v="13"/>
  </r>
  <r>
    <x v="2"/>
    <x v="3"/>
    <s v="GAS_OIL"/>
    <n v="3583800"/>
    <x v="3"/>
    <x v="13"/>
  </r>
  <r>
    <x v="2"/>
    <x v="4"/>
    <s v="GAS_OIL"/>
    <n v="3544200"/>
    <x v="3"/>
    <x v="13"/>
  </r>
  <r>
    <x v="2"/>
    <x v="5"/>
    <s v="GAS_OIL"/>
    <n v="3405600"/>
    <x v="3"/>
    <x v="13"/>
  </r>
  <r>
    <x v="2"/>
    <x v="6"/>
    <s v="GAS_OIL"/>
    <n v="3415500"/>
    <x v="3"/>
    <x v="13"/>
  </r>
  <r>
    <x v="2"/>
    <x v="7"/>
    <s v="GAS_OIL"/>
    <n v="3415500"/>
    <x v="3"/>
    <x v="13"/>
  </r>
  <r>
    <x v="2"/>
    <x v="0"/>
    <s v="SOL_PHO"/>
    <n v="280000"/>
    <x v="3"/>
    <x v="10"/>
  </r>
  <r>
    <x v="2"/>
    <x v="1"/>
    <s v="SOL_PHO"/>
    <n v="520000"/>
    <x v="3"/>
    <x v="10"/>
  </r>
  <r>
    <x v="2"/>
    <x v="2"/>
    <s v="SOL_PHO"/>
    <n v="980000"/>
    <x v="3"/>
    <x v="10"/>
  </r>
  <r>
    <x v="2"/>
    <x v="3"/>
    <s v="SOL_PHO"/>
    <n v="1910000"/>
    <x v="3"/>
    <x v="10"/>
  </r>
  <r>
    <x v="2"/>
    <x v="4"/>
    <s v="SOL_PHO"/>
    <n v="4440000"/>
    <x v="3"/>
    <x v="10"/>
  </r>
  <r>
    <x v="2"/>
    <x v="5"/>
    <s v="SOL_PHO"/>
    <n v="6740000"/>
    <x v="3"/>
    <x v="10"/>
  </r>
  <r>
    <x v="2"/>
    <x v="6"/>
    <s v="SOL_PHO"/>
    <n v="9230000"/>
    <x v="3"/>
    <x v="10"/>
  </r>
  <r>
    <x v="2"/>
    <x v="7"/>
    <s v="SOL_PHO"/>
    <n v="11120000"/>
    <x v="3"/>
    <x v="10"/>
  </r>
  <r>
    <x v="2"/>
    <x v="0"/>
    <s v="WIN_ONS"/>
    <n v="346500"/>
    <x v="3"/>
    <x v="14"/>
  </r>
  <r>
    <x v="2"/>
    <x v="1"/>
    <s v="WIN_ONS"/>
    <n v="653400"/>
    <x v="3"/>
    <x v="14"/>
  </r>
  <r>
    <x v="2"/>
    <x v="2"/>
    <s v="WIN_ONS"/>
    <n v="980100"/>
    <x v="3"/>
    <x v="14"/>
  </r>
  <r>
    <x v="2"/>
    <x v="3"/>
    <s v="WIN_ONS"/>
    <n v="1445400"/>
    <x v="3"/>
    <x v="14"/>
  </r>
  <r>
    <x v="2"/>
    <x v="4"/>
    <s v="WIN_ONS"/>
    <n v="1742400"/>
    <x v="3"/>
    <x v="14"/>
  </r>
  <r>
    <x v="2"/>
    <x v="5"/>
    <s v="WIN_ONS"/>
    <n v="2564100"/>
    <x v="3"/>
    <x v="14"/>
  </r>
  <r>
    <x v="2"/>
    <x v="6"/>
    <s v="WIN_ONS"/>
    <n v="3395700"/>
    <x v="3"/>
    <x v="14"/>
  </r>
  <r>
    <x v="2"/>
    <x v="7"/>
    <s v="WIN_ONS"/>
    <n v="4217400"/>
    <x v="3"/>
    <x v="14"/>
  </r>
  <r>
    <x v="2"/>
    <x v="0"/>
    <s v="BAL_ELC"/>
    <n v="195450.84420000002"/>
    <x v="0"/>
    <x v="8"/>
  </r>
  <r>
    <x v="2"/>
    <x v="1"/>
    <s v="BAL_ELC"/>
    <n v="809146.80323076842"/>
    <x v="0"/>
    <x v="8"/>
  </r>
  <r>
    <x v="2"/>
    <x v="2"/>
    <s v="BAL_ELC"/>
    <n v="1724307.4438906894"/>
    <x v="0"/>
    <x v="8"/>
  </r>
  <r>
    <x v="2"/>
    <x v="3"/>
    <s v="BAL_ELC"/>
    <n v="2477969.147963562"/>
    <x v="0"/>
    <x v="8"/>
  </r>
  <r>
    <x v="2"/>
    <x v="4"/>
    <s v="BAL_ELC"/>
    <n v="2704067.6591854244"/>
    <x v="0"/>
    <x v="8"/>
  </r>
  <r>
    <x v="2"/>
    <x v="5"/>
    <s v="BAL_ELC"/>
    <n v="2800967.0211376501"/>
    <x v="0"/>
    <x v="8"/>
  </r>
  <r>
    <x v="2"/>
    <x v="6"/>
    <s v="BAL_ELC"/>
    <n v="2844033.4042275287"/>
    <x v="0"/>
    <x v="8"/>
  </r>
  <r>
    <x v="2"/>
    <x v="7"/>
    <s v="BAL_ELC"/>
    <n v="2854800.0000000005"/>
    <x v="0"/>
    <x v="8"/>
  </r>
  <r>
    <x v="2"/>
    <x v="0"/>
    <s v="GEO_ELC"/>
    <n v="0"/>
    <x v="0"/>
    <x v="12"/>
  </r>
  <r>
    <x v="2"/>
    <x v="1"/>
    <s v="GEO_ELC"/>
    <n v="97521.445221445611"/>
    <x v="0"/>
    <x v="12"/>
  </r>
  <r>
    <x v="2"/>
    <x v="2"/>
    <s v="GEO_ELC"/>
    <n v="282812.19114219141"/>
    <x v="0"/>
    <x v="12"/>
  </r>
  <r>
    <x v="2"/>
    <x v="3"/>
    <s v="GEO_ELC"/>
    <n v="663145.82750582765"/>
    <x v="0"/>
    <x v="12"/>
  </r>
  <r>
    <x v="2"/>
    <x v="4"/>
    <s v="GEO_ELC"/>
    <n v="1297035.2214452254"/>
    <x v="0"/>
    <x v="12"/>
  </r>
  <r>
    <x v="2"/>
    <x v="5"/>
    <s v="GEO_ELC"/>
    <n v="2252745.3846153845"/>
    <x v="0"/>
    <x v="12"/>
  </r>
  <r>
    <x v="2"/>
    <x v="6"/>
    <s v="GEO_ELC"/>
    <n v="3296224.8484848496"/>
    <x v="0"/>
    <x v="12"/>
  </r>
  <r>
    <x v="2"/>
    <x v="7"/>
    <s v="GEO_ELC"/>
    <n v="4183670"/>
    <x v="0"/>
    <x v="12"/>
  </r>
  <r>
    <x v="2"/>
    <x v="0"/>
    <s v="GAS_OIL"/>
    <n v="2673000"/>
    <x v="0"/>
    <x v="13"/>
  </r>
  <r>
    <x v="2"/>
    <x v="1"/>
    <s v="GAS_OIL"/>
    <n v="3098700"/>
    <x v="0"/>
    <x v="13"/>
  </r>
  <r>
    <x v="2"/>
    <x v="2"/>
    <s v="GAS_OIL"/>
    <n v="5346000"/>
    <x v="0"/>
    <x v="13"/>
  </r>
  <r>
    <x v="2"/>
    <x v="3"/>
    <s v="GAS_OIL"/>
    <n v="7712100"/>
    <x v="0"/>
    <x v="13"/>
  </r>
  <r>
    <x v="2"/>
    <x v="4"/>
    <s v="GAS_OIL"/>
    <n v="15057900"/>
    <x v="0"/>
    <x v="13"/>
  </r>
  <r>
    <x v="2"/>
    <x v="5"/>
    <s v="GAS_OIL"/>
    <n v="12741300"/>
    <x v="0"/>
    <x v="13"/>
  </r>
  <r>
    <x v="2"/>
    <x v="6"/>
    <s v="GAS_OIL"/>
    <n v="11691899.999999998"/>
    <x v="0"/>
    <x v="13"/>
  </r>
  <r>
    <x v="2"/>
    <x v="7"/>
    <s v="GAS_OIL"/>
    <n v="10543500"/>
    <x v="0"/>
    <x v="13"/>
  </r>
  <r>
    <x v="2"/>
    <x v="0"/>
    <s v="SOL_PHO"/>
    <n v="280000"/>
    <x v="0"/>
    <x v="10"/>
  </r>
  <r>
    <x v="2"/>
    <x v="1"/>
    <s v="SOL_PHO"/>
    <n v="520000"/>
    <x v="0"/>
    <x v="10"/>
  </r>
  <r>
    <x v="2"/>
    <x v="2"/>
    <s v="SOL_PHO"/>
    <n v="980000"/>
    <x v="0"/>
    <x v="10"/>
  </r>
  <r>
    <x v="2"/>
    <x v="3"/>
    <s v="SOL_PHO"/>
    <n v="1910000"/>
    <x v="0"/>
    <x v="10"/>
  </r>
  <r>
    <x v="2"/>
    <x v="4"/>
    <s v="SOL_PHO"/>
    <n v="4440000"/>
    <x v="0"/>
    <x v="10"/>
  </r>
  <r>
    <x v="2"/>
    <x v="5"/>
    <s v="SOL_PHO"/>
    <n v="6740000"/>
    <x v="0"/>
    <x v="10"/>
  </r>
  <r>
    <x v="2"/>
    <x v="6"/>
    <s v="SOL_PHO"/>
    <n v="9230000"/>
    <x v="0"/>
    <x v="10"/>
  </r>
  <r>
    <x v="2"/>
    <x v="7"/>
    <s v="SOL_PHO"/>
    <n v="11120000"/>
    <x v="0"/>
    <x v="10"/>
  </r>
  <r>
    <x v="2"/>
    <x v="0"/>
    <s v="WIN_ONS"/>
    <n v="346500"/>
    <x v="0"/>
    <x v="14"/>
  </r>
  <r>
    <x v="2"/>
    <x v="1"/>
    <s v="WIN_ONS"/>
    <n v="653400"/>
    <x v="0"/>
    <x v="14"/>
  </r>
  <r>
    <x v="2"/>
    <x v="2"/>
    <s v="WIN_ONS"/>
    <n v="980100"/>
    <x v="0"/>
    <x v="14"/>
  </r>
  <r>
    <x v="2"/>
    <x v="3"/>
    <s v="WIN_ONS"/>
    <n v="1445400"/>
    <x v="0"/>
    <x v="14"/>
  </r>
  <r>
    <x v="2"/>
    <x v="4"/>
    <s v="WIN_ONS"/>
    <n v="1742400"/>
    <x v="0"/>
    <x v="14"/>
  </r>
  <r>
    <x v="2"/>
    <x v="5"/>
    <s v="WIN_ONS"/>
    <n v="2564100"/>
    <x v="0"/>
    <x v="14"/>
  </r>
  <r>
    <x v="2"/>
    <x v="6"/>
    <s v="WIN_ONS"/>
    <n v="3395700"/>
    <x v="0"/>
    <x v="14"/>
  </r>
  <r>
    <x v="2"/>
    <x v="7"/>
    <s v="WIN_ONS"/>
    <n v="4217400"/>
    <x v="0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7">
  <r>
    <x v="0"/>
    <x v="0"/>
    <x v="0"/>
    <n v="570972.81107925263"/>
  </r>
  <r>
    <x v="1"/>
    <x v="0"/>
    <x v="0"/>
    <n v="571446.25453785842"/>
  </r>
  <r>
    <x v="2"/>
    <x v="0"/>
    <x v="0"/>
    <n v="266436.81617827696"/>
  </r>
  <r>
    <x v="3"/>
    <x v="0"/>
    <x v="0"/>
    <n v="152147.56527070494"/>
  </r>
  <r>
    <x v="4"/>
    <x v="0"/>
    <x v="0"/>
    <n v="151909.46266464752"/>
  </r>
  <r>
    <x v="5"/>
    <x v="0"/>
    <x v="0"/>
    <n v="0"/>
  </r>
  <r>
    <x v="6"/>
    <x v="0"/>
    <x v="0"/>
    <n v="0"/>
  </r>
  <r>
    <x v="7"/>
    <x v="0"/>
    <x v="0"/>
    <n v="0"/>
  </r>
  <r>
    <x v="0"/>
    <x v="1"/>
    <x v="0"/>
    <n v="17918.02580493749"/>
  </r>
  <r>
    <x v="1"/>
    <x v="1"/>
    <x v="0"/>
    <n v="17932.88320610243"/>
  </r>
  <r>
    <x v="2"/>
    <x v="1"/>
    <x v="0"/>
    <n v="8361.2067948452732"/>
  </r>
  <r>
    <x v="3"/>
    <x v="1"/>
    <x v="0"/>
    <n v="4774.6301536247756"/>
  </r>
  <r>
    <x v="4"/>
    <x v="1"/>
    <x v="0"/>
    <n v="4767.1581189555682"/>
  </r>
  <r>
    <x v="5"/>
    <x v="1"/>
    <x v="0"/>
    <n v="0"/>
  </r>
  <r>
    <x v="6"/>
    <x v="1"/>
    <x v="0"/>
    <n v="0"/>
  </r>
  <r>
    <x v="7"/>
    <x v="1"/>
    <x v="0"/>
    <n v="0"/>
  </r>
  <r>
    <x v="0"/>
    <x v="2"/>
    <x v="0"/>
    <n v="930600"/>
  </r>
  <r>
    <x v="1"/>
    <x v="2"/>
    <x v="0"/>
    <n v="1633500"/>
  </r>
  <r>
    <x v="2"/>
    <x v="2"/>
    <x v="0"/>
    <n v="2445300"/>
  </r>
  <r>
    <x v="3"/>
    <x v="2"/>
    <x v="0"/>
    <n v="3009600"/>
  </r>
  <r>
    <x v="4"/>
    <x v="2"/>
    <x v="0"/>
    <n v="3227400"/>
  </r>
  <r>
    <x v="5"/>
    <x v="2"/>
    <x v="0"/>
    <n v="3405600"/>
  </r>
  <r>
    <x v="6"/>
    <x v="2"/>
    <x v="0"/>
    <n v="3415500"/>
  </r>
  <r>
    <x v="7"/>
    <x v="2"/>
    <x v="0"/>
    <n v="3415500"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0"/>
    <x v="0"/>
    <x v="2"/>
    <n v="4970233.2014922695"/>
  </r>
  <r>
    <x v="1"/>
    <x v="0"/>
    <x v="2"/>
    <n v="4303040.9727544188"/>
  </r>
  <r>
    <x v="2"/>
    <x v="0"/>
    <x v="2"/>
    <n v="3897603.1430640556"/>
  </r>
  <r>
    <x v="3"/>
    <x v="0"/>
    <x v="2"/>
    <n v="3540963.9804006894"/>
  </r>
  <r>
    <x v="4"/>
    <x v="0"/>
    <x v="2"/>
    <n v="3800089.6484266873"/>
  </r>
  <r>
    <x v="5"/>
    <x v="0"/>
    <x v="2"/>
    <n v="3715593.8550201934"/>
  </r>
  <r>
    <x v="6"/>
    <x v="0"/>
    <x v="2"/>
    <n v="3736715.4525241354"/>
  </r>
  <r>
    <x v="7"/>
    <x v="0"/>
    <x v="2"/>
    <n v="3477626.2037237044"/>
  </r>
  <r>
    <x v="0"/>
    <x v="1"/>
    <x v="2"/>
    <n v="2931692.3497069618"/>
  </r>
  <r>
    <x v="1"/>
    <x v="1"/>
    <x v="2"/>
    <n v="2461794.8475055401"/>
  </r>
  <r>
    <x v="2"/>
    <x v="1"/>
    <x v="2"/>
    <n v="1458588.0798601932"/>
  </r>
  <r>
    <x v="3"/>
    <x v="1"/>
    <x v="2"/>
    <n v="1277564.3464976684"/>
  </r>
  <r>
    <x v="4"/>
    <x v="1"/>
    <x v="2"/>
    <n v="1162252.6829079229"/>
  </r>
  <r>
    <x v="5"/>
    <x v="1"/>
    <x v="2"/>
    <n v="25486.473058713847"/>
  </r>
  <r>
    <x v="6"/>
    <x v="1"/>
    <x v="2"/>
    <n v="9727.673001598534"/>
  </r>
  <r>
    <x v="7"/>
    <x v="1"/>
    <x v="2"/>
    <n v="0"/>
  </r>
  <r>
    <x v="0"/>
    <x v="4"/>
    <x v="2"/>
    <n v="382632.93741225201"/>
  </r>
  <r>
    <x v="1"/>
    <x v="4"/>
    <x v="2"/>
    <n v="352560.25318024366"/>
  </r>
  <r>
    <x v="2"/>
    <x v="4"/>
    <x v="2"/>
    <n v="341185.88087347284"/>
  </r>
  <r>
    <x v="3"/>
    <x v="4"/>
    <x v="2"/>
    <n v="341185.88087347284"/>
  </r>
  <r>
    <x v="4"/>
    <x v="4"/>
    <x v="2"/>
    <n v="35449.206812044293"/>
  </r>
  <r>
    <x v="5"/>
    <x v="4"/>
    <x v="2"/>
    <n v="31617.41472288391"/>
  </r>
  <r>
    <x v="6"/>
    <x v="4"/>
    <x v="2"/>
    <n v="15957.047054141462"/>
  </r>
  <r>
    <x v="7"/>
    <x v="4"/>
    <x v="2"/>
    <n v="15957.047054141462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4"/>
    <x v="2"/>
    <x v="2"/>
    <n v="0"/>
  </r>
  <r>
    <x v="5"/>
    <x v="2"/>
    <x v="2"/>
    <n v="0"/>
  </r>
  <r>
    <x v="6"/>
    <x v="2"/>
    <x v="2"/>
    <n v="0"/>
  </r>
  <r>
    <x v="7"/>
    <x v="2"/>
    <x v="2"/>
    <n v="0"/>
  </r>
  <r>
    <x v="0"/>
    <x v="0"/>
    <x v="3"/>
    <n v="85513395.346999824"/>
  </r>
  <r>
    <x v="1"/>
    <x v="0"/>
    <x v="3"/>
    <n v="84376473.757252678"/>
  </r>
  <r>
    <x v="2"/>
    <x v="0"/>
    <x v="3"/>
    <n v="78248630.268193528"/>
  </r>
  <r>
    <x v="3"/>
    <x v="0"/>
    <x v="3"/>
    <n v="68581312.308109388"/>
  </r>
  <r>
    <x v="4"/>
    <x v="0"/>
    <x v="3"/>
    <n v="58924403.762748942"/>
  </r>
  <r>
    <x v="5"/>
    <x v="0"/>
    <x v="3"/>
    <n v="58924403.762748942"/>
  </r>
  <r>
    <x v="6"/>
    <x v="0"/>
    <x v="3"/>
    <n v="58924403.762748942"/>
  </r>
  <r>
    <x v="7"/>
    <x v="0"/>
    <x v="3"/>
    <n v="58924403.762748942"/>
  </r>
  <r>
    <x v="0"/>
    <x v="1"/>
    <x v="3"/>
    <n v="9049483.3720709719"/>
  </r>
  <r>
    <x v="1"/>
    <x v="1"/>
    <x v="3"/>
    <n v="5606685.8234863412"/>
  </r>
  <r>
    <x v="2"/>
    <x v="1"/>
    <x v="3"/>
    <n v="3924186.0526425983"/>
  </r>
  <r>
    <x v="3"/>
    <x v="1"/>
    <x v="3"/>
    <n v="1515156.5290892923"/>
  </r>
  <r>
    <x v="4"/>
    <x v="1"/>
    <x v="3"/>
    <n v="518342.106167135"/>
  </r>
  <r>
    <x v="5"/>
    <x v="1"/>
    <x v="3"/>
    <n v="392054.82605040178"/>
  </r>
  <r>
    <x v="6"/>
    <x v="1"/>
    <x v="3"/>
    <n v="314079.87883293052"/>
  </r>
  <r>
    <x v="7"/>
    <x v="1"/>
    <x v="3"/>
    <n v="83244.887761365404"/>
  </r>
  <r>
    <x v="0"/>
    <x v="4"/>
    <x v="3"/>
    <n v="122639.64468747843"/>
  </r>
  <r>
    <x v="1"/>
    <x v="4"/>
    <x v="3"/>
    <n v="114213.89167470827"/>
  </r>
  <r>
    <x v="2"/>
    <x v="4"/>
    <x v="3"/>
    <n v="65803.705807716702"/>
  </r>
  <r>
    <x v="3"/>
    <x v="4"/>
    <x v="3"/>
    <n v="65737.560400714559"/>
  </r>
  <r>
    <x v="4"/>
    <x v="4"/>
    <x v="3"/>
    <n v="61929.751122766938"/>
  </r>
  <r>
    <x v="5"/>
    <x v="4"/>
    <x v="3"/>
    <n v="28703.353030769049"/>
  </r>
  <r>
    <x v="6"/>
    <x v="4"/>
    <x v="3"/>
    <n v="28549.142686179268"/>
  </r>
  <r>
    <x v="7"/>
    <x v="4"/>
    <x v="3"/>
    <n v="24515.949058446578"/>
  </r>
  <r>
    <x v="0"/>
    <x v="2"/>
    <x v="3"/>
    <n v="0"/>
  </r>
  <r>
    <x v="1"/>
    <x v="2"/>
    <x v="3"/>
    <n v="0"/>
  </r>
  <r>
    <x v="2"/>
    <x v="2"/>
    <x v="3"/>
    <n v="0"/>
  </r>
  <r>
    <x v="3"/>
    <x v="2"/>
    <x v="3"/>
    <n v="0"/>
  </r>
  <r>
    <x v="4"/>
    <x v="2"/>
    <x v="3"/>
    <n v="0"/>
  </r>
  <r>
    <x v="5"/>
    <x v="2"/>
    <x v="3"/>
    <n v="15364375.030248389"/>
  </r>
  <r>
    <x v="6"/>
    <x v="2"/>
    <x v="3"/>
    <n v="15148180.580595141"/>
  </r>
  <r>
    <x v="7"/>
    <x v="2"/>
    <x v="3"/>
    <n v="15115535.284946727"/>
  </r>
  <r>
    <x v="0"/>
    <x v="0"/>
    <x v="4"/>
    <n v="6010635.9905090518"/>
  </r>
  <r>
    <x v="1"/>
    <x v="0"/>
    <x v="4"/>
    <n v="5720717.3571756687"/>
  </r>
  <r>
    <x v="2"/>
    <x v="0"/>
    <x v="4"/>
    <n v="5547109.4070525318"/>
  </r>
  <r>
    <x v="3"/>
    <x v="0"/>
    <x v="4"/>
    <n v="5199013.4026419213"/>
  </r>
  <r>
    <x v="4"/>
    <x v="0"/>
    <x v="4"/>
    <n v="5199013.4026419213"/>
  </r>
  <r>
    <x v="5"/>
    <x v="0"/>
    <x v="4"/>
    <n v="5199013.4026419213"/>
  </r>
  <r>
    <x v="6"/>
    <x v="0"/>
    <x v="4"/>
    <n v="5199013.4026419213"/>
  </r>
  <r>
    <x v="7"/>
    <x v="0"/>
    <x v="4"/>
    <n v="5199013.4026419213"/>
  </r>
  <r>
    <x v="0"/>
    <x v="1"/>
    <x v="4"/>
    <n v="512974.53654106433"/>
  </r>
  <r>
    <x v="1"/>
    <x v="1"/>
    <x v="4"/>
    <n v="333967.73826372402"/>
  </r>
  <r>
    <x v="2"/>
    <x v="1"/>
    <x v="4"/>
    <n v="123313.40561517904"/>
  </r>
  <r>
    <x v="3"/>
    <x v="1"/>
    <x v="4"/>
    <n v="111935.8971776453"/>
  </r>
  <r>
    <x v="4"/>
    <x v="1"/>
    <x v="4"/>
    <n v="53293.237261179253"/>
  </r>
  <r>
    <x v="5"/>
    <x v="1"/>
    <x v="4"/>
    <n v="47229.399522299493"/>
  </r>
  <r>
    <x v="6"/>
    <x v="1"/>
    <x v="4"/>
    <n v="46260.917626199458"/>
  </r>
  <r>
    <x v="7"/>
    <x v="1"/>
    <x v="4"/>
    <n v="41677.969378828748"/>
  </r>
  <r>
    <x v="0"/>
    <x v="4"/>
    <x v="4"/>
    <n v="1356129.5658272894"/>
  </r>
  <r>
    <x v="1"/>
    <x v="4"/>
    <x v="4"/>
    <n v="970984.19819558959"/>
  </r>
  <r>
    <x v="2"/>
    <x v="4"/>
    <x v="4"/>
    <n v="965445.55761888565"/>
  </r>
  <r>
    <x v="3"/>
    <x v="4"/>
    <x v="4"/>
    <n v="951856.15006999671"/>
  </r>
  <r>
    <x v="4"/>
    <x v="4"/>
    <x v="4"/>
    <n v="876385.82893585635"/>
  </r>
  <r>
    <x v="5"/>
    <x v="4"/>
    <x v="4"/>
    <n v="728216.96241781802"/>
  </r>
  <r>
    <x v="6"/>
    <x v="4"/>
    <x v="4"/>
    <n v="728216.96241781802"/>
  </r>
  <r>
    <x v="7"/>
    <x v="4"/>
    <x v="4"/>
    <n v="728216.96241781802"/>
  </r>
  <r>
    <x v="0"/>
    <x v="2"/>
    <x v="4"/>
    <n v="0"/>
  </r>
  <r>
    <x v="1"/>
    <x v="2"/>
    <x v="4"/>
    <n v="0"/>
  </r>
  <r>
    <x v="2"/>
    <x v="2"/>
    <x v="4"/>
    <n v="0"/>
  </r>
  <r>
    <x v="3"/>
    <x v="2"/>
    <x v="4"/>
    <n v="0"/>
  </r>
  <r>
    <x v="4"/>
    <x v="2"/>
    <x v="4"/>
    <n v="3067950.4145910488"/>
  </r>
  <r>
    <x v="5"/>
    <x v="2"/>
    <x v="4"/>
    <n v="9252984.4602650832"/>
  </r>
  <r>
    <x v="6"/>
    <x v="2"/>
    <x v="4"/>
    <n v="11786801.271041185"/>
  </r>
  <r>
    <x v="7"/>
    <x v="2"/>
    <x v="4"/>
    <n v="16562707.472795993"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8"/>
    <x v="3"/>
    <x v="1"/>
    <m/>
  </r>
  <r>
    <x v="0"/>
    <x v="5"/>
    <x v="5"/>
    <n v="4337783.8620715216"/>
  </r>
  <r>
    <x v="1"/>
    <x v="5"/>
    <x v="5"/>
    <n v="3989838.3853330011"/>
  </r>
  <r>
    <x v="2"/>
    <x v="5"/>
    <x v="5"/>
    <n v="3526651.9331434579"/>
  </r>
  <r>
    <x v="3"/>
    <x v="5"/>
    <x v="5"/>
    <n v="2934107.9282650747"/>
  </r>
  <r>
    <x v="4"/>
    <x v="5"/>
    <x v="5"/>
    <n v="2470207.2447532574"/>
  </r>
  <r>
    <x v="5"/>
    <x v="5"/>
    <x v="5"/>
    <n v="2202914.5256768423"/>
  </r>
  <r>
    <x v="6"/>
    <x v="5"/>
    <x v="5"/>
    <n v="1952795.672644123"/>
  </r>
  <r>
    <x v="7"/>
    <x v="5"/>
    <x v="5"/>
    <n v="1952795.672644123"/>
  </r>
  <r>
    <x v="0"/>
    <x v="4"/>
    <x v="5"/>
    <n v="8143575.3637002986"/>
  </r>
  <r>
    <x v="1"/>
    <x v="4"/>
    <x v="5"/>
    <n v="7741638.1997305164"/>
  </r>
  <r>
    <x v="2"/>
    <x v="4"/>
    <x v="5"/>
    <n v="7134777.6495465925"/>
  </r>
  <r>
    <x v="3"/>
    <x v="4"/>
    <x v="5"/>
    <n v="6201306.7298614085"/>
  </r>
  <r>
    <x v="4"/>
    <x v="4"/>
    <x v="5"/>
    <n v="4166932.4569131974"/>
  </r>
  <r>
    <x v="5"/>
    <x v="4"/>
    <x v="5"/>
    <n v="3759508.2967298329"/>
  </r>
  <r>
    <x v="6"/>
    <x v="4"/>
    <x v="5"/>
    <n v="3378261.6095959833"/>
  </r>
  <r>
    <x v="7"/>
    <x v="4"/>
    <x v="5"/>
    <n v="3378261.6095959833"/>
  </r>
  <r>
    <x v="0"/>
    <x v="0"/>
    <x v="5"/>
    <n v="54623937.413507238"/>
  </r>
  <r>
    <x v="1"/>
    <x v="0"/>
    <x v="5"/>
    <n v="47493698.958447933"/>
  </r>
  <r>
    <x v="2"/>
    <x v="0"/>
    <x v="5"/>
    <n v="47493698.958447933"/>
  </r>
  <r>
    <x v="3"/>
    <x v="0"/>
    <x v="5"/>
    <n v="47493698.958447933"/>
  </r>
  <r>
    <x v="4"/>
    <x v="0"/>
    <x v="5"/>
    <n v="47493698.958447933"/>
  </r>
  <r>
    <x v="5"/>
    <x v="0"/>
    <x v="5"/>
    <n v="47493698.958447933"/>
  </r>
  <r>
    <x v="6"/>
    <x v="0"/>
    <x v="5"/>
    <n v="47493698.958447933"/>
  </r>
  <r>
    <x v="7"/>
    <x v="0"/>
    <x v="5"/>
    <n v="43442469.389737695"/>
  </r>
  <r>
    <x v="0"/>
    <x v="1"/>
    <x v="5"/>
    <n v="2633553.1995638474"/>
  </r>
  <r>
    <x v="1"/>
    <x v="1"/>
    <x v="5"/>
    <n v="876650.49887687166"/>
  </r>
  <r>
    <x v="2"/>
    <x v="1"/>
    <x v="5"/>
    <n v="763693.79062972544"/>
  </r>
  <r>
    <x v="3"/>
    <x v="1"/>
    <x v="5"/>
    <n v="653683.97564450628"/>
  </r>
  <r>
    <x v="4"/>
    <x v="1"/>
    <x v="5"/>
    <n v="555671.56379199028"/>
  </r>
  <r>
    <x v="5"/>
    <x v="1"/>
    <x v="5"/>
    <n v="451908.94562713633"/>
  </r>
  <r>
    <x v="6"/>
    <x v="1"/>
    <x v="5"/>
    <n v="436470.83656010072"/>
  </r>
  <r>
    <x v="7"/>
    <x v="1"/>
    <x v="5"/>
    <n v="353075.41241858434"/>
  </r>
  <r>
    <x v="0"/>
    <x v="2"/>
    <x v="5"/>
    <n v="0"/>
  </r>
  <r>
    <x v="1"/>
    <x v="2"/>
    <x v="5"/>
    <n v="0"/>
  </r>
  <r>
    <x v="2"/>
    <x v="2"/>
    <x v="5"/>
    <n v="2574890.1432049572"/>
  </r>
  <r>
    <x v="3"/>
    <x v="2"/>
    <x v="5"/>
    <n v="11035862.615673466"/>
  </r>
  <r>
    <x v="4"/>
    <x v="2"/>
    <x v="5"/>
    <n v="37305248.770254046"/>
  </r>
  <r>
    <x v="5"/>
    <x v="2"/>
    <x v="5"/>
    <n v="43670035.002410769"/>
  </r>
  <r>
    <x v="6"/>
    <x v="2"/>
    <x v="5"/>
    <n v="46432510.394070193"/>
  </r>
  <r>
    <x v="7"/>
    <x v="2"/>
    <x v="5"/>
    <n v="46432510.394070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D101:O113" firstHeaderRow="1" firstDataRow="2" firstDataCol="3"/>
  <pivotFields count="6">
    <pivotField axis="axisRow" compact="0" outline="0" showAll="0" defaultSubtotal="0">
      <items count="6">
        <item x="5"/>
        <item x="2"/>
        <item x="0"/>
        <item x="1"/>
        <item x="4"/>
        <item x="3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dataField="1" compact="0" outline="0" showAll="0"/>
    <pivotField axis="axisRow" compact="0" outline="0" multipleItemSelectionAllowed="1" showAll="0">
      <items count="5">
        <item h="1" x="0"/>
        <item h="1" x="1"/>
        <item x="2"/>
        <item x="3"/>
        <item t="default"/>
      </items>
    </pivotField>
    <pivotField axis="axisRow" compact="0" outline="0" showAll="0" defaultSubtotal="0">
      <items count="15">
        <item x="8"/>
        <item x="12"/>
        <item x="5"/>
        <item x="6"/>
        <item x="7"/>
        <item x="1"/>
        <item x="13"/>
        <item x="10"/>
        <item x="14"/>
        <item x="0"/>
        <item x="2"/>
        <item x="3"/>
        <item x="4"/>
        <item x="9"/>
        <item x="11"/>
      </items>
    </pivotField>
  </pivotFields>
  <rowFields count="3">
    <field x="5"/>
    <field x="0"/>
    <field x="4"/>
  </rowFields>
  <rowItems count="11">
    <i>
      <x/>
      <x v="1"/>
      <x v="2"/>
    </i>
    <i r="2">
      <x v="3"/>
    </i>
    <i>
      <x v="1"/>
      <x v="1"/>
      <x v="2"/>
    </i>
    <i r="2">
      <x v="3"/>
    </i>
    <i>
      <x v="6"/>
      <x v="1"/>
      <x v="2"/>
    </i>
    <i r="2">
      <x v="3"/>
    </i>
    <i>
      <x v="7"/>
      <x v="1"/>
      <x v="2"/>
    </i>
    <i r="2">
      <x v="3"/>
    </i>
    <i>
      <x v="8"/>
      <x v="1"/>
      <x v="2"/>
    </i>
    <i r="2"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erg_inp" fld="3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DataPilot4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>
  <location ref="V315:AF347" firstHeaderRow="1" firstDataRow="2" firstDataCol="2"/>
  <pivotFields count="5">
    <pivotField axis="axisCol" compact="0" outline="0" subtotalTop="0" showAll="0" includeNewItemsInFilter="1" sortType="ascending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ubtotalTop="0" showAll="0" includeNewItemsInFilter="1" sortType="ascending" defaultSubtotal="0">
      <items count="11">
        <item x="3"/>
        <item x="9"/>
        <item x="8"/>
        <item x="4"/>
        <item x="6"/>
        <item x="7"/>
        <item x="5"/>
        <item x="0"/>
        <item x="2"/>
        <item x="1"/>
        <item x="10"/>
      </items>
    </pivotField>
    <pivotField axis="axisRow" compact="0" outline="0" subtotalTop="0" showAll="0" includeNewItemsInFilter="1" sortType="ascending" defaultSubtotal="0">
      <items count="9">
        <item m="1" x="8"/>
        <item m="1" x="5"/>
        <item m="1" x="6"/>
        <item x="0"/>
        <item x="1"/>
        <item x="2"/>
        <item m="1" x="7"/>
        <item m="1" x="4"/>
        <item x="3"/>
      </items>
    </pivotField>
    <pivotField compact="0" numFmtId="164" outline="0" showAll="0" defaultSubtotal="0"/>
    <pivotField dataField="1" compact="0" outline="0" subtotalTop="0" showAll="0" includeNewItemsInFilter="1" defaultSubtotal="0"/>
  </pivotFields>
  <rowFields count="2">
    <field x="1"/>
    <field x="2"/>
  </rowFields>
  <rowItems count="31">
    <i>
      <x/>
      <x v="3"/>
    </i>
    <i r="1">
      <x v="4"/>
    </i>
    <i r="1">
      <x v="5"/>
    </i>
    <i>
      <x v="1"/>
      <x v="3"/>
    </i>
    <i r="1">
      <x v="4"/>
    </i>
    <i r="1">
      <x v="5"/>
    </i>
    <i>
      <x v="2"/>
      <x v="3"/>
    </i>
    <i r="1">
      <x v="4"/>
    </i>
    <i r="1">
      <x v="5"/>
    </i>
    <i>
      <x v="3"/>
      <x v="3"/>
    </i>
    <i r="1">
      <x v="4"/>
    </i>
    <i r="1">
      <x v="5"/>
    </i>
    <i>
      <x v="4"/>
      <x v="3"/>
    </i>
    <i r="1">
      <x v="4"/>
    </i>
    <i r="1">
      <x v="5"/>
    </i>
    <i>
      <x v="5"/>
      <x v="3"/>
    </i>
    <i r="1">
      <x v="4"/>
    </i>
    <i r="1">
      <x v="5"/>
    </i>
    <i>
      <x v="6"/>
      <x v="3"/>
    </i>
    <i r="1">
      <x v="4"/>
    </i>
    <i r="1">
      <x v="5"/>
    </i>
    <i>
      <x v="7"/>
      <x v="3"/>
    </i>
    <i r="1">
      <x v="4"/>
    </i>
    <i r="1">
      <x v="5"/>
    </i>
    <i>
      <x v="8"/>
      <x v="3"/>
    </i>
    <i r="1">
      <x v="4"/>
    </i>
    <i r="1">
      <x v="5"/>
    </i>
    <i>
      <x v="9"/>
      <x v="3"/>
    </i>
    <i r="1">
      <x v="4"/>
    </i>
    <i r="1">
      <x v="5"/>
    </i>
    <i>
      <x v="10"/>
      <x v="8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erg_ren" fld="4" baseField="3" baseItem="104882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4">
  <location ref="D122:N177" firstHeaderRow="1" firstDataRow="2" firstDataCol="2" rowPageCount="1" colPageCount="1"/>
  <pivotFields count="6">
    <pivotField axis="axisRow" compact="0" outline="0" showAll="0">
      <items count="7">
        <item x="5"/>
        <item x="2"/>
        <item x="0"/>
        <item x="1"/>
        <item x="4"/>
        <item x="3"/>
        <item t="default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dataField="1"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15">
        <item x="8"/>
        <item x="12"/>
        <item x="5"/>
        <item x="6"/>
        <item x="7"/>
        <item x="1"/>
        <item x="0"/>
        <item x="2"/>
        <item x="3"/>
        <item x="4"/>
        <item x="13"/>
        <item x="10"/>
        <item x="14"/>
        <item x="9"/>
        <item x="11"/>
      </items>
    </pivotField>
  </pivotFields>
  <rowFields count="2">
    <field x="0"/>
    <field x="5"/>
  </rowFields>
  <rowItems count="54">
    <i>
      <x/>
      <x/>
    </i>
    <i r="1">
      <x v="2"/>
    </i>
    <i r="1">
      <x v="3"/>
    </i>
    <i r="1">
      <x v="4"/>
    </i>
    <i r="1">
      <x v="7"/>
    </i>
    <i r="1">
      <x v="8"/>
    </i>
    <i r="1">
      <x v="11"/>
    </i>
    <i r="1">
      <x v="13"/>
    </i>
    <i r="1">
      <x v="1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 t="default">
      <x v="1"/>
    </i>
    <i>
      <x v="2"/>
      <x/>
    </i>
    <i r="1">
      <x v="2"/>
    </i>
    <i r="1">
      <x v="3"/>
    </i>
    <i r="1">
      <x v="4"/>
    </i>
    <i r="1">
      <x v="6"/>
    </i>
    <i r="1">
      <x v="7"/>
    </i>
    <i r="1">
      <x v="9"/>
    </i>
    <i r="1">
      <x v="11"/>
    </i>
    <i r="1">
      <x v="13"/>
    </i>
    <i r="1">
      <x v="14"/>
    </i>
    <i t="default">
      <x v="2"/>
    </i>
    <i>
      <x v="3"/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3"/>
    </i>
    <i r="1">
      <x v="14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11"/>
    </i>
    <i r="1">
      <x v="13"/>
    </i>
    <i r="1">
      <x v="14"/>
    </i>
    <i t="default">
      <x v="4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item="0" hier="-1"/>
  </pageFields>
  <dataFields count="1">
    <dataField name="Sum of erg_inp" fld="3" baseField="0" baseItem="4" numFmtId="17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R113:AB155" firstHeaderRow="1" firstDataRow="2" firstDataCol="2"/>
  <pivotFields count="4"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9">
        <item x="6"/>
        <item x="0"/>
        <item x="3"/>
        <item x="1"/>
        <item x="2"/>
        <item x="4"/>
        <item x="5"/>
        <item x="7"/>
        <item t="default"/>
      </items>
    </pivotField>
    <pivotField axis="axisRow" compact="0" outline="0" showAll="0" defaultSubtotal="0">
      <items count="5">
        <item x="4"/>
        <item x="0"/>
        <item x="1"/>
        <item x="2"/>
        <item x="3"/>
      </items>
    </pivotField>
    <pivotField dataField="1" compact="0" outline="0" showAll="0"/>
  </pivotFields>
  <rowFields count="2">
    <field x="2"/>
    <field x="1"/>
  </rowFields>
  <row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c_fl" fld="3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V3:AF80" firstHeaderRow="1" firstDataRow="2" firstDataCol="2" rowPageCount="1" colPageCount="1"/>
  <pivotFields count="5">
    <pivotField axis="axisRow" compact="0" outline="0" showAll="0" defaultSubtotal="0">
      <items count="17">
        <item x="4"/>
        <item x="10"/>
        <item m="1" x="16"/>
        <item x="3"/>
        <item x="2"/>
        <item x="14"/>
        <item x="8"/>
        <item x="7"/>
        <item x="9"/>
        <item x="13"/>
        <item x="6"/>
        <item x="11"/>
        <item x="0"/>
        <item x="12"/>
        <item x="15"/>
        <item x="1"/>
        <item x="5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compact="0" outline="0" showAll="0">
      <items count="5">
        <item x="3"/>
        <item x="0"/>
        <item x="1"/>
        <item x="2"/>
        <item t="default"/>
      </items>
    </pivotField>
    <pivotField axis="axisRow" compact="0" outline="0" showAll="0" defaultSubtotal="0">
      <items count="6">
        <item x="5"/>
        <item x="0"/>
        <item x="2"/>
        <item x="3"/>
        <item x="4"/>
        <item x="1"/>
      </items>
    </pivotField>
    <pivotField dataField="1" compact="0" outline="0" showAll="0"/>
  </pivotFields>
  <rowFields count="2">
    <field x="3"/>
    <field x="0"/>
  </rowFields>
  <rowItems count="76">
    <i>
      <x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Sum of cap_pwr_leg" fld="4" baseField="0" baseItem="3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I33:AS55" firstHeaderRow="1" firstDataRow="2" firstDataCol="2"/>
  <pivotFields count="4"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7">
        <item x="0"/>
        <item x="2"/>
        <item x="4"/>
        <item x="5"/>
        <item x="1"/>
        <item x="3"/>
        <item t="default"/>
      </items>
    </pivotField>
    <pivotField axis="axisRow" compact="0" outline="0" showAll="0" defaultSubtotal="0">
      <items count="6">
        <item x="2"/>
        <item x="0"/>
        <item x="5"/>
        <item x="4"/>
        <item x="3"/>
        <item x="1"/>
      </items>
    </pivotField>
    <pivotField dataField="1" compact="0" outline="0" showAll="0"/>
  </pivotFields>
  <rowFields count="2">
    <field x="2"/>
    <field x="1"/>
  </rowFields>
  <rowItems count="21">
    <i>
      <x/>
      <x/>
    </i>
    <i r="1">
      <x v="1"/>
    </i>
    <i r="1">
      <x v="2"/>
    </i>
    <i r="1">
      <x v="4"/>
    </i>
    <i>
      <x v="1"/>
      <x/>
    </i>
    <i r="1">
      <x v="1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4"/>
    </i>
    <i>
      <x v="4"/>
      <x/>
    </i>
    <i r="1">
      <x v="1"/>
    </i>
    <i r="1">
      <x v="2"/>
    </i>
    <i r="1">
      <x v="4"/>
    </i>
    <i>
      <x v="5"/>
      <x v="5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erg_chp" fld="3" baseField="1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O82:Z94" firstHeaderRow="1" firstDataRow="2" firstDataCol="3"/>
  <pivotFields count="5">
    <pivotField axis="axisRow" compact="0" outline="0" showAll="0" defaultSubtotal="0">
      <items count="17">
        <item x="4"/>
        <item x="10"/>
        <item m="1" x="16"/>
        <item x="3"/>
        <item x="2"/>
        <item x="14"/>
        <item x="8"/>
        <item x="7"/>
        <item x="9"/>
        <item x="13"/>
        <item x="6"/>
        <item x="11"/>
        <item x="0"/>
        <item x="12"/>
        <item x="15"/>
        <item x="1"/>
        <item x="5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multipleItemSelectionAllowed="1" showAll="0" defaultSubtotal="0">
      <items count="4">
        <item h="1" x="3"/>
        <item x="0"/>
        <item x="1"/>
        <item h="1" x="2"/>
      </items>
    </pivotField>
    <pivotField axis="axisRow" compact="0" outline="0" showAll="0" defaultSubtotal="0">
      <items count="6">
        <item x="5"/>
        <item x="0"/>
        <item x="2"/>
        <item x="3"/>
        <item x="4"/>
        <item x="1"/>
      </items>
    </pivotField>
    <pivotField dataField="1" compact="0" outline="0" showAll="0"/>
  </pivotFields>
  <rowFields count="3">
    <field x="2"/>
    <field x="3"/>
    <field x="0"/>
  </rowFields>
  <rowItems count="11">
    <i>
      <x v="1"/>
      <x v="1"/>
      <x/>
    </i>
    <i r="2">
      <x v="3"/>
    </i>
    <i r="2">
      <x v="4"/>
    </i>
    <i r="2">
      <x v="12"/>
    </i>
    <i r="2">
      <x v="15"/>
    </i>
    <i>
      <x v="2"/>
      <x v="1"/>
      <x/>
    </i>
    <i r="2">
      <x v="3"/>
    </i>
    <i r="2">
      <x v="4"/>
    </i>
    <i r="2">
      <x v="12"/>
    </i>
    <i r="2">
      <x v="1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ap_pwr_leg" fld="4" baseField="0" baseItem="3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2" cacheId="11" applyNumberFormats="0" applyBorderFormats="0" applyFontFormats="0" applyPatternFormats="0" applyAlignmentFormats="0" applyWidthHeightFormats="1" dataCaption="Values" updatedVersion="5" minRefreshableVersion="3" enableDrill="0" useAutoFormatting="1" itemPrintTitles="1" createdVersion="5" indent="0" compact="0" compactData="0">
  <location ref="AK19:AU61" firstHeaderRow="1" firstDataRow="2" firstDataCol="2"/>
  <pivotFields count="4">
    <pivotField axis="axisCol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includeNewItemsInFilter="1" sortType="ascending" defaultSubtotal="0">
      <items count="5">
        <item x="0"/>
        <item x="1"/>
        <item x="2"/>
        <item x="3"/>
        <item x="4"/>
      </items>
    </pivotField>
    <pivotField axis="axisRow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includeNewItemsInFilter="1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</pivotFields>
  <rowFields count="2">
    <field x="1"/>
    <field x="2"/>
  </rowFields>
  <colFields count="1">
    <field x="0"/>
  </colFields>
  <dataFields count="1">
    <dataField name="Sum of cap_ren" fld="3" baseField="3" baseItem="1048828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1" cacheId="10" applyNumberFormats="0" applyBorderFormats="0" applyFontFormats="0" applyPatternFormats="0" applyAlignmentFormats="0" applyWidthHeightFormats="1" dataCaption="Values" updatedVersion="5" minRefreshableVersion="3" enableDrill="0" useAutoFormatting="1" itemPrintTitles="1" createdVersion="5" indent="0" compact="0" compactData="0">
  <location ref="Y19:AI93" firstHeaderRow="1" firstDataRow="2" firstDataCol="2"/>
  <pivotFields count="4">
    <pivotField axis="axisCol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includeNewItemsInFilter="1" sortType="ascending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includeNewItemsInFilter="1" defaultSubtota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</items>
    </pivotField>
  </pivotFields>
  <rowFields count="2">
    <field x="1"/>
    <field x="2"/>
  </rowFields>
  <colFields count="1">
    <field x="0"/>
  </colFields>
  <dataFields count="1">
    <dataField name="Sum of cap" fld="3" baseField="3" baseItem="1048828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3" cacheId="12" applyNumberFormats="0" applyBorderFormats="0" applyFontFormats="0" applyPatternFormats="0" applyAlignmentFormats="0" applyWidthHeightFormats="1" dataCaption="Values" updatedVersion="5" minRefreshableVersion="3" enableDrill="0" useAutoFormatting="1" itemPrintTitles="1" createdVersion="5" indent="0" compact="0" compactData="0">
  <location ref="Y5:AH14" firstHeaderRow="1" firstDataRow="2" firstDataCol="1"/>
  <pivotFields count="3">
    <pivotField axis="axisCol" compact="0" outline="0" subtotalTop="0" showAll="0" includeNewItemsInFilter="1" sortType="ascending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includeNewItemsInFilter="1" sortType="ascending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includeNewItemsInFilter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1"/>
  </rowFields>
  <colFields count="1">
    <field x="0"/>
  </colFields>
  <dataFields count="1">
    <dataField name="Sum of cap_exist" fld="2" baseField="2" baseItem="1048828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__Anonymous_Sheet_DB__4" displayName="__Anonymous_Sheet_DB__4" ref="M2:S17" headerRowCount="0" totalsRowShown="0">
  <sortState ref="M2:S17">
    <sortCondition ref="N2:N17"/>
  </sortState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177"/>
  <sheetViews>
    <sheetView tabSelected="1" zoomScaleNormal="100" workbookViewId="0">
      <selection activeCell="B49" sqref="B49"/>
    </sheetView>
  </sheetViews>
  <sheetFormatPr defaultRowHeight="14.25"/>
  <cols>
    <col min="1" max="1" width="23.5" bestFit="1" customWidth="1"/>
    <col min="2" max="2" width="15.5" bestFit="1" customWidth="1"/>
    <col min="3" max="3" width="10.625" customWidth="1"/>
    <col min="4" max="4" width="16.5" customWidth="1"/>
    <col min="5" max="5" width="16.25" customWidth="1"/>
    <col min="6" max="6" width="13.375" customWidth="1"/>
    <col min="7" max="15" width="15.5" customWidth="1"/>
    <col min="16" max="18" width="17" customWidth="1"/>
    <col min="19" max="19" width="16.25" customWidth="1"/>
    <col min="20" max="27" width="13" customWidth="1"/>
    <col min="28" max="28" width="13.125" customWidth="1"/>
    <col min="29" max="38" width="17" customWidth="1"/>
    <col min="39" max="40" width="17" bestFit="1" customWidth="1"/>
    <col min="41" max="41" width="17" customWidth="1"/>
    <col min="42" max="108" width="17" bestFit="1" customWidth="1"/>
    <col min="109" max="109" width="18.375" bestFit="1" customWidth="1"/>
  </cols>
  <sheetData>
    <row r="1" spans="1:22">
      <c r="A1" t="s">
        <v>0</v>
      </c>
    </row>
    <row r="2" spans="1:22">
      <c r="A2" t="s">
        <v>1</v>
      </c>
    </row>
    <row r="3" spans="1:22">
      <c r="A3" t="s">
        <v>2</v>
      </c>
    </row>
    <row r="4" spans="1:22">
      <c r="A4" t="s">
        <v>3</v>
      </c>
    </row>
    <row r="6" spans="1:22">
      <c r="G6">
        <v>2015</v>
      </c>
      <c r="H6">
        <v>2020</v>
      </c>
      <c r="I6">
        <v>2025</v>
      </c>
      <c r="J6">
        <v>2030</v>
      </c>
      <c r="K6">
        <v>2035</v>
      </c>
      <c r="L6">
        <v>2040</v>
      </c>
      <c r="M6">
        <v>2045</v>
      </c>
      <c r="N6">
        <v>2050</v>
      </c>
      <c r="O6">
        <v>2015</v>
      </c>
      <c r="P6">
        <v>2020</v>
      </c>
      <c r="Q6">
        <v>2025</v>
      </c>
      <c r="R6">
        <v>2030</v>
      </c>
      <c r="S6">
        <v>2035</v>
      </c>
      <c r="T6">
        <v>2040</v>
      </c>
      <c r="U6">
        <v>2045</v>
      </c>
      <c r="V6">
        <v>2050</v>
      </c>
    </row>
    <row r="7" spans="1:22">
      <c r="B7" t="s">
        <v>5</v>
      </c>
      <c r="C7" t="s">
        <v>6</v>
      </c>
      <c r="D7" t="s">
        <v>7</v>
      </c>
      <c r="E7" t="s">
        <v>504</v>
      </c>
      <c r="F7" t="s">
        <v>505</v>
      </c>
      <c r="G7" t="s">
        <v>8</v>
      </c>
      <c r="H7" t="str">
        <f>$G7&amp;"_"&amp;H6</f>
        <v>erg_inp_2020</v>
      </c>
      <c r="I7" t="str">
        <f>$G7&amp;"_"&amp;I6</f>
        <v>erg_inp_2025</v>
      </c>
      <c r="J7" t="str">
        <f>$G7&amp;"_"&amp;J6</f>
        <v>erg_inp_2030</v>
      </c>
      <c r="K7" t="str">
        <f>$G7&amp;"_"&amp;K6</f>
        <v>erg_inp_2035</v>
      </c>
      <c r="L7" t="str">
        <f>$G7&amp;"_"&amp;L6</f>
        <v>erg_inp_2040</v>
      </c>
      <c r="M7" t="str">
        <f>$G7&amp;"_"&amp;M6</f>
        <v>erg_inp_2045</v>
      </c>
      <c r="N7" t="str">
        <f>$G7&amp;"_"&amp;N6</f>
        <v>erg_inp_2050</v>
      </c>
      <c r="O7" t="s">
        <v>9</v>
      </c>
      <c r="P7" t="str">
        <f>$O7&amp;"_"&amp;P6</f>
        <v>vc_fl_2020</v>
      </c>
      <c r="Q7" t="str">
        <f>$O7&amp;"_"&amp;Q6</f>
        <v>vc_fl_2025</v>
      </c>
      <c r="R7" t="str">
        <f>$O7&amp;"_"&amp;R6</f>
        <v>vc_fl_2030</v>
      </c>
      <c r="S7" t="str">
        <f>$O7&amp;"_"&amp;S6</f>
        <v>vc_fl_2035</v>
      </c>
      <c r="T7" t="str">
        <f>$O7&amp;"_"&amp;T6</f>
        <v>vc_fl_2040</v>
      </c>
      <c r="U7" t="str">
        <f>$O7&amp;"_"&amp;U6</f>
        <v>vc_fl_2045</v>
      </c>
      <c r="V7" t="str">
        <f>$O7&amp;"_"&amp;V6</f>
        <v>vc_fl_2050</v>
      </c>
    </row>
    <row r="8" spans="1:22">
      <c r="A8" t="s">
        <v>4</v>
      </c>
      <c r="B8" t="s">
        <v>11</v>
      </c>
      <c r="C8" t="s">
        <v>12</v>
      </c>
      <c r="D8" t="s">
        <v>13</v>
      </c>
      <c r="E8" t="e">
        <f>NA()</f>
        <v>#N/A</v>
      </c>
      <c r="F8" t="e">
        <f>NA()</f>
        <v>#N/A</v>
      </c>
      <c r="G8" s="1">
        <f t="shared" ref="G8:N12" si="0">INDEX($F$124:$M$175,MATCH($C8&amp;"."&amp;$B8,$B$124:$B$175,0),MATCH(G$6,$F$123:$M$123,0))</f>
        <v>2423148.9838005793</v>
      </c>
      <c r="H8" s="1">
        <f t="shared" si="0"/>
        <v>2974980.2506999201</v>
      </c>
      <c r="I8" s="1">
        <f t="shared" si="0"/>
        <v>2924886.9137359373</v>
      </c>
      <c r="J8" s="1">
        <f t="shared" si="0"/>
        <v>3111586.357228654</v>
      </c>
      <c r="K8" s="1">
        <f t="shared" si="0"/>
        <v>3085255.2703492199</v>
      </c>
      <c r="L8" s="1">
        <f t="shared" si="0"/>
        <v>3952287.9510068707</v>
      </c>
      <c r="M8" s="1">
        <f t="shared" si="0"/>
        <v>3793068.0819988763</v>
      </c>
      <c r="N8" s="1">
        <f t="shared" si="0"/>
        <v>3236918.6248831465</v>
      </c>
      <c r="O8" s="154">
        <f>SUMIFS(T$115:T$154,$Q$115:$Q$154,$C8,$S$115:$S$154,$B8)</f>
        <v>1</v>
      </c>
      <c r="P8" s="154">
        <f>SUMIFS(U$115:U$154,$Q$115:$Q$154,$C8,$S$115:$S$154,$B8)</f>
        <v>1</v>
      </c>
      <c r="Q8" s="154">
        <f>SUMIFS(V$115:V$154,$Q$115:$Q$154,$C8,$S$115:$S$154,$B8)</f>
        <v>1</v>
      </c>
      <c r="R8" s="154">
        <f>SUMIFS(W$115:W$154,$Q$115:$Q$154,$C8,$S$115:$S$154,$B8)</f>
        <v>1</v>
      </c>
      <c r="S8" s="154">
        <f>SUMIFS(X$115:X$154,$Q$115:$Q$154,$C8,$S$115:$S$154,$B8)</f>
        <v>1</v>
      </c>
      <c r="T8" s="154">
        <f>SUMIFS(Y$115:Y$154,$Q$115:$Q$154,$C8,$S$115:$S$154,$B8)</f>
        <v>1</v>
      </c>
      <c r="U8" s="154">
        <f>SUMIFS(Z$115:Z$154,$Q$115:$Q$154,$C8,$S$115:$S$154,$B8)</f>
        <v>1</v>
      </c>
      <c r="V8" s="154">
        <f>SUMIFS(AA$115:AA$154,$Q$115:$Q$154,$C8,$S$115:$S$154,$B8)</f>
        <v>1</v>
      </c>
    </row>
    <row r="9" spans="1:22">
      <c r="A9" t="s">
        <v>4</v>
      </c>
      <c r="B9" t="s">
        <v>11</v>
      </c>
      <c r="C9" t="s">
        <v>14</v>
      </c>
      <c r="D9" t="s">
        <v>13</v>
      </c>
      <c r="E9" t="e">
        <f>NA()</f>
        <v>#N/A</v>
      </c>
      <c r="F9" t="e">
        <f>NA()</f>
        <v>#N/A</v>
      </c>
      <c r="G9" s="1">
        <f t="shared" si="0"/>
        <v>195450.84420000002</v>
      </c>
      <c r="H9" s="1">
        <f t="shared" si="0"/>
        <v>809146.80323076842</v>
      </c>
      <c r="I9" s="1">
        <f t="shared" si="0"/>
        <v>1724307.4438906894</v>
      </c>
      <c r="J9" s="1">
        <f t="shared" si="0"/>
        <v>2477969.147963562</v>
      </c>
      <c r="K9" s="1">
        <f t="shared" si="0"/>
        <v>2704067.6591854244</v>
      </c>
      <c r="L9" s="1">
        <f t="shared" si="0"/>
        <v>2800967.0211376501</v>
      </c>
      <c r="M9" s="1">
        <f t="shared" si="0"/>
        <v>2844033.4042275287</v>
      </c>
      <c r="N9" s="1">
        <f t="shared" si="0"/>
        <v>2854800.0000000005</v>
      </c>
      <c r="O9" s="154">
        <f>SUMIFS(T$115:T$154,$Q$115:$Q$154,$C9,$S$115:$S$154,$B9)</f>
        <v>1</v>
      </c>
      <c r="P9" s="154">
        <f>SUMIFS(U$115:U$154,$Q$115:$Q$154,$C9,$S$115:$S$154,$B9)</f>
        <v>1</v>
      </c>
      <c r="Q9" s="154">
        <f>SUMIFS(V$115:V$154,$Q$115:$Q$154,$C9,$S$115:$S$154,$B9)</f>
        <v>1</v>
      </c>
      <c r="R9" s="154">
        <f>SUMIFS(W$115:W$154,$Q$115:$Q$154,$C9,$S$115:$S$154,$B9)</f>
        <v>1</v>
      </c>
      <c r="S9" s="154">
        <f>SUMIFS(X$115:X$154,$Q$115:$Q$154,$C9,$S$115:$S$154,$B9)</f>
        <v>1</v>
      </c>
      <c r="T9" s="154">
        <f>SUMIFS(Y$115:Y$154,$Q$115:$Q$154,$C9,$S$115:$S$154,$B9)</f>
        <v>1</v>
      </c>
      <c r="U9" s="154">
        <f>SUMIFS(Z$115:Z$154,$Q$115:$Q$154,$C9,$S$115:$S$154,$B9)</f>
        <v>1</v>
      </c>
      <c r="V9" s="154">
        <f>SUMIFS(AA$115:AA$154,$Q$115:$Q$154,$C9,$S$115:$S$154,$B9)</f>
        <v>1</v>
      </c>
    </row>
    <row r="10" spans="1:22">
      <c r="A10" t="s">
        <v>4</v>
      </c>
      <c r="B10" t="s">
        <v>11</v>
      </c>
      <c r="C10" t="s">
        <v>15</v>
      </c>
      <c r="D10" t="s">
        <v>13</v>
      </c>
      <c r="E10" t="e">
        <f>NA()</f>
        <v>#N/A</v>
      </c>
      <c r="F10" t="e">
        <f>NA()</f>
        <v>#N/A</v>
      </c>
      <c r="G10" s="1">
        <f t="shared" si="0"/>
        <v>40784295</v>
      </c>
      <c r="H10" s="1">
        <f t="shared" si="0"/>
        <v>40784295</v>
      </c>
      <c r="I10" s="1">
        <f t="shared" si="0"/>
        <v>40784295</v>
      </c>
      <c r="J10" s="1">
        <f t="shared" si="0"/>
        <v>40784295</v>
      </c>
      <c r="K10" s="1">
        <f t="shared" si="0"/>
        <v>40784295</v>
      </c>
      <c r="L10" s="1">
        <f t="shared" si="0"/>
        <v>40784295</v>
      </c>
      <c r="M10" s="1">
        <f t="shared" si="0"/>
        <v>40784295</v>
      </c>
      <c r="N10" s="1">
        <f t="shared" si="0"/>
        <v>40784295</v>
      </c>
      <c r="O10" s="154">
        <f>SUMIFS(T$115:T$154,$Q$115:$Q$154,$C10,$S$115:$S$154,$B10)</f>
        <v>1</v>
      </c>
      <c r="P10" s="154">
        <f>SUMIFS(U$115:U$154,$Q$115:$Q$154,$C10,$S$115:$S$154,$B10)</f>
        <v>1</v>
      </c>
      <c r="Q10" s="154">
        <f>SUMIFS(V$115:V$154,$Q$115:$Q$154,$C10,$S$115:$S$154,$B10)</f>
        <v>1</v>
      </c>
      <c r="R10" s="154">
        <f>SUMIFS(W$115:W$154,$Q$115:$Q$154,$C10,$S$115:$S$154,$B10)</f>
        <v>1</v>
      </c>
      <c r="S10" s="154">
        <f>SUMIFS(X$115:X$154,$Q$115:$Q$154,$C10,$S$115:$S$154,$B10)</f>
        <v>1</v>
      </c>
      <c r="T10" s="154">
        <f>SUMIFS(Y$115:Y$154,$Q$115:$Q$154,$C10,$S$115:$S$154,$B10)</f>
        <v>1</v>
      </c>
      <c r="U10" s="154">
        <f>SUMIFS(Z$115:Z$154,$Q$115:$Q$154,$C10,$S$115:$S$154,$B10)</f>
        <v>1</v>
      </c>
      <c r="V10" s="154">
        <f>SUMIFS(AA$115:AA$154,$Q$115:$Q$154,$C10,$S$115:$S$154,$B10)</f>
        <v>1</v>
      </c>
    </row>
    <row r="11" spans="1:22">
      <c r="A11" t="s">
        <v>4</v>
      </c>
      <c r="B11" t="s">
        <v>11</v>
      </c>
      <c r="C11" t="s">
        <v>16</v>
      </c>
      <c r="D11" t="s">
        <v>13</v>
      </c>
      <c r="E11" t="e">
        <f>NA()</f>
        <v>#N/A</v>
      </c>
      <c r="F11" t="e">
        <f>NA()</f>
        <v>#N/A</v>
      </c>
      <c r="G11" s="1">
        <f t="shared" si="0"/>
        <v>7287700.4999999991</v>
      </c>
      <c r="H11" s="1">
        <f t="shared" si="0"/>
        <v>12384403.606774479</v>
      </c>
      <c r="I11" s="1">
        <f t="shared" si="0"/>
        <v>14106325.520513967</v>
      </c>
      <c r="J11" s="1">
        <f t="shared" si="0"/>
        <v>14684311.769805266</v>
      </c>
      <c r="K11" s="1">
        <f t="shared" si="0"/>
        <v>14810066.383091416</v>
      </c>
      <c r="L11" s="1">
        <f t="shared" si="0"/>
        <v>15013638.811406884</v>
      </c>
      <c r="M11" s="1">
        <f t="shared" si="0"/>
        <v>15398314.246779284</v>
      </c>
      <c r="N11" s="1">
        <f t="shared" si="0"/>
        <v>15559796.044395829</v>
      </c>
      <c r="O11" s="154">
        <f>SUMIFS(T$115:T$154,$Q$115:$Q$154,$C11,$S$115:$S$154,$B11)</f>
        <v>1</v>
      </c>
      <c r="P11" s="154">
        <f>SUMIFS(U$115:U$154,$Q$115:$Q$154,$C11,$S$115:$S$154,$B11)</f>
        <v>1</v>
      </c>
      <c r="Q11" s="154">
        <f>SUMIFS(V$115:V$154,$Q$115:$Q$154,$C11,$S$115:$S$154,$B11)</f>
        <v>1</v>
      </c>
      <c r="R11" s="154">
        <f>SUMIFS(W$115:W$154,$Q$115:$Q$154,$C11,$S$115:$S$154,$B11)</f>
        <v>1</v>
      </c>
      <c r="S11" s="154">
        <f>SUMIFS(X$115:X$154,$Q$115:$Q$154,$C11,$S$115:$S$154,$B11)</f>
        <v>1</v>
      </c>
      <c r="T11" s="154">
        <f>SUMIFS(Y$115:Y$154,$Q$115:$Q$154,$C11,$S$115:$S$154,$B11)</f>
        <v>1</v>
      </c>
      <c r="U11" s="154">
        <f>SUMIFS(Z$115:Z$154,$Q$115:$Q$154,$C11,$S$115:$S$154,$B11)</f>
        <v>1</v>
      </c>
      <c r="V11" s="154">
        <f>SUMIFS(AA$115:AA$154,$Q$115:$Q$154,$C11,$S$115:$S$154,$B11)</f>
        <v>1</v>
      </c>
    </row>
    <row r="12" spans="1:22">
      <c r="A12" t="s">
        <v>4</v>
      </c>
      <c r="B12" t="s">
        <v>11</v>
      </c>
      <c r="C12" t="s">
        <v>17</v>
      </c>
      <c r="D12" t="s">
        <v>13</v>
      </c>
      <c r="E12" t="e">
        <f>NA()</f>
        <v>#N/A</v>
      </c>
      <c r="F12" t="e">
        <f>NA()</f>
        <v>#N/A</v>
      </c>
      <c r="G12" s="1">
        <f t="shared" si="0"/>
        <v>16630857</v>
      </c>
      <c r="H12" s="1">
        <f t="shared" si="0"/>
        <v>20810235.48868642</v>
      </c>
      <c r="I12" s="1">
        <f t="shared" si="0"/>
        <v>21208929.307982475</v>
      </c>
      <c r="J12" s="1">
        <f t="shared" si="0"/>
        <v>20964976.134798937</v>
      </c>
      <c r="K12" s="1">
        <f t="shared" si="0"/>
        <v>21515322.289735507</v>
      </c>
      <c r="L12" s="1">
        <f t="shared" si="0"/>
        <v>26329836.491752755</v>
      </c>
      <c r="M12" s="1">
        <f t="shared" si="0"/>
        <v>26376601.870510131</v>
      </c>
      <c r="N12" s="1">
        <f t="shared" si="0"/>
        <v>26062628.005260117</v>
      </c>
      <c r="O12" s="154">
        <f>SUMIFS(T$115:T$154,$Q$115:$Q$154,$C12,$S$115:$S$154,$B12)</f>
        <v>1</v>
      </c>
      <c r="P12" s="154">
        <f>SUMIFS(U$115:U$154,$Q$115:$Q$154,$C12,$S$115:$S$154,$B12)</f>
        <v>1</v>
      </c>
      <c r="Q12" s="154">
        <f>SUMIFS(V$115:V$154,$Q$115:$Q$154,$C12,$S$115:$S$154,$B12)</f>
        <v>1</v>
      </c>
      <c r="R12" s="154">
        <f>SUMIFS(W$115:W$154,$Q$115:$Q$154,$C12,$S$115:$S$154,$B12)</f>
        <v>1</v>
      </c>
      <c r="S12" s="154">
        <f>SUMIFS(X$115:X$154,$Q$115:$Q$154,$C12,$S$115:$S$154,$B12)</f>
        <v>1</v>
      </c>
      <c r="T12" s="154">
        <f>SUMIFS(Y$115:Y$154,$Q$115:$Q$154,$C12,$S$115:$S$154,$B12)</f>
        <v>1</v>
      </c>
      <c r="U12" s="154">
        <f>SUMIFS(Z$115:Z$154,$Q$115:$Q$154,$C12,$S$115:$S$154,$B12)</f>
        <v>1</v>
      </c>
      <c r="V12" s="154">
        <f>SUMIFS(AA$115:AA$154,$Q$115:$Q$154,$C12,$S$115:$S$154,$B12)</f>
        <v>1</v>
      </c>
    </row>
    <row r="13" spans="1:22">
      <c r="G13" s="1"/>
      <c r="H13" s="1"/>
      <c r="I13" s="1"/>
      <c r="J13" s="1"/>
      <c r="K13" s="1"/>
      <c r="L13" s="1"/>
      <c r="M13" s="1"/>
      <c r="N13" s="1"/>
      <c r="O13" s="154"/>
      <c r="P13" s="154"/>
      <c r="Q13" s="154"/>
      <c r="R13" s="154"/>
      <c r="S13" s="154"/>
      <c r="T13" s="154"/>
      <c r="U13" s="154"/>
      <c r="V13" s="154"/>
    </row>
    <row r="14" spans="1:22">
      <c r="A14" t="s">
        <v>4</v>
      </c>
      <c r="B14" t="s">
        <v>18</v>
      </c>
      <c r="C14" t="s">
        <v>12</v>
      </c>
      <c r="D14" t="s">
        <v>13</v>
      </c>
      <c r="E14" t="e">
        <f>NA()</f>
        <v>#N/A</v>
      </c>
      <c r="F14" t="e">
        <f>NA()</f>
        <v>#N/A</v>
      </c>
      <c r="G14" s="1">
        <f t="shared" ref="G14:N14" si="1">INDEX($F$124:$M$175,MATCH($C14&amp;"."&amp;$B14,$B$124:$B$175,0),MATCH(G$6,$F$123:$M$123,0))</f>
        <v>3837415.2229196681</v>
      </c>
      <c r="H14" s="1">
        <f t="shared" si="1"/>
        <v>4519671.393254864</v>
      </c>
      <c r="I14" s="1">
        <f t="shared" si="1"/>
        <v>3036771.1119949338</v>
      </c>
      <c r="J14" s="1">
        <f t="shared" si="1"/>
        <v>3010198.1130111003</v>
      </c>
      <c r="K14" s="1">
        <f t="shared" si="1"/>
        <v>82034.509970361454</v>
      </c>
      <c r="L14" s="1">
        <f t="shared" si="1"/>
        <v>75421.920645173042</v>
      </c>
      <c r="M14" s="1">
        <f t="shared" si="1"/>
        <v>27579.484048110051</v>
      </c>
      <c r="N14" s="1">
        <f t="shared" si="1"/>
        <v>27030.780313189156</v>
      </c>
      <c r="O14" s="154">
        <f>SUMIFS(T$115:T$154,$Q$115:$Q$154,$C14,$S$115:$S$154,$B14)</f>
        <v>10.8351179180115</v>
      </c>
      <c r="P14" s="154">
        <f>SUMIFS(U$115:U$154,$Q$115:$Q$154,$C14,$S$115:$S$154,$B14)</f>
        <v>16.551073991832286</v>
      </c>
      <c r="Q14" s="154">
        <f>SUMIFS(V$115:V$154,$Q$115:$Q$154,$C14,$S$115:$S$154,$B14)</f>
        <v>20.489252716740868</v>
      </c>
      <c r="R14" s="154">
        <f>SUMIFS(W$115:W$154,$Q$115:$Q$154,$C14,$S$115:$S$154,$B14)</f>
        <v>24.521702625968029</v>
      </c>
      <c r="S14" s="154">
        <f>SUMIFS(X$115:X$154,$Q$115:$Q$154,$C14,$S$115:$S$154,$B14)</f>
        <v>26.021792846437396</v>
      </c>
      <c r="T14" s="154">
        <f>SUMIFS(Y$115:Y$154,$Q$115:$Q$154,$C14,$S$115:$S$154,$B14)</f>
        <v>27.053473119823831</v>
      </c>
      <c r="U14" s="154">
        <f>SUMIFS(Z$115:Z$154,$Q$115:$Q$154,$C14,$S$115:$S$154,$B14)</f>
        <v>28.084564198308275</v>
      </c>
      <c r="V14" s="154">
        <f>SUMIFS(AA$115:AA$154,$Q$115:$Q$154,$C14,$S$115:$S$154,$B14)</f>
        <v>28.83519850344495</v>
      </c>
    </row>
    <row r="15" spans="1:22">
      <c r="A15" t="s">
        <v>4</v>
      </c>
      <c r="B15" t="s">
        <v>18</v>
      </c>
      <c r="C15" t="s">
        <v>15</v>
      </c>
      <c r="D15" t="s">
        <v>13</v>
      </c>
      <c r="E15" t="e">
        <f>NA()</f>
        <v>#N/A</v>
      </c>
      <c r="F15" t="e">
        <f>NA()</f>
        <v>#N/A</v>
      </c>
      <c r="G15" s="198">
        <v>0</v>
      </c>
      <c r="H15" s="198">
        <v>0</v>
      </c>
      <c r="I15" s="198">
        <v>0</v>
      </c>
      <c r="J15" s="198">
        <v>0</v>
      </c>
      <c r="K15" s="198">
        <v>0</v>
      </c>
      <c r="L15" s="198">
        <v>0</v>
      </c>
      <c r="M15" s="198">
        <v>0</v>
      </c>
      <c r="N15" s="198">
        <v>0</v>
      </c>
      <c r="O15" s="154">
        <f>SUMIFS(T$115:T$154,$Q$115:$Q$154,$C15,$S$115:$S$154,$B15)</f>
        <v>8.4515092478679605</v>
      </c>
      <c r="P15" s="154">
        <f>SUMIFS(U$115:U$154,$Q$115:$Q$154,$C15,$S$115:$S$154,$B15)</f>
        <v>16.551073991832286</v>
      </c>
      <c r="Q15" s="154">
        <f>SUMIFS(V$115:V$154,$Q$115:$Q$154,$C15,$S$115:$S$154,$B15)</f>
        <v>20.489252716740868</v>
      </c>
      <c r="R15" s="154">
        <f>SUMIFS(W$115:W$154,$Q$115:$Q$154,$C15,$S$115:$S$154,$B15)</f>
        <v>24.521702625968029</v>
      </c>
      <c r="S15" s="154">
        <f>SUMIFS(X$115:X$154,$Q$115:$Q$154,$C15,$S$115:$S$154,$B15)</f>
        <v>26.021792846437396</v>
      </c>
      <c r="T15" s="154">
        <f>SUMIFS(Y$115:Y$154,$Q$115:$Q$154,$C15,$S$115:$S$154,$B15)</f>
        <v>27.053473119823831</v>
      </c>
      <c r="U15" s="154">
        <f>SUMIFS(Z$115:Z$154,$Q$115:$Q$154,$C15,$S$115:$S$154,$B15)</f>
        <v>28.084564198308275</v>
      </c>
      <c r="V15" s="154">
        <f>SUMIFS(AA$115:AA$154,$Q$115:$Q$154,$C15,$S$115:$S$154,$B15)</f>
        <v>28.83519850344495</v>
      </c>
    </row>
    <row r="16" spans="1:22">
      <c r="A16" t="s">
        <v>4</v>
      </c>
      <c r="B16" t="s">
        <v>18</v>
      </c>
      <c r="C16" t="s">
        <v>16</v>
      </c>
      <c r="D16" t="s">
        <v>13</v>
      </c>
      <c r="E16" t="e">
        <f>NA()</f>
        <v>#N/A</v>
      </c>
      <c r="F16" t="e">
        <f>NA()</f>
        <v>#N/A</v>
      </c>
      <c r="G16" s="1">
        <f t="shared" ref="G16:N17" si="2">INDEX($F$124:$M$175,MATCH($C16&amp;"."&amp;$B16,$B$124:$B$175,0),MATCH(G$6,$F$123:$M$123,0))</f>
        <v>8070642.0824392093</v>
      </c>
      <c r="H16" s="1">
        <f t="shared" si="2"/>
        <v>8334656.9916366898</v>
      </c>
      <c r="I16" s="1">
        <f t="shared" si="2"/>
        <v>330600.45434457943</v>
      </c>
      <c r="J16" s="1">
        <f t="shared" si="2"/>
        <v>62797.312271808318</v>
      </c>
      <c r="K16" s="1">
        <f t="shared" si="2"/>
        <v>0</v>
      </c>
      <c r="L16" s="1">
        <f t="shared" si="2"/>
        <v>0</v>
      </c>
      <c r="M16" s="1">
        <f t="shared" si="2"/>
        <v>0</v>
      </c>
      <c r="N16" s="1">
        <f t="shared" si="2"/>
        <v>0</v>
      </c>
      <c r="O16" s="154">
        <f>SUMIFS(T$115:T$154,$Q$115:$Q$154,$C16,$S$115:$S$154,$B16)</f>
        <v>10.8351179180115</v>
      </c>
      <c r="P16" s="154">
        <f>SUMIFS(U$115:U$154,$Q$115:$Q$154,$C16,$S$115:$S$154,$B16)</f>
        <v>16.551073991832286</v>
      </c>
      <c r="Q16" s="154">
        <f>SUMIFS(V$115:V$154,$Q$115:$Q$154,$C16,$S$115:$S$154,$B16)</f>
        <v>20.489252716740868</v>
      </c>
      <c r="R16" s="154">
        <f>SUMIFS(W$115:W$154,$Q$115:$Q$154,$C16,$S$115:$S$154,$B16)</f>
        <v>24.521702625968029</v>
      </c>
      <c r="S16" s="154">
        <f>SUMIFS(X$115:X$154,$Q$115:$Q$154,$C16,$S$115:$S$154,$B16)</f>
        <v>26.021792846437396</v>
      </c>
      <c r="T16" s="154">
        <f>SUMIFS(Y$115:Y$154,$Q$115:$Q$154,$C16,$S$115:$S$154,$B16)</f>
        <v>27.053473119823831</v>
      </c>
      <c r="U16" s="154">
        <f>SUMIFS(Z$115:Z$154,$Q$115:$Q$154,$C16,$S$115:$S$154,$B16)</f>
        <v>28.084564198308275</v>
      </c>
      <c r="V16" s="154">
        <f>SUMIFS(AA$115:AA$154,$Q$115:$Q$154,$C16,$S$115:$S$154,$B16)</f>
        <v>28.83519850344495</v>
      </c>
    </row>
    <row r="17" spans="1:23">
      <c r="A17" t="s">
        <v>4</v>
      </c>
      <c r="B17" t="s">
        <v>18</v>
      </c>
      <c r="C17" t="s">
        <v>17</v>
      </c>
      <c r="D17" t="s">
        <v>13</v>
      </c>
      <c r="E17" t="e">
        <f>NA()</f>
        <v>#N/A</v>
      </c>
      <c r="F17" t="e">
        <f>NA()</f>
        <v>#N/A</v>
      </c>
      <c r="G17" s="1">
        <f t="shared" si="2"/>
        <v>53853059.962231345</v>
      </c>
      <c r="H17" s="1">
        <f t="shared" si="2"/>
        <v>61453986.182493925</v>
      </c>
      <c r="I17" s="1">
        <f t="shared" si="2"/>
        <v>41260345.388193317</v>
      </c>
      <c r="J17" s="1">
        <f t="shared" si="2"/>
        <v>40870902.538665265</v>
      </c>
      <c r="K17" s="1">
        <f t="shared" si="2"/>
        <v>35456963.977508433</v>
      </c>
      <c r="L17" s="1">
        <f t="shared" si="2"/>
        <v>9028727.2027557623</v>
      </c>
      <c r="M17" s="1">
        <f t="shared" si="2"/>
        <v>8421435.1200823728</v>
      </c>
      <c r="N17" s="1">
        <f t="shared" si="2"/>
        <v>0</v>
      </c>
      <c r="O17" s="154">
        <f>SUMIFS(T$115:T$154,$Q$115:$Q$154,$C17,$S$115:$S$154,$B17)</f>
        <v>12.1371685288369</v>
      </c>
      <c r="P17" s="154">
        <f>SUMIFS(U$115:U$154,$Q$115:$Q$154,$C17,$S$115:$S$154,$B17)</f>
        <v>16.551073991832286</v>
      </c>
      <c r="Q17" s="154">
        <f>SUMIFS(V$115:V$154,$Q$115:$Q$154,$C17,$S$115:$S$154,$B17)</f>
        <v>20.489252716740868</v>
      </c>
      <c r="R17" s="154">
        <f>SUMIFS(W$115:W$154,$Q$115:$Q$154,$C17,$S$115:$S$154,$B17)</f>
        <v>24.521702625968029</v>
      </c>
      <c r="S17" s="154">
        <f>SUMIFS(X$115:X$154,$Q$115:$Q$154,$C17,$S$115:$S$154,$B17)</f>
        <v>26.021792846437396</v>
      </c>
      <c r="T17" s="154">
        <f>SUMIFS(Y$115:Y$154,$Q$115:$Q$154,$C17,$S$115:$S$154,$B17)</f>
        <v>27.053473119823831</v>
      </c>
      <c r="U17" s="154">
        <f>SUMIFS(Z$115:Z$154,$Q$115:$Q$154,$C17,$S$115:$S$154,$B17)</f>
        <v>28.084564198308275</v>
      </c>
      <c r="V17" s="154">
        <f>SUMIFS(AA$115:AA$154,$Q$115:$Q$154,$C17,$S$115:$S$154,$B17)</f>
        <v>28.83519850344495</v>
      </c>
    </row>
    <row r="18" spans="1:23">
      <c r="G18" s="1"/>
      <c r="H18" s="1"/>
      <c r="I18" s="1"/>
      <c r="J18" s="1"/>
      <c r="K18" s="1"/>
      <c r="L18" s="1"/>
      <c r="M18" s="1"/>
      <c r="N18" s="1"/>
      <c r="O18" s="154"/>
      <c r="P18" s="154"/>
      <c r="Q18" s="154"/>
      <c r="R18" s="154"/>
      <c r="S18" s="154"/>
      <c r="T18" s="154"/>
      <c r="U18" s="154"/>
      <c r="V18" s="154"/>
    </row>
    <row r="19" spans="1:23">
      <c r="A19" t="s">
        <v>4</v>
      </c>
      <c r="B19" t="s">
        <v>19</v>
      </c>
      <c r="C19" t="s">
        <v>15</v>
      </c>
      <c r="D19" t="s">
        <v>13</v>
      </c>
      <c r="E19" t="e">
        <f>NA()</f>
        <v>#N/A</v>
      </c>
      <c r="F19" t="e">
        <f>NA()</f>
        <v>#N/A</v>
      </c>
      <c r="G19" s="198">
        <v>0</v>
      </c>
      <c r="H19" s="198">
        <v>0</v>
      </c>
      <c r="I19" s="198">
        <v>0</v>
      </c>
      <c r="J19" s="198">
        <v>0</v>
      </c>
      <c r="K19" s="198">
        <v>0</v>
      </c>
      <c r="L19" s="198">
        <v>0</v>
      </c>
      <c r="M19" s="198">
        <v>0</v>
      </c>
      <c r="N19" s="198">
        <v>0</v>
      </c>
      <c r="O19" s="154">
        <f>SUMIFS(T$115:T$154,$Q$115:$Q$154,$C19,$S$115:$S$154,$B19)</f>
        <v>1.44</v>
      </c>
      <c r="P19" s="154">
        <f>SUMIFS(U$115:U$154,$Q$115:$Q$154,$C19,$S$115:$S$154,$B19)</f>
        <v>1.44</v>
      </c>
      <c r="Q19" s="154">
        <f>SUMIFS(V$115:V$154,$Q$115:$Q$154,$C19,$S$115:$S$154,$B19)</f>
        <v>1.44</v>
      </c>
      <c r="R19" s="154">
        <f>SUMIFS(W$115:W$154,$Q$115:$Q$154,$C19,$S$115:$S$154,$B19)</f>
        <v>1.44</v>
      </c>
      <c r="S19" s="154">
        <f>SUMIFS(X$115:X$154,$Q$115:$Q$154,$C19,$S$115:$S$154,$B19)</f>
        <v>1.44</v>
      </c>
      <c r="T19" s="154">
        <f>SUMIFS(Y$115:Y$154,$Q$115:$Q$154,$C19,$S$115:$S$154,$B19)</f>
        <v>1.44</v>
      </c>
      <c r="U19" s="154">
        <f>SUMIFS(Z$115:Z$154,$Q$115:$Q$154,$C19,$S$115:$S$154,$B19)</f>
        <v>1.44</v>
      </c>
      <c r="V19" s="154">
        <f>SUMIFS(AA$115:AA$154,$Q$115:$Q$154,$C19,$S$115:$S$154,$B19)</f>
        <v>1.44</v>
      </c>
    </row>
    <row r="20" spans="1:23">
      <c r="A20" t="s">
        <v>4</v>
      </c>
      <c r="B20" t="s">
        <v>472</v>
      </c>
      <c r="C20" t="s">
        <v>15</v>
      </c>
      <c r="D20" t="s">
        <v>13</v>
      </c>
      <c r="E20" t="e">
        <f>NA()</f>
        <v>#N/A</v>
      </c>
      <c r="F20" t="e">
        <f>NA()</f>
        <v>#N/A</v>
      </c>
      <c r="G20" s="1">
        <f t="shared" ref="G20:N20" si="3">INDEX($F$124:$M$175,MATCH($C20&amp;"."&amp;$B20,$B$124:$B$175,0),MATCH(G$6,$F$123:$M$123,0))</f>
        <v>249698835.17300799</v>
      </c>
      <c r="H20" s="1">
        <f t="shared" si="3"/>
        <v>250545251.07467914</v>
      </c>
      <c r="I20" s="1">
        <f t="shared" si="3"/>
        <v>244466205.03039464</v>
      </c>
      <c r="J20" s="1">
        <f t="shared" si="3"/>
        <v>212224045.9507376</v>
      </c>
      <c r="K20" s="1">
        <f t="shared" si="3"/>
        <v>167396193.99555439</v>
      </c>
      <c r="L20" s="1">
        <f t="shared" si="3"/>
        <v>146771088.88929152</v>
      </c>
      <c r="M20" s="1">
        <f t="shared" si="3"/>
        <v>104781991.70567185</v>
      </c>
      <c r="N20" s="1">
        <f t="shared" si="3"/>
        <v>125221776.6493993</v>
      </c>
      <c r="O20" s="154">
        <v>0</v>
      </c>
      <c r="P20" s="154">
        <v>0</v>
      </c>
      <c r="Q20" s="154">
        <v>0</v>
      </c>
      <c r="R20" s="154">
        <v>0</v>
      </c>
      <c r="S20" s="154">
        <v>0</v>
      </c>
      <c r="T20" s="154">
        <v>0</v>
      </c>
      <c r="U20" s="154">
        <v>0</v>
      </c>
      <c r="V20" s="154">
        <v>0</v>
      </c>
      <c r="W20" s="154"/>
    </row>
    <row r="21" spans="1:23">
      <c r="G21" s="1"/>
      <c r="H21" s="1"/>
      <c r="I21" s="1"/>
      <c r="J21" s="1"/>
      <c r="K21" s="1"/>
      <c r="L21" s="1"/>
      <c r="M21" s="1"/>
      <c r="N21" s="1"/>
      <c r="O21" s="154"/>
      <c r="P21" s="154"/>
      <c r="Q21" s="154"/>
      <c r="R21" s="154"/>
      <c r="S21" s="154"/>
      <c r="T21" s="154"/>
      <c r="U21" s="154"/>
      <c r="V21" s="154"/>
    </row>
    <row r="22" spans="1:23">
      <c r="A22" t="s">
        <v>4</v>
      </c>
      <c r="B22" t="s">
        <v>20</v>
      </c>
      <c r="C22" t="s">
        <v>12</v>
      </c>
      <c r="D22" t="s">
        <v>13</v>
      </c>
      <c r="E22" t="e">
        <f>NA()</f>
        <v>#N/A</v>
      </c>
      <c r="F22" t="e">
        <f>NA()</f>
        <v>#N/A</v>
      </c>
      <c r="G22" s="1">
        <f t="shared" ref="G22:N22" si="4">INDEX($F$124:$M$175,MATCH($C22&amp;"."&amp;$B22,$B$124:$B$175,0),MATCH(G$6,$F$123:$M$123,0))</f>
        <v>190389.86320823801</v>
      </c>
      <c r="H22" s="1">
        <f t="shared" si="4"/>
        <v>197091.88101221155</v>
      </c>
      <c r="I22" s="1">
        <f t="shared" si="4"/>
        <v>70482.022992383689</v>
      </c>
      <c r="J22" s="1">
        <f t="shared" si="4"/>
        <v>61684.405139864481</v>
      </c>
      <c r="K22" s="1">
        <f t="shared" si="4"/>
        <v>58249.549310686249</v>
      </c>
      <c r="L22" s="1">
        <f t="shared" si="4"/>
        <v>268.73091798158771</v>
      </c>
      <c r="M22" s="1">
        <f t="shared" si="4"/>
        <v>268.73091798158771</v>
      </c>
      <c r="N22" s="1">
        <f t="shared" si="4"/>
        <v>0</v>
      </c>
      <c r="O22" s="154">
        <f>SUMIFS(T$115:T$154,$Q$115:$Q$154,$C22,$S$115:$S$154,$B22)</f>
        <v>24.108039300057399</v>
      </c>
      <c r="P22" s="154">
        <f>SUMIFS(U$115:U$154,$Q$115:$Q$154,$C22,$S$115:$S$154,$B22)</f>
        <v>86.877966688393229</v>
      </c>
      <c r="Q22" s="154">
        <f>SUMIFS(V$115:V$154,$Q$115:$Q$154,$C22,$S$115:$S$154,$B22)</f>
        <v>101.97549685701344</v>
      </c>
      <c r="R22" s="154">
        <f>SUMIFS(W$115:W$154,$Q$115:$Q$154,$C22,$S$115:$S$154,$B22)</f>
        <v>112.3842139955884</v>
      </c>
      <c r="S22" s="154">
        <f>SUMIFS(X$115:X$154,$Q$115:$Q$154,$C22,$S$115:$S$154,$B22)</f>
        <v>117.16670901505024</v>
      </c>
      <c r="T22" s="154">
        <f>SUMIFS(Y$115:Y$154,$Q$115:$Q$154,$C22,$S$115:$S$154,$B22)</f>
        <v>124.10565737579955</v>
      </c>
      <c r="U22" s="154">
        <f>SUMIFS(Z$115:Z$154,$Q$115:$Q$154,$C22,$S$115:$S$154,$B22)</f>
        <v>126.9190630328071</v>
      </c>
      <c r="V22" s="154">
        <f>SUMIFS(AA$115:AA$154,$Q$115:$Q$154,$C22,$S$115:$S$154,$B22)</f>
        <v>129.82615067923123</v>
      </c>
    </row>
    <row r="23" spans="1:23">
      <c r="A23" t="s">
        <v>4</v>
      </c>
      <c r="B23" t="s">
        <v>20</v>
      </c>
      <c r="C23" t="s">
        <v>14</v>
      </c>
      <c r="D23" t="s">
        <v>13</v>
      </c>
      <c r="E23" t="e">
        <f>NA()</f>
        <v>#N/A</v>
      </c>
      <c r="F23" t="e">
        <f>NA()</f>
        <v>#N/A</v>
      </c>
      <c r="G23" s="198">
        <v>0</v>
      </c>
      <c r="H23" s="198">
        <v>0</v>
      </c>
      <c r="I23" s="198">
        <v>0</v>
      </c>
      <c r="J23" s="198">
        <v>0</v>
      </c>
      <c r="K23" s="198">
        <v>0</v>
      </c>
      <c r="L23" s="198">
        <v>0</v>
      </c>
      <c r="M23" s="198">
        <v>0</v>
      </c>
      <c r="N23" s="198">
        <v>0</v>
      </c>
      <c r="O23" s="154">
        <f>SUMIFS(T$115:T$154,$Q$115:$Q$154,$C23,$S$115:$S$154,$B23)</f>
        <v>29.241509433962261</v>
      </c>
      <c r="P23" s="154">
        <f>SUMIFS(U$115:U$154,$Q$115:$Q$154,$C23,$S$115:$S$154,$B23)</f>
        <v>86.877966688393229</v>
      </c>
      <c r="Q23" s="154">
        <f>SUMIFS(V$115:V$154,$Q$115:$Q$154,$C23,$S$115:$S$154,$B23)</f>
        <v>101.97549685701344</v>
      </c>
      <c r="R23" s="154">
        <f>SUMIFS(W$115:W$154,$Q$115:$Q$154,$C23,$S$115:$S$154,$B23)</f>
        <v>112.3842139955884</v>
      </c>
      <c r="S23" s="154">
        <f>SUMIFS(X$115:X$154,$Q$115:$Q$154,$C23,$S$115:$S$154,$B23)</f>
        <v>117.16670901505024</v>
      </c>
      <c r="T23" s="154">
        <f>SUMIFS(Y$115:Y$154,$Q$115:$Q$154,$C23,$S$115:$S$154,$B23)</f>
        <v>124.10565737579955</v>
      </c>
      <c r="U23" s="154">
        <f>SUMIFS(Z$115:Z$154,$Q$115:$Q$154,$C23,$S$115:$S$154,$B23)</f>
        <v>126.9190630328071</v>
      </c>
      <c r="V23" s="154">
        <f>SUMIFS(AA$115:AA$154,$Q$115:$Q$154,$C23,$S$115:$S$154,$B23)</f>
        <v>129.82615067923123</v>
      </c>
    </row>
    <row r="24" spans="1:23">
      <c r="A24" t="s">
        <v>4</v>
      </c>
      <c r="B24" t="s">
        <v>20</v>
      </c>
      <c r="C24" t="s">
        <v>15</v>
      </c>
      <c r="D24" t="s">
        <v>13</v>
      </c>
      <c r="E24" t="e">
        <f>NA()</f>
        <v>#N/A</v>
      </c>
      <c r="F24" t="e">
        <f>NA()</f>
        <v>#N/A</v>
      </c>
      <c r="G24" s="1">
        <f t="shared" ref="G24:N26" si="5">INDEX($F$124:$M$175,MATCH($C24&amp;"."&amp;$B24,$B$124:$B$175,0),MATCH(G$6,$F$123:$M$123,0))</f>
        <v>987165.88024849549</v>
      </c>
      <c r="H24" s="1">
        <f t="shared" si="5"/>
        <v>861092.9683437401</v>
      </c>
      <c r="I24" s="1">
        <f t="shared" si="5"/>
        <v>1827681.9480824457</v>
      </c>
      <c r="J24" s="1">
        <f t="shared" si="5"/>
        <v>2796386.7184260576</v>
      </c>
      <c r="K24" s="1">
        <f t="shared" si="5"/>
        <v>3071606.0658979146</v>
      </c>
      <c r="L24" s="1">
        <f t="shared" si="5"/>
        <v>3312837.7940740013</v>
      </c>
      <c r="M24" s="1">
        <f t="shared" si="5"/>
        <v>3235510.8996521374</v>
      </c>
      <c r="N24" s="1">
        <f t="shared" si="5"/>
        <v>505412.30841988756</v>
      </c>
      <c r="O24" s="154">
        <f>SUMIFS(T$115:T$154,$Q$115:$Q$154,$C24,$S$115:$S$154,$B24)</f>
        <v>23.305902969622899</v>
      </c>
      <c r="P24" s="154">
        <f>SUMIFS(U$115:U$154,$Q$115:$Q$154,$C24,$S$115:$S$154,$B24)</f>
        <v>86.877966688393229</v>
      </c>
      <c r="Q24" s="154">
        <f>SUMIFS(V$115:V$154,$Q$115:$Q$154,$C24,$S$115:$S$154,$B24)</f>
        <v>101.97549685701344</v>
      </c>
      <c r="R24" s="154">
        <f>SUMIFS(W$115:W$154,$Q$115:$Q$154,$C24,$S$115:$S$154,$B24)</f>
        <v>112.3842139955884</v>
      </c>
      <c r="S24" s="154">
        <f>SUMIFS(X$115:X$154,$Q$115:$Q$154,$C24,$S$115:$S$154,$B24)</f>
        <v>117.16670901505024</v>
      </c>
      <c r="T24" s="154">
        <f>SUMIFS(Y$115:Y$154,$Q$115:$Q$154,$C24,$S$115:$S$154,$B24)</f>
        <v>124.10565737579955</v>
      </c>
      <c r="U24" s="154">
        <f>SUMIFS(Z$115:Z$154,$Q$115:$Q$154,$C24,$S$115:$S$154,$B24)</f>
        <v>126.9190630328071</v>
      </c>
      <c r="V24" s="154">
        <f>SUMIFS(AA$115:AA$154,$Q$115:$Q$154,$C24,$S$115:$S$154,$B24)</f>
        <v>129.82615067923123</v>
      </c>
    </row>
    <row r="25" spans="1:23">
      <c r="A25" t="s">
        <v>4</v>
      </c>
      <c r="B25" t="s">
        <v>20</v>
      </c>
      <c r="C25" t="s">
        <v>16</v>
      </c>
      <c r="D25" t="s">
        <v>13</v>
      </c>
      <c r="E25" t="e">
        <f>NA()</f>
        <v>#N/A</v>
      </c>
      <c r="F25" t="e">
        <f>NA()</f>
        <v>#N/A</v>
      </c>
      <c r="G25" s="1">
        <f t="shared" si="5"/>
        <v>471950.59866921412</v>
      </c>
      <c r="H25" s="1">
        <f t="shared" si="5"/>
        <v>0</v>
      </c>
      <c r="I25" s="1">
        <f t="shared" si="5"/>
        <v>308290.54717534827</v>
      </c>
      <c r="J25" s="1">
        <f t="shared" si="5"/>
        <v>311630.37994715961</v>
      </c>
      <c r="K25" s="1">
        <f t="shared" si="5"/>
        <v>222341.30037995559</v>
      </c>
      <c r="L25" s="1">
        <f t="shared" si="5"/>
        <v>85322.723421033748</v>
      </c>
      <c r="M25" s="1">
        <f t="shared" si="5"/>
        <v>107403.522317454</v>
      </c>
      <c r="N25" s="1">
        <f t="shared" si="5"/>
        <v>17905.216431285404</v>
      </c>
      <c r="O25" s="154">
        <f>SUMIFS(T$115:T$154,$Q$115:$Q$154,$C25,$S$115:$S$154,$B25)</f>
        <v>32.7896200185357</v>
      </c>
      <c r="P25" s="154">
        <f>SUMIFS(U$115:U$154,$Q$115:$Q$154,$C25,$S$115:$S$154,$B25)</f>
        <v>86.877966688393229</v>
      </c>
      <c r="Q25" s="154">
        <f>SUMIFS(V$115:V$154,$Q$115:$Q$154,$C25,$S$115:$S$154,$B25)</f>
        <v>101.97549685701344</v>
      </c>
      <c r="R25" s="154">
        <f>SUMIFS(W$115:W$154,$Q$115:$Q$154,$C25,$S$115:$S$154,$B25)</f>
        <v>112.3842139955884</v>
      </c>
      <c r="S25" s="154">
        <f>SUMIFS(X$115:X$154,$Q$115:$Q$154,$C25,$S$115:$S$154,$B25)</f>
        <v>117.16670901505024</v>
      </c>
      <c r="T25" s="154">
        <f>SUMIFS(Y$115:Y$154,$Q$115:$Q$154,$C25,$S$115:$S$154,$B25)</f>
        <v>124.10565737579955</v>
      </c>
      <c r="U25" s="154">
        <f>SUMIFS(Z$115:Z$154,$Q$115:$Q$154,$C25,$S$115:$S$154,$B25)</f>
        <v>126.9190630328071</v>
      </c>
      <c r="V25" s="154">
        <f>SUMIFS(AA$115:AA$154,$Q$115:$Q$154,$C25,$S$115:$S$154,$B25)</f>
        <v>129.82615067923123</v>
      </c>
    </row>
    <row r="26" spans="1:23">
      <c r="A26" t="s">
        <v>4</v>
      </c>
      <c r="B26" t="s">
        <v>20</v>
      </c>
      <c r="C26" t="s">
        <v>17</v>
      </c>
      <c r="D26" t="s">
        <v>13</v>
      </c>
      <c r="E26" t="e">
        <f>NA()</f>
        <v>#N/A</v>
      </c>
      <c r="F26" t="e">
        <f>NA()</f>
        <v>#N/A</v>
      </c>
      <c r="G26" s="1">
        <f t="shared" si="5"/>
        <v>8035037.0145081012</v>
      </c>
      <c r="H26" s="1">
        <f t="shared" si="5"/>
        <v>7129057.7961110668</v>
      </c>
      <c r="I26" s="1">
        <f t="shared" si="5"/>
        <v>7328282.5729993172</v>
      </c>
      <c r="J26" s="1">
        <f t="shared" si="5"/>
        <v>7100329.7229917385</v>
      </c>
      <c r="K26" s="1">
        <f t="shared" si="5"/>
        <v>4636287.6580170961</v>
      </c>
      <c r="L26" s="1">
        <f t="shared" si="5"/>
        <v>4110184.5651911083</v>
      </c>
      <c r="M26" s="1">
        <f t="shared" si="5"/>
        <v>2572247.2848701202</v>
      </c>
      <c r="N26" s="1">
        <f t="shared" si="5"/>
        <v>790954.97179232421</v>
      </c>
      <c r="O26" s="154">
        <f>SUMIFS(T$115:T$154,$Q$115:$Q$154,$C26,$S$115:$S$154,$B26)</f>
        <v>38.3946500286862</v>
      </c>
      <c r="P26" s="154">
        <f>SUMIFS(U$115:U$154,$Q$115:$Q$154,$C26,$S$115:$S$154,$B26)</f>
        <v>86.877966688393229</v>
      </c>
      <c r="Q26" s="154">
        <f>SUMIFS(V$115:V$154,$Q$115:$Q$154,$C26,$S$115:$S$154,$B26)</f>
        <v>101.97549685701344</v>
      </c>
      <c r="R26" s="154">
        <f>SUMIFS(W$115:W$154,$Q$115:$Q$154,$C26,$S$115:$S$154,$B26)</f>
        <v>112.3842139955884</v>
      </c>
      <c r="S26" s="154">
        <f>SUMIFS(X$115:X$154,$Q$115:$Q$154,$C26,$S$115:$S$154,$B26)</f>
        <v>117.16670901505024</v>
      </c>
      <c r="T26" s="154">
        <f>SUMIFS(Y$115:Y$154,$Q$115:$Q$154,$C26,$S$115:$S$154,$B26)</f>
        <v>124.10565737579955</v>
      </c>
      <c r="U26" s="154">
        <f>SUMIFS(Z$115:Z$154,$Q$115:$Q$154,$C26,$S$115:$S$154,$B26)</f>
        <v>126.9190630328071</v>
      </c>
      <c r="V26" s="154">
        <f>SUMIFS(AA$115:AA$154,$Q$115:$Q$154,$C26,$S$115:$S$154,$B26)</f>
        <v>129.82615067923123</v>
      </c>
    </row>
    <row r="27" spans="1:23">
      <c r="G27" s="1"/>
      <c r="H27" s="1"/>
      <c r="I27" s="1"/>
      <c r="J27" s="1"/>
      <c r="K27" s="1"/>
      <c r="L27" s="1"/>
      <c r="M27" s="1"/>
      <c r="N27" s="1"/>
      <c r="O27" s="154"/>
      <c r="P27" s="154"/>
      <c r="Q27" s="154"/>
      <c r="R27" s="154"/>
      <c r="S27" s="154"/>
      <c r="T27" s="154"/>
      <c r="U27" s="154"/>
      <c r="V27" s="154"/>
    </row>
    <row r="28" spans="1:23">
      <c r="A28" t="s">
        <v>4</v>
      </c>
      <c r="B28" t="s">
        <v>21</v>
      </c>
      <c r="C28" t="s">
        <v>12</v>
      </c>
      <c r="D28" t="s">
        <v>13</v>
      </c>
      <c r="E28" t="e">
        <f>NA()</f>
        <v>#N/A</v>
      </c>
      <c r="F28" t="e">
        <f>NA()</f>
        <v>#N/A</v>
      </c>
      <c r="G28" s="1">
        <f t="shared" ref="G28:N28" si="6">INDEX($F$124:$M$175,MATCH($C28&amp;"."&amp;$B28,$B$124:$B$175,0),MATCH(G$6,$F$123:$M$123,0))</f>
        <v>6706152.0955656618</v>
      </c>
      <c r="H28" s="1">
        <f t="shared" si="6"/>
        <v>13936802.34363615</v>
      </c>
      <c r="I28" s="1">
        <f t="shared" si="6"/>
        <v>13429319.477037651</v>
      </c>
      <c r="J28" s="1">
        <f t="shared" si="6"/>
        <v>14443443.116787661</v>
      </c>
      <c r="K28" s="1">
        <f t="shared" si="6"/>
        <v>19208570.310340982</v>
      </c>
      <c r="L28" s="1">
        <f t="shared" si="6"/>
        <v>19737238.551186319</v>
      </c>
      <c r="M28" s="1">
        <f t="shared" si="6"/>
        <v>19584917.188930467</v>
      </c>
      <c r="N28" s="1">
        <f t="shared" si="6"/>
        <v>17289143.838449109</v>
      </c>
      <c r="O28" s="154">
        <f>SUMIFS(T$115:T$154,$Q$115:$Q$154,$C28,$S$115:$S$154,$B28)</f>
        <v>38</v>
      </c>
      <c r="P28" s="154">
        <f>SUMIFS(U$115:U$154,$Q$115:$Q$154,$C28,$S$115:$S$154,$B28)</f>
        <v>56.30817839348645</v>
      </c>
      <c r="Q28" s="154">
        <f>SUMIFS(V$115:V$154,$Q$115:$Q$154,$C28,$S$115:$S$154,$B28)</f>
        <v>63.059762775402582</v>
      </c>
      <c r="R28" s="154">
        <f>SUMIFS(W$115:W$154,$Q$115:$Q$154,$C28,$S$115:$S$154,$B28)</f>
        <v>68.592302905099118</v>
      </c>
      <c r="S28" s="154">
        <f>SUMIFS(X$115:X$154,$Q$115:$Q$154,$C28,$S$115:$S$154,$B28)</f>
        <v>73.281115935144371</v>
      </c>
      <c r="T28" s="154">
        <f>SUMIFS(Y$115:Y$154,$Q$115:$Q$154,$C28,$S$115:$S$154,$B28)</f>
        <v>75.719204439583592</v>
      </c>
      <c r="U28" s="154">
        <f>SUMIFS(Z$115:Z$154,$Q$115:$Q$154,$C28,$S$115:$S$154,$B28)</f>
        <v>77.312976649469533</v>
      </c>
      <c r="V28" s="154">
        <f>SUMIFS(AA$115:AA$154,$Q$115:$Q$154,$C28,$S$115:$S$154,$B28)</f>
        <v>78.438338912272556</v>
      </c>
    </row>
    <row r="29" spans="1:23">
      <c r="A29" t="s">
        <v>4</v>
      </c>
      <c r="B29" t="s">
        <v>21</v>
      </c>
      <c r="C29" t="s">
        <v>14</v>
      </c>
      <c r="D29" t="s">
        <v>13</v>
      </c>
      <c r="E29" t="e">
        <f>NA()</f>
        <v>#N/A</v>
      </c>
      <c r="F29" t="e">
        <f>NA()</f>
        <v>#N/A</v>
      </c>
      <c r="G29" s="198">
        <v>0</v>
      </c>
      <c r="H29" s="198">
        <v>0</v>
      </c>
      <c r="I29" s="198">
        <v>0</v>
      </c>
      <c r="J29" s="198">
        <v>0</v>
      </c>
      <c r="K29" s="198">
        <v>0</v>
      </c>
      <c r="L29" s="198">
        <v>0</v>
      </c>
      <c r="M29" s="198">
        <v>0</v>
      </c>
      <c r="N29" s="198">
        <v>0</v>
      </c>
      <c r="O29" s="154">
        <f>SUMIFS(T$115:T$154,$Q$115:$Q$154,$C29,$S$115:$S$154,$B29)</f>
        <v>63.29</v>
      </c>
      <c r="P29" s="154">
        <f>SUMIFS(U$115:U$154,$Q$115:$Q$154,$C29,$S$115:$S$154,$B29)</f>
        <v>56.30817839348645</v>
      </c>
      <c r="Q29" s="154">
        <f>SUMIFS(V$115:V$154,$Q$115:$Q$154,$C29,$S$115:$S$154,$B29)</f>
        <v>63.059762775402582</v>
      </c>
      <c r="R29" s="154">
        <f>SUMIFS(W$115:W$154,$Q$115:$Q$154,$C29,$S$115:$S$154,$B29)</f>
        <v>68.592302905099118</v>
      </c>
      <c r="S29" s="154">
        <f>SUMIFS(X$115:X$154,$Q$115:$Q$154,$C29,$S$115:$S$154,$B29)</f>
        <v>73.281115935144371</v>
      </c>
      <c r="T29" s="154">
        <f>SUMIFS(Y$115:Y$154,$Q$115:$Q$154,$C29,$S$115:$S$154,$B29)</f>
        <v>75.719204439583592</v>
      </c>
      <c r="U29" s="154">
        <f>SUMIFS(Z$115:Z$154,$Q$115:$Q$154,$C29,$S$115:$S$154,$B29)</f>
        <v>77.312976649469533</v>
      </c>
      <c r="V29" s="154">
        <f>SUMIFS(AA$115:AA$154,$Q$115:$Q$154,$C29,$S$115:$S$154,$B29)</f>
        <v>78.438338912272556</v>
      </c>
    </row>
    <row r="30" spans="1:23">
      <c r="A30" t="s">
        <v>4</v>
      </c>
      <c r="B30" t="s">
        <v>473</v>
      </c>
      <c r="C30" t="s">
        <v>14</v>
      </c>
      <c r="D30" t="s">
        <v>13</v>
      </c>
      <c r="E30" t="e">
        <f>NA()</f>
        <v>#N/A</v>
      </c>
      <c r="F30" t="e">
        <f>NA()</f>
        <v>#N/A</v>
      </c>
      <c r="G30" s="1">
        <f t="shared" ref="G30:N33" si="7">INDEX($F$124:$M$175,MATCH($C30&amp;"."&amp;$B30,$B$124:$B$175,0),MATCH(G$6,$F$123:$M$123,0))</f>
        <v>2673000</v>
      </c>
      <c r="H30" s="1">
        <f t="shared" si="7"/>
        <v>3098700</v>
      </c>
      <c r="I30" s="1">
        <f t="shared" si="7"/>
        <v>5346000</v>
      </c>
      <c r="J30" s="1">
        <f t="shared" si="7"/>
        <v>7712100</v>
      </c>
      <c r="K30" s="1">
        <f t="shared" si="7"/>
        <v>15057900</v>
      </c>
      <c r="L30" s="1">
        <f t="shared" si="7"/>
        <v>12741300</v>
      </c>
      <c r="M30" s="1">
        <f t="shared" si="7"/>
        <v>11691899.999999998</v>
      </c>
      <c r="N30" s="1">
        <f t="shared" si="7"/>
        <v>10543500</v>
      </c>
      <c r="O30" s="154">
        <f>SUMIFS(T$115:T$154,$Q$115:$Q$154,$C30,$S$115:$S$154,$B30)</f>
        <v>0</v>
      </c>
      <c r="P30" s="154">
        <f>SUMIFS(U$115:U$154,$Q$115:$Q$154,$C30,$S$115:$S$154,$B30)</f>
        <v>0</v>
      </c>
      <c r="Q30" s="154">
        <f>SUMIFS(V$115:V$154,$Q$115:$Q$154,$C30,$S$115:$S$154,$B30)</f>
        <v>0</v>
      </c>
      <c r="R30" s="154">
        <f>SUMIFS(W$115:W$154,$Q$115:$Q$154,$C30,$S$115:$S$154,$B30)</f>
        <v>0</v>
      </c>
      <c r="S30" s="154">
        <f>SUMIFS(X$115:X$154,$Q$115:$Q$154,$C30,$S$115:$S$154,$B30)</f>
        <v>0</v>
      </c>
      <c r="T30" s="154">
        <f>SUMIFS(Y$115:Y$154,$Q$115:$Q$154,$C30,$S$115:$S$154,$B30)</f>
        <v>0</v>
      </c>
      <c r="U30" s="154">
        <f>SUMIFS(Z$115:Z$154,$Q$115:$Q$154,$C30,$S$115:$S$154,$B30)</f>
        <v>0</v>
      </c>
      <c r="V30" s="154">
        <f>SUMIFS(AA$115:AA$154,$Q$115:$Q$154,$C30,$S$115:$S$154,$B30)</f>
        <v>0</v>
      </c>
    </row>
    <row r="31" spans="1:23">
      <c r="A31" t="s">
        <v>4</v>
      </c>
      <c r="B31" t="s">
        <v>21</v>
      </c>
      <c r="C31" t="s">
        <v>15</v>
      </c>
      <c r="D31" t="s">
        <v>13</v>
      </c>
      <c r="E31" t="e">
        <f>NA()</f>
        <v>#N/A</v>
      </c>
      <c r="F31" t="e">
        <f>NA()</f>
        <v>#N/A</v>
      </c>
      <c r="G31" s="1">
        <f t="shared" si="7"/>
        <v>91879646.103811458</v>
      </c>
      <c r="H31" s="1">
        <f t="shared" si="7"/>
        <v>73969428.038254932</v>
      </c>
      <c r="I31" s="1">
        <f t="shared" si="7"/>
        <v>101205591.63020658</v>
      </c>
      <c r="J31" s="1">
        <f t="shared" si="7"/>
        <v>107722229.6100644</v>
      </c>
      <c r="K31" s="1">
        <f t="shared" si="7"/>
        <v>148608881.27139977</v>
      </c>
      <c r="L31" s="1">
        <f t="shared" si="7"/>
        <v>153069664.83605677</v>
      </c>
      <c r="M31" s="1">
        <f t="shared" si="7"/>
        <v>151250117.05345312</v>
      </c>
      <c r="N31" s="1">
        <f t="shared" si="7"/>
        <v>123424489.79558875</v>
      </c>
      <c r="O31" s="154">
        <f>SUMIFS(T$115:T$154,$Q$115:$Q$154,$C31,$S$115:$S$154,$B31)</f>
        <v>29.5</v>
      </c>
      <c r="P31" s="154">
        <f>SUMIFS(U$115:U$154,$Q$115:$Q$154,$C31,$S$115:$S$154,$B31)</f>
        <v>56.30817839348645</v>
      </c>
      <c r="Q31" s="154">
        <f>SUMIFS(V$115:V$154,$Q$115:$Q$154,$C31,$S$115:$S$154,$B31)</f>
        <v>63.059762775402582</v>
      </c>
      <c r="R31" s="154">
        <f>SUMIFS(W$115:W$154,$Q$115:$Q$154,$C31,$S$115:$S$154,$B31)</f>
        <v>68.592302905099118</v>
      </c>
      <c r="S31" s="154">
        <f>SUMIFS(X$115:X$154,$Q$115:$Q$154,$C31,$S$115:$S$154,$B31)</f>
        <v>73.281115935144371</v>
      </c>
      <c r="T31" s="154">
        <f>SUMIFS(Y$115:Y$154,$Q$115:$Q$154,$C31,$S$115:$S$154,$B31)</f>
        <v>75.719204439583592</v>
      </c>
      <c r="U31" s="154">
        <f>SUMIFS(Z$115:Z$154,$Q$115:$Q$154,$C31,$S$115:$S$154,$B31)</f>
        <v>77.312976649469533</v>
      </c>
      <c r="V31" s="154">
        <f>SUMIFS(AA$115:AA$154,$Q$115:$Q$154,$C31,$S$115:$S$154,$B31)</f>
        <v>78.438338912272556</v>
      </c>
    </row>
    <row r="32" spans="1:23">
      <c r="A32" t="s">
        <v>4</v>
      </c>
      <c r="B32" t="s">
        <v>21</v>
      </c>
      <c r="C32" t="s">
        <v>16</v>
      </c>
      <c r="D32" t="s">
        <v>13</v>
      </c>
      <c r="E32" t="e">
        <f>NA()</f>
        <v>#N/A</v>
      </c>
      <c r="F32" t="e">
        <f>NA()</f>
        <v>#N/A</v>
      </c>
      <c r="G32" s="1">
        <f t="shared" si="7"/>
        <v>25494984.986944769</v>
      </c>
      <c r="H32" s="1">
        <f t="shared" si="7"/>
        <v>22102503.81462159</v>
      </c>
      <c r="I32" s="1">
        <f t="shared" si="7"/>
        <v>23433783.796855375</v>
      </c>
      <c r="J32" s="1">
        <f t="shared" si="7"/>
        <v>11927007.535156759</v>
      </c>
      <c r="K32" s="1">
        <f t="shared" si="7"/>
        <v>9941925.832129864</v>
      </c>
      <c r="L32" s="1">
        <f t="shared" si="7"/>
        <v>53435115.643548772</v>
      </c>
      <c r="M32" s="1">
        <f t="shared" si="7"/>
        <v>55320585.443686828</v>
      </c>
      <c r="N32" s="1">
        <f t="shared" si="7"/>
        <v>38889687.315191127</v>
      </c>
      <c r="O32" s="154">
        <f>SUMIFS(T$115:T$154,$Q$115:$Q$154,$C32,$S$115:$S$154,$B32)</f>
        <v>42.2</v>
      </c>
      <c r="P32" s="154">
        <f>SUMIFS(U$115:U$154,$Q$115:$Q$154,$C32,$S$115:$S$154,$B32)</f>
        <v>56.30817839348645</v>
      </c>
      <c r="Q32" s="154">
        <f>SUMIFS(V$115:V$154,$Q$115:$Q$154,$C32,$S$115:$S$154,$B32)</f>
        <v>63.059762775402582</v>
      </c>
      <c r="R32" s="154">
        <f>SUMIFS(W$115:W$154,$Q$115:$Q$154,$C32,$S$115:$S$154,$B32)</f>
        <v>68.592302905099118</v>
      </c>
      <c r="S32" s="154">
        <f>SUMIFS(X$115:X$154,$Q$115:$Q$154,$C32,$S$115:$S$154,$B32)</f>
        <v>73.281115935144371</v>
      </c>
      <c r="T32" s="154">
        <f>SUMIFS(Y$115:Y$154,$Q$115:$Q$154,$C32,$S$115:$S$154,$B32)</f>
        <v>75.719204439583592</v>
      </c>
      <c r="U32" s="154">
        <f>SUMIFS(Z$115:Z$154,$Q$115:$Q$154,$C32,$S$115:$S$154,$B32)</f>
        <v>77.312976649469533</v>
      </c>
      <c r="V32" s="154">
        <f>SUMIFS(AA$115:AA$154,$Q$115:$Q$154,$C32,$S$115:$S$154,$B32)</f>
        <v>78.438338912272556</v>
      </c>
    </row>
    <row r="33" spans="1:22">
      <c r="A33" t="s">
        <v>4</v>
      </c>
      <c r="B33" t="s">
        <v>21</v>
      </c>
      <c r="C33" t="s">
        <v>17</v>
      </c>
      <c r="D33" t="s">
        <v>13</v>
      </c>
      <c r="E33" t="e">
        <f>NA()</f>
        <v>#N/A</v>
      </c>
      <c r="F33" t="e">
        <f>NA()</f>
        <v>#N/A</v>
      </c>
      <c r="G33" s="1">
        <f t="shared" si="7"/>
        <v>109190007.43939728</v>
      </c>
      <c r="H33" s="1">
        <f t="shared" si="7"/>
        <v>124904448.59117445</v>
      </c>
      <c r="I33" s="1">
        <f t="shared" si="7"/>
        <v>123003190.60945939</v>
      </c>
      <c r="J33" s="1">
        <f t="shared" si="7"/>
        <v>121222677.48178104</v>
      </c>
      <c r="K33" s="1">
        <f t="shared" si="7"/>
        <v>135012943.76575994</v>
      </c>
      <c r="L33" s="1">
        <f t="shared" si="7"/>
        <v>165949662.54158127</v>
      </c>
      <c r="M33" s="1">
        <f t="shared" si="7"/>
        <v>145277769.02369347</v>
      </c>
      <c r="N33" s="1">
        <f t="shared" si="7"/>
        <v>142296187.69353238</v>
      </c>
      <c r="O33" s="154">
        <f>SUMIFS(T$115:T$154,$Q$115:$Q$154,$C33,$S$115:$S$154,$B33)</f>
        <v>41.822222222222202</v>
      </c>
      <c r="P33" s="154">
        <f>SUMIFS(U$115:U$154,$Q$115:$Q$154,$C33,$S$115:$S$154,$B33)</f>
        <v>56.30817839348645</v>
      </c>
      <c r="Q33" s="154">
        <f>SUMIFS(V$115:V$154,$Q$115:$Q$154,$C33,$S$115:$S$154,$B33)</f>
        <v>63.059762775402582</v>
      </c>
      <c r="R33" s="154">
        <f>SUMIFS(W$115:W$154,$Q$115:$Q$154,$C33,$S$115:$S$154,$B33)</f>
        <v>68.592302905099118</v>
      </c>
      <c r="S33" s="154">
        <f>SUMIFS(X$115:X$154,$Q$115:$Q$154,$C33,$S$115:$S$154,$B33)</f>
        <v>73.281115935144371</v>
      </c>
      <c r="T33" s="154">
        <f>SUMIFS(Y$115:Y$154,$Q$115:$Q$154,$C33,$S$115:$S$154,$B33)</f>
        <v>75.719204439583592</v>
      </c>
      <c r="U33" s="154">
        <f>SUMIFS(Z$115:Z$154,$Q$115:$Q$154,$C33,$S$115:$S$154,$B33)</f>
        <v>77.312976649469533</v>
      </c>
      <c r="V33" s="154">
        <f>SUMIFS(AA$115:AA$154,$Q$115:$Q$154,$C33,$S$115:$S$154,$B33)</f>
        <v>78.438338912272556</v>
      </c>
    </row>
    <row r="34" spans="1:22">
      <c r="G34" s="1"/>
      <c r="H34" s="1"/>
      <c r="I34" s="1"/>
      <c r="J34" s="1"/>
      <c r="K34" s="1"/>
      <c r="L34" s="1"/>
      <c r="M34" s="1"/>
      <c r="N34" s="1"/>
      <c r="O34" s="154"/>
      <c r="P34" s="154"/>
      <c r="Q34" s="154"/>
      <c r="R34" s="154"/>
      <c r="S34" s="154"/>
      <c r="T34" s="154"/>
      <c r="U34" s="154"/>
      <c r="V34" s="154"/>
    </row>
    <row r="35" spans="1:22">
      <c r="A35" t="s">
        <v>4</v>
      </c>
      <c r="B35" t="s">
        <v>22</v>
      </c>
      <c r="C35" t="s">
        <v>14</v>
      </c>
      <c r="D35" t="s">
        <v>13</v>
      </c>
      <c r="E35" t="e">
        <f>NA()</f>
        <v>#N/A</v>
      </c>
      <c r="F35" t="e">
        <f>NA()</f>
        <v>#N/A</v>
      </c>
      <c r="G35" s="1">
        <f t="shared" ref="G35:N37" si="8">INDEX($F$124:$M$175,MATCH($C35&amp;"."&amp;$B35,$B$124:$B$175,0),MATCH(G$6,$F$123:$M$123,0))</f>
        <v>23424740</v>
      </c>
      <c r="H35" s="1">
        <f t="shared" si="8"/>
        <v>20661040</v>
      </c>
      <c r="I35" s="1">
        <f t="shared" si="8"/>
        <v>15228940</v>
      </c>
      <c r="J35" s="1">
        <f t="shared" si="8"/>
        <v>8395930</v>
      </c>
      <c r="K35" s="1">
        <f t="shared" si="8"/>
        <v>0</v>
      </c>
      <c r="L35" s="1">
        <f t="shared" si="8"/>
        <v>0</v>
      </c>
      <c r="M35" s="1">
        <f t="shared" si="8"/>
        <v>0</v>
      </c>
      <c r="N35" s="1">
        <f t="shared" si="8"/>
        <v>0</v>
      </c>
      <c r="O35" s="154">
        <f>SUMIFS(T$115:T$154,$Q$115:$Q$154,$C35,$S$115:$S$154,$B35)</f>
        <v>1.881</v>
      </c>
      <c r="P35" s="154">
        <f>SUMIFS(U$115:U$154,$Q$115:$Q$154,$C35,$S$115:$S$154,$B35)</f>
        <v>1.881</v>
      </c>
      <c r="Q35" s="154">
        <f>SUMIFS(V$115:V$154,$Q$115:$Q$154,$C35,$S$115:$S$154,$B35)</f>
        <v>1.881</v>
      </c>
      <c r="R35" s="154">
        <f>SUMIFS(W$115:W$154,$Q$115:$Q$154,$C35,$S$115:$S$154,$B35)</f>
        <v>1.881</v>
      </c>
      <c r="S35" s="154">
        <f>SUMIFS(X$115:X$154,$Q$115:$Q$154,$C35,$S$115:$S$154,$B35)</f>
        <v>1.881</v>
      </c>
      <c r="T35" s="154">
        <f>SUMIFS(Y$115:Y$154,$Q$115:$Q$154,$C35,$S$115:$S$154,$B35)</f>
        <v>1.881</v>
      </c>
      <c r="U35" s="154">
        <f>SUMIFS(Z$115:Z$154,$Q$115:$Q$154,$C35,$S$115:$S$154,$B35)</f>
        <v>1.881</v>
      </c>
      <c r="V35" s="154">
        <f>SUMIFS(AA$115:AA$154,$Q$115:$Q$154,$C35,$S$115:$S$154,$B35)</f>
        <v>1.881</v>
      </c>
    </row>
    <row r="36" spans="1:22">
      <c r="A36" t="s">
        <v>4</v>
      </c>
      <c r="B36" t="s">
        <v>22</v>
      </c>
      <c r="C36" t="s">
        <v>15</v>
      </c>
      <c r="D36" t="s">
        <v>13</v>
      </c>
      <c r="E36" t="e">
        <f>NA()</f>
        <v>#N/A</v>
      </c>
      <c r="F36" t="e">
        <f>NA()</f>
        <v>#N/A</v>
      </c>
      <c r="G36" s="1">
        <f t="shared" si="8"/>
        <v>92360843.101629689</v>
      </c>
      <c r="H36" s="1">
        <f t="shared" si="8"/>
        <v>32849068.858940128</v>
      </c>
      <c r="I36" s="1">
        <f t="shared" si="8"/>
        <v>0</v>
      </c>
      <c r="J36" s="1">
        <f t="shared" si="8"/>
        <v>0</v>
      </c>
      <c r="K36" s="1">
        <f t="shared" si="8"/>
        <v>0</v>
      </c>
      <c r="L36" s="1">
        <f t="shared" si="8"/>
        <v>0</v>
      </c>
      <c r="M36" s="1">
        <f t="shared" si="8"/>
        <v>0</v>
      </c>
      <c r="N36" s="1">
        <f t="shared" si="8"/>
        <v>0</v>
      </c>
      <c r="O36" s="154">
        <f>SUMIFS(T$115:T$154,$Q$115:$Q$154,$C36,$S$115:$S$154,$B36)</f>
        <v>1.881</v>
      </c>
      <c r="P36" s="154">
        <f>SUMIFS(U$115:U$154,$Q$115:$Q$154,$C36,$S$115:$S$154,$B36)</f>
        <v>1.881</v>
      </c>
      <c r="Q36" s="154">
        <f>SUMIFS(V$115:V$154,$Q$115:$Q$154,$C36,$S$115:$S$154,$B36)</f>
        <v>1.881</v>
      </c>
      <c r="R36" s="154">
        <f>SUMIFS(W$115:W$154,$Q$115:$Q$154,$C36,$S$115:$S$154,$B36)</f>
        <v>1.881</v>
      </c>
      <c r="S36" s="154">
        <f>SUMIFS(X$115:X$154,$Q$115:$Q$154,$C36,$S$115:$S$154,$B36)</f>
        <v>1.881</v>
      </c>
      <c r="T36" s="154">
        <f>SUMIFS(Y$115:Y$154,$Q$115:$Q$154,$C36,$S$115:$S$154,$B36)</f>
        <v>1.881</v>
      </c>
      <c r="U36" s="154">
        <f>SUMIFS(Z$115:Z$154,$Q$115:$Q$154,$C36,$S$115:$S$154,$B36)</f>
        <v>1.881</v>
      </c>
      <c r="V36" s="154">
        <f>SUMIFS(AA$115:AA$154,$Q$115:$Q$154,$C36,$S$115:$S$154,$B36)</f>
        <v>1.881</v>
      </c>
    </row>
    <row r="37" spans="1:22">
      <c r="A37" t="s">
        <v>4</v>
      </c>
      <c r="B37" t="s">
        <v>22</v>
      </c>
      <c r="C37" t="s">
        <v>16</v>
      </c>
      <c r="D37" t="s">
        <v>13</v>
      </c>
      <c r="E37" t="e">
        <f>NA()</f>
        <v>#N/A</v>
      </c>
      <c r="F37" t="e">
        <f>NA()</f>
        <v>#N/A</v>
      </c>
      <c r="G37" s="1">
        <f t="shared" si="8"/>
        <v>423454524.12489945</v>
      </c>
      <c r="H37" s="1">
        <f t="shared" si="8"/>
        <v>377547216.87339461</v>
      </c>
      <c r="I37" s="1">
        <f t="shared" si="8"/>
        <v>367091902.00370854</v>
      </c>
      <c r="J37" s="1">
        <f t="shared" si="8"/>
        <v>366963824.62442666</v>
      </c>
      <c r="K37" s="1">
        <f t="shared" si="8"/>
        <v>361131045.87692714</v>
      </c>
      <c r="L37" s="1">
        <f t="shared" si="8"/>
        <v>285197035.19693631</v>
      </c>
      <c r="M37" s="1">
        <f t="shared" si="8"/>
        <v>270121017.99136853</v>
      </c>
      <c r="N37" s="1">
        <f t="shared" si="8"/>
        <v>234500553.64601052</v>
      </c>
      <c r="O37" s="154">
        <f>SUMIFS(T$115:T$154,$Q$115:$Q$154,$C37,$S$115:$S$154,$B37)</f>
        <v>1.881</v>
      </c>
      <c r="P37" s="154">
        <f>SUMIFS(U$115:U$154,$Q$115:$Q$154,$C37,$S$115:$S$154,$B37)</f>
        <v>1.881</v>
      </c>
      <c r="Q37" s="154">
        <f>SUMIFS(V$115:V$154,$Q$115:$Q$154,$C37,$S$115:$S$154,$B37)</f>
        <v>1.881</v>
      </c>
      <c r="R37" s="154">
        <f>SUMIFS(W$115:W$154,$Q$115:$Q$154,$C37,$S$115:$S$154,$B37)</f>
        <v>1.881</v>
      </c>
      <c r="S37" s="154">
        <f>SUMIFS(X$115:X$154,$Q$115:$Q$154,$C37,$S$115:$S$154,$B37)</f>
        <v>1.881</v>
      </c>
      <c r="T37" s="154">
        <f>SUMIFS(Y$115:Y$154,$Q$115:$Q$154,$C37,$S$115:$S$154,$B37)</f>
        <v>1.881</v>
      </c>
      <c r="U37" s="154">
        <f>SUMIFS(Z$115:Z$154,$Q$115:$Q$154,$C37,$S$115:$S$154,$B37)</f>
        <v>1.881</v>
      </c>
      <c r="V37" s="154">
        <f>SUMIFS(AA$115:AA$154,$Q$115:$Q$154,$C37,$S$115:$S$154,$B37)</f>
        <v>1.881</v>
      </c>
    </row>
    <row r="38" spans="1:22">
      <c r="G38" s="1"/>
      <c r="H38" s="1"/>
      <c r="I38" s="1"/>
      <c r="J38" s="1"/>
      <c r="K38" s="1"/>
      <c r="L38" s="1"/>
      <c r="M38" s="1"/>
      <c r="N38" s="1"/>
      <c r="O38" s="154"/>
      <c r="P38" s="154"/>
      <c r="Q38" s="154"/>
      <c r="R38" s="154"/>
      <c r="S38" s="154"/>
      <c r="T38" s="154"/>
      <c r="U38" s="154"/>
      <c r="V38" s="154"/>
    </row>
    <row r="39" spans="1:22">
      <c r="A39" t="s">
        <v>4</v>
      </c>
      <c r="B39" t="s">
        <v>23</v>
      </c>
      <c r="C39" t="s">
        <v>17</v>
      </c>
      <c r="D39" t="s">
        <v>13</v>
      </c>
      <c r="E39" t="e">
        <f>NA()</f>
        <v>#N/A</v>
      </c>
      <c r="F39" t="e">
        <f>NA()</f>
        <v>#N/A</v>
      </c>
      <c r="G39" s="1">
        <f t="shared" ref="G39:N40" si="9">INDEX($F$124:$M$175,MATCH($C39&amp;"."&amp;$B39,$B$124:$B$175,0),MATCH(G$6,$F$123:$M$123,0))</f>
        <v>5918513.1060000099</v>
      </c>
      <c r="H39" s="1">
        <f t="shared" si="9"/>
        <v>5918513.1059999997</v>
      </c>
      <c r="I39" s="1">
        <f t="shared" si="9"/>
        <v>5918513.1059999997</v>
      </c>
      <c r="J39" s="1">
        <f t="shared" si="9"/>
        <v>5918513.1059999997</v>
      </c>
      <c r="K39" s="1">
        <f t="shared" si="9"/>
        <v>5918513.1059999997</v>
      </c>
      <c r="L39" s="1">
        <f t="shared" si="9"/>
        <v>5918513.1059999997</v>
      </c>
      <c r="M39" s="1">
        <f t="shared" si="9"/>
        <v>5478976.1639999999</v>
      </c>
      <c r="N39" s="1">
        <f t="shared" si="9"/>
        <v>5478976.1640000092</v>
      </c>
      <c r="O39" s="154">
        <f>SUMIFS(T$115:T$154,$Q$115:$Q$154,$C39,$S$115:$S$154,$B39)</f>
        <v>0</v>
      </c>
      <c r="P39" s="154">
        <f>SUMIFS(U$115:U$154,$Q$115:$Q$154,$C39,$S$115:$S$154,$B39)</f>
        <v>0</v>
      </c>
      <c r="Q39" s="154">
        <f>SUMIFS(V$115:V$154,$Q$115:$Q$154,$C39,$S$115:$S$154,$B39)</f>
        <v>0</v>
      </c>
      <c r="R39" s="154">
        <f>SUMIFS(W$115:W$154,$Q$115:$Q$154,$C39,$S$115:$S$154,$B39)</f>
        <v>0</v>
      </c>
      <c r="S39" s="154">
        <f>SUMIFS(X$115:X$154,$Q$115:$Q$154,$C39,$S$115:$S$154,$B39)</f>
        <v>0</v>
      </c>
      <c r="T39" s="154">
        <f>SUMIFS(Y$115:Y$154,$Q$115:$Q$154,$C39,$S$115:$S$154,$B39)</f>
        <v>0</v>
      </c>
      <c r="U39" s="154">
        <f>SUMIFS(Z$115:Z$154,$Q$115:$Q$154,$C39,$S$115:$S$154,$B39)</f>
        <v>0</v>
      </c>
      <c r="V39" s="154">
        <f>SUMIFS(AA$115:AA$154,$Q$115:$Q$154,$C39,$S$115:$S$154,$B39)</f>
        <v>0</v>
      </c>
    </row>
    <row r="40" spans="1:22">
      <c r="A40" t="s">
        <v>4</v>
      </c>
      <c r="B40" t="s">
        <v>23</v>
      </c>
      <c r="C40" t="s">
        <v>14</v>
      </c>
      <c r="D40" t="s">
        <v>13</v>
      </c>
      <c r="E40" t="e">
        <f>NA()</f>
        <v>#N/A</v>
      </c>
      <c r="F40" t="e">
        <f>NA()</f>
        <v>#N/A</v>
      </c>
      <c r="G40" s="1">
        <f t="shared" si="9"/>
        <v>0</v>
      </c>
      <c r="H40" s="1">
        <f t="shared" si="9"/>
        <v>97521.445221445611</v>
      </c>
      <c r="I40" s="1">
        <f t="shared" si="9"/>
        <v>282812.19114219141</v>
      </c>
      <c r="J40" s="1">
        <f t="shared" si="9"/>
        <v>663145.82750582765</v>
      </c>
      <c r="K40" s="1">
        <f t="shared" si="9"/>
        <v>1297035.2214452254</v>
      </c>
      <c r="L40" s="1">
        <f t="shared" si="9"/>
        <v>2252745.3846153845</v>
      </c>
      <c r="M40" s="1">
        <f t="shared" si="9"/>
        <v>3296224.8484848496</v>
      </c>
      <c r="N40" s="1">
        <f t="shared" si="9"/>
        <v>4183670</v>
      </c>
      <c r="O40" s="154">
        <f>SUMIFS(T$115:T$154,$Q$115:$Q$154,$C40,$S$115:$S$154,$B40)</f>
        <v>0</v>
      </c>
      <c r="P40" s="154">
        <f>SUMIFS(U$115:U$154,$Q$115:$Q$154,$C40,$S$115:$S$154,$B40)</f>
        <v>0</v>
      </c>
      <c r="Q40" s="154">
        <f>SUMIFS(V$115:V$154,$Q$115:$Q$154,$C40,$S$115:$S$154,$B40)</f>
        <v>0</v>
      </c>
      <c r="R40" s="154">
        <f>SUMIFS(W$115:W$154,$Q$115:$Q$154,$C40,$S$115:$S$154,$B40)</f>
        <v>0</v>
      </c>
      <c r="S40" s="154">
        <f>SUMIFS(X$115:X$154,$Q$115:$Q$154,$C40,$S$115:$S$154,$B40)</f>
        <v>0</v>
      </c>
      <c r="T40" s="154">
        <f>SUMIFS(Y$115:Y$154,$Q$115:$Q$154,$C40,$S$115:$S$154,$B40)</f>
        <v>0</v>
      </c>
      <c r="U40" s="154">
        <f>SUMIFS(Z$115:Z$154,$Q$115:$Q$154,$C40,$S$115:$S$154,$B40)</f>
        <v>0</v>
      </c>
      <c r="V40" s="154">
        <f>SUMIFS(AA$115:AA$154,$Q$115:$Q$154,$C40,$S$115:$S$154,$B40)</f>
        <v>0</v>
      </c>
    </row>
    <row r="41" spans="1:22">
      <c r="G41" s="1"/>
      <c r="H41" s="1"/>
      <c r="I41" s="1"/>
      <c r="J41" s="1"/>
      <c r="K41" s="1"/>
      <c r="L41" s="1"/>
      <c r="M41" s="1"/>
      <c r="N41" s="1"/>
      <c r="O41" s="154"/>
      <c r="P41" s="154"/>
      <c r="Q41" s="154"/>
      <c r="R41" s="154"/>
      <c r="S41" s="154"/>
      <c r="T41" s="154"/>
      <c r="U41" s="154"/>
      <c r="V41" s="154"/>
    </row>
    <row r="42" spans="1:22">
      <c r="A42" t="s">
        <v>4</v>
      </c>
      <c r="B42" t="s">
        <v>24</v>
      </c>
      <c r="C42" t="s">
        <v>12</v>
      </c>
      <c r="D42" t="s">
        <v>13</v>
      </c>
      <c r="E42" t="e">
        <f>NA()</f>
        <v>#N/A</v>
      </c>
      <c r="F42" t="e">
        <f>NA()</f>
        <v>#N/A</v>
      </c>
      <c r="G42" s="1">
        <f t="shared" ref="G42:N46" si="10">INDEX($F$124:$M$175,MATCH($C42&amp;"."&amp;$B42,$B$124:$B$175,0),MATCH(G$6,$F$123:$M$123,0))</f>
        <v>628843.82735840243</v>
      </c>
      <c r="H42" s="1">
        <f t="shared" si="10"/>
        <v>772052.39119534066</v>
      </c>
      <c r="I42" s="1">
        <f t="shared" si="10"/>
        <v>759052.41226206953</v>
      </c>
      <c r="J42" s="1">
        <f t="shared" si="10"/>
        <v>807503.74290518195</v>
      </c>
      <c r="K42" s="1">
        <f t="shared" si="10"/>
        <v>800670.42742913566</v>
      </c>
      <c r="L42" s="1">
        <f t="shared" si="10"/>
        <v>1025678.5276303918</v>
      </c>
      <c r="M42" s="1">
        <f t="shared" si="10"/>
        <v>984358.56237532489</v>
      </c>
      <c r="N42" s="1">
        <f t="shared" si="10"/>
        <v>840029.36283621169</v>
      </c>
      <c r="O42" s="154">
        <f>SUMIFS(T$115:T$154,$Q$115:$Q$154,$C42,$S$115:$S$154,$B42)</f>
        <v>0.5</v>
      </c>
      <c r="P42" s="154">
        <f>SUMIFS(U$115:U$154,$Q$115:$Q$154,$C42,$S$115:$S$154,$B42)</f>
        <v>0.5</v>
      </c>
      <c r="Q42" s="154">
        <f>SUMIFS(V$115:V$154,$Q$115:$Q$154,$C42,$S$115:$S$154,$B42)</f>
        <v>0.5</v>
      </c>
      <c r="R42" s="154">
        <f>SUMIFS(W$115:W$154,$Q$115:$Q$154,$C42,$S$115:$S$154,$B42)</f>
        <v>0.5</v>
      </c>
      <c r="S42" s="154">
        <f>SUMIFS(X$115:X$154,$Q$115:$Q$154,$C42,$S$115:$S$154,$B42)</f>
        <v>0.5</v>
      </c>
      <c r="T42" s="154">
        <f>SUMIFS(Y$115:Y$154,$Q$115:$Q$154,$C42,$S$115:$S$154,$B42)</f>
        <v>0.5</v>
      </c>
      <c r="U42" s="154">
        <f>SUMIFS(Z$115:Z$154,$Q$115:$Q$154,$C42,$S$115:$S$154,$B42)</f>
        <v>0.5</v>
      </c>
      <c r="V42" s="154">
        <f>SUMIFS(AA$115:AA$154,$Q$115:$Q$154,$C42,$S$115:$S$154,$B42)</f>
        <v>0.5</v>
      </c>
    </row>
    <row r="43" spans="1:22">
      <c r="A43" t="s">
        <v>4</v>
      </c>
      <c r="B43" t="s">
        <v>24</v>
      </c>
      <c r="C43" t="s">
        <v>14</v>
      </c>
      <c r="D43" t="s">
        <v>13</v>
      </c>
      <c r="E43" t="e">
        <f>NA()</f>
        <v>#N/A</v>
      </c>
      <c r="F43" t="e">
        <f>NA()</f>
        <v>#N/A</v>
      </c>
      <c r="G43" s="1">
        <f t="shared" si="10"/>
        <v>1998518.7525000002</v>
      </c>
      <c r="H43" s="1">
        <f t="shared" si="10"/>
        <v>2139377.391397059</v>
      </c>
      <c r="I43" s="1">
        <f t="shared" si="10"/>
        <v>2305846.6919117649</v>
      </c>
      <c r="J43" s="1">
        <f t="shared" si="10"/>
        <v>2421094.6691911803</v>
      </c>
      <c r="K43" s="1">
        <f t="shared" si="10"/>
        <v>2421094.6691911803</v>
      </c>
      <c r="L43" s="1">
        <f t="shared" si="10"/>
        <v>2433900.0000000019</v>
      </c>
      <c r="M43" s="1">
        <f t="shared" si="10"/>
        <v>2433900.0000000019</v>
      </c>
      <c r="N43" s="1">
        <f t="shared" si="10"/>
        <v>2433900.0000000019</v>
      </c>
      <c r="O43" s="154">
        <f>SUMIFS(T$115:T$154,$Q$115:$Q$154,$C43,$S$115:$S$154,$B43)</f>
        <v>0.5</v>
      </c>
      <c r="P43" s="154">
        <f>SUMIFS(U$115:U$154,$Q$115:$Q$154,$C43,$S$115:$S$154,$B43)</f>
        <v>0.5</v>
      </c>
      <c r="Q43" s="154">
        <f>SUMIFS(V$115:V$154,$Q$115:$Q$154,$C43,$S$115:$S$154,$B43)</f>
        <v>0.5</v>
      </c>
      <c r="R43" s="154">
        <f>SUMIFS(W$115:W$154,$Q$115:$Q$154,$C43,$S$115:$S$154,$B43)</f>
        <v>0.5</v>
      </c>
      <c r="S43" s="154">
        <f>SUMIFS(X$115:X$154,$Q$115:$Q$154,$C43,$S$115:$S$154,$B43)</f>
        <v>0.5</v>
      </c>
      <c r="T43" s="154">
        <f>SUMIFS(Y$115:Y$154,$Q$115:$Q$154,$C43,$S$115:$S$154,$B43)</f>
        <v>0.5</v>
      </c>
      <c r="U43" s="154">
        <f>SUMIFS(Z$115:Z$154,$Q$115:$Q$154,$C43,$S$115:$S$154,$B43)</f>
        <v>0.5</v>
      </c>
      <c r="V43" s="154">
        <f>SUMIFS(AA$115:AA$154,$Q$115:$Q$154,$C43,$S$115:$S$154,$B43)</f>
        <v>0.5</v>
      </c>
    </row>
    <row r="44" spans="1:22">
      <c r="A44" t="s">
        <v>4</v>
      </c>
      <c r="B44" t="s">
        <v>24</v>
      </c>
      <c r="C44" t="s">
        <v>15</v>
      </c>
      <c r="D44" t="s">
        <v>13</v>
      </c>
      <c r="E44" t="e">
        <f>NA()</f>
        <v>#N/A</v>
      </c>
      <c r="F44" t="e">
        <f>NA()</f>
        <v>#N/A</v>
      </c>
      <c r="G44" s="1">
        <f t="shared" si="10"/>
        <v>10556220.495000001</v>
      </c>
      <c r="H44" s="1">
        <f t="shared" si="10"/>
        <v>10556220.495000001</v>
      </c>
      <c r="I44" s="1">
        <f t="shared" si="10"/>
        <v>10556220.495000001</v>
      </c>
      <c r="J44" s="1">
        <f t="shared" si="10"/>
        <v>10556220.495000001</v>
      </c>
      <c r="K44" s="1">
        <f t="shared" si="10"/>
        <v>10556220.495000001</v>
      </c>
      <c r="L44" s="1">
        <f t="shared" si="10"/>
        <v>10556220.495000001</v>
      </c>
      <c r="M44" s="1">
        <f t="shared" si="10"/>
        <v>10556220.495000001</v>
      </c>
      <c r="N44" s="1">
        <f t="shared" si="10"/>
        <v>10556220.495000001</v>
      </c>
      <c r="O44" s="154">
        <f>SUMIFS(T$115:T$154,$Q$115:$Q$154,$C44,$S$115:$S$154,$B44)</f>
        <v>0.5</v>
      </c>
      <c r="P44" s="154">
        <f>SUMIFS(U$115:U$154,$Q$115:$Q$154,$C44,$S$115:$S$154,$B44)</f>
        <v>0.5</v>
      </c>
      <c r="Q44" s="154">
        <f>SUMIFS(V$115:V$154,$Q$115:$Q$154,$C44,$S$115:$S$154,$B44)</f>
        <v>0.5</v>
      </c>
      <c r="R44" s="154">
        <f>SUMIFS(W$115:W$154,$Q$115:$Q$154,$C44,$S$115:$S$154,$B44)</f>
        <v>0.5</v>
      </c>
      <c r="S44" s="154">
        <f>SUMIFS(X$115:X$154,$Q$115:$Q$154,$C44,$S$115:$S$154,$B44)</f>
        <v>0.5</v>
      </c>
      <c r="T44" s="154">
        <f>SUMIFS(Y$115:Y$154,$Q$115:$Q$154,$C44,$S$115:$S$154,$B44)</f>
        <v>0.5</v>
      </c>
      <c r="U44" s="154">
        <f>SUMIFS(Z$115:Z$154,$Q$115:$Q$154,$C44,$S$115:$S$154,$B44)</f>
        <v>0.5</v>
      </c>
      <c r="V44" s="154">
        <f>SUMIFS(AA$115:AA$154,$Q$115:$Q$154,$C44,$S$115:$S$154,$B44)</f>
        <v>0.5</v>
      </c>
    </row>
    <row r="45" spans="1:22">
      <c r="A45" t="s">
        <v>4</v>
      </c>
      <c r="B45" t="s">
        <v>24</v>
      </c>
      <c r="C45" t="s">
        <v>16</v>
      </c>
      <c r="D45" t="s">
        <v>13</v>
      </c>
      <c r="E45" t="e">
        <f>NA()</f>
        <v>#N/A</v>
      </c>
      <c r="F45" t="e">
        <f>NA()</f>
        <v>#N/A</v>
      </c>
      <c r="G45" s="1">
        <f t="shared" si="10"/>
        <v>3883260</v>
      </c>
      <c r="H45" s="1">
        <f t="shared" si="10"/>
        <v>6599044.3967947168</v>
      </c>
      <c r="I45" s="1">
        <f t="shared" si="10"/>
        <v>7516572.5650760578</v>
      </c>
      <c r="J45" s="1">
        <f t="shared" si="10"/>
        <v>7824553.2350312704</v>
      </c>
      <c r="K45" s="1">
        <f t="shared" si="10"/>
        <v>7891561.7323740972</v>
      </c>
      <c r="L45" s="1">
        <f t="shared" si="10"/>
        <v>8000035.5462993989</v>
      </c>
      <c r="M45" s="1">
        <f t="shared" si="10"/>
        <v>8205010.3159354748</v>
      </c>
      <c r="N45" s="1">
        <f t="shared" si="10"/>
        <v>8291056.0865338165</v>
      </c>
      <c r="O45" s="154">
        <f>SUMIFS(T$115:T$154,$Q$115:$Q$154,$C45,$S$115:$S$154,$B45)</f>
        <v>0.5</v>
      </c>
      <c r="P45" s="154">
        <f>SUMIFS(U$115:U$154,$Q$115:$Q$154,$C45,$S$115:$S$154,$B45)</f>
        <v>0.5</v>
      </c>
      <c r="Q45" s="154">
        <f>SUMIFS(V$115:V$154,$Q$115:$Q$154,$C45,$S$115:$S$154,$B45)</f>
        <v>0.5</v>
      </c>
      <c r="R45" s="154">
        <f>SUMIFS(W$115:W$154,$Q$115:$Q$154,$C45,$S$115:$S$154,$B45)</f>
        <v>0.5</v>
      </c>
      <c r="S45" s="154">
        <f>SUMIFS(X$115:X$154,$Q$115:$Q$154,$C45,$S$115:$S$154,$B45)</f>
        <v>0.5</v>
      </c>
      <c r="T45" s="154">
        <f>SUMIFS(Y$115:Y$154,$Q$115:$Q$154,$C45,$S$115:$S$154,$B45)</f>
        <v>0.5</v>
      </c>
      <c r="U45" s="154">
        <f>SUMIFS(Z$115:Z$154,$Q$115:$Q$154,$C45,$S$115:$S$154,$B45)</f>
        <v>0.5</v>
      </c>
      <c r="V45" s="154">
        <f>SUMIFS(AA$115:AA$154,$Q$115:$Q$154,$C45,$S$115:$S$154,$B45)</f>
        <v>0.5</v>
      </c>
    </row>
    <row r="46" spans="1:22">
      <c r="A46" t="s">
        <v>4</v>
      </c>
      <c r="B46" t="s">
        <v>24</v>
      </c>
      <c r="C46" t="s">
        <v>17</v>
      </c>
      <c r="D46" t="s">
        <v>13</v>
      </c>
      <c r="E46" t="e">
        <f>NA()</f>
        <v>#N/A</v>
      </c>
      <c r="F46" t="e">
        <f>NA()</f>
        <v>#N/A</v>
      </c>
      <c r="G46" s="1">
        <f t="shared" si="10"/>
        <v>2232417</v>
      </c>
      <c r="H46" s="1">
        <f t="shared" si="10"/>
        <v>2793429.3150946372</v>
      </c>
      <c r="I46" s="1">
        <f t="shared" si="10"/>
        <v>2846947.3544831951</v>
      </c>
      <c r="J46" s="1">
        <f t="shared" si="10"/>
        <v>2814200.6829785998</v>
      </c>
      <c r="K46" s="1">
        <f t="shared" si="10"/>
        <v>2888075.5357396477</v>
      </c>
      <c r="L46" s="1">
        <f t="shared" si="10"/>
        <v>3534344.2969541019</v>
      </c>
      <c r="M46" s="1">
        <f t="shared" si="10"/>
        <v>3540621.7742091478</v>
      </c>
      <c r="N46" s="1">
        <f t="shared" si="10"/>
        <v>3498475.9849488684</v>
      </c>
      <c r="O46" s="154">
        <f>SUMIFS(T$115:T$154,$Q$115:$Q$154,$C46,$S$115:$S$154,$B46)</f>
        <v>0.5</v>
      </c>
      <c r="P46" s="154">
        <f>SUMIFS(U$115:U$154,$Q$115:$Q$154,$C46,$S$115:$S$154,$B46)</f>
        <v>0.5</v>
      </c>
      <c r="Q46" s="154">
        <f>SUMIFS(V$115:V$154,$Q$115:$Q$154,$C46,$S$115:$S$154,$B46)</f>
        <v>0.5</v>
      </c>
      <c r="R46" s="154">
        <f>SUMIFS(W$115:W$154,$Q$115:$Q$154,$C46,$S$115:$S$154,$B46)</f>
        <v>0.5</v>
      </c>
      <c r="S46" s="154">
        <f>SUMIFS(X$115:X$154,$Q$115:$Q$154,$C46,$S$115:$S$154,$B46)</f>
        <v>0.5</v>
      </c>
      <c r="T46" s="154">
        <f>SUMIFS(Y$115:Y$154,$Q$115:$Q$154,$C46,$S$115:$S$154,$B46)</f>
        <v>0.5</v>
      </c>
      <c r="U46" s="154">
        <f>SUMIFS(Z$115:Z$154,$Q$115:$Q$154,$C46,$S$115:$S$154,$B46)</f>
        <v>0.5</v>
      </c>
      <c r="V46" s="154">
        <f>SUMIFS(AA$115:AA$154,$Q$115:$Q$154,$C46,$S$115:$S$154,$B46)</f>
        <v>0.5</v>
      </c>
    </row>
    <row r="47" spans="1:22">
      <c r="G47" s="1"/>
      <c r="H47" s="1"/>
      <c r="I47" s="1"/>
      <c r="J47" s="1"/>
      <c r="K47" s="1"/>
      <c r="L47" s="1"/>
      <c r="M47" s="1"/>
      <c r="N47" s="1"/>
      <c r="O47" s="154"/>
      <c r="P47" s="154"/>
      <c r="Q47" s="154"/>
      <c r="R47" s="154"/>
      <c r="S47" s="154"/>
      <c r="T47" s="154"/>
      <c r="U47" s="154"/>
      <c r="V47" s="154"/>
    </row>
    <row r="48" spans="1:22">
      <c r="A48" t="s">
        <v>4</v>
      </c>
      <c r="B48" t="s">
        <v>25</v>
      </c>
      <c r="C48" t="s">
        <v>12</v>
      </c>
      <c r="D48" t="s">
        <v>13</v>
      </c>
      <c r="E48" t="e">
        <f>NA()</f>
        <v>#N/A</v>
      </c>
      <c r="F48" t="e">
        <f>NA()</f>
        <v>#N/A</v>
      </c>
      <c r="G48" s="1">
        <f t="shared" ref="G48:N52" si="11">INDEX($F$124:$M$175,MATCH($C48&amp;"."&amp;$B48,$B$124:$B$175,0),MATCH(G$6,$F$123:$M$123,0))</f>
        <v>15118028.956862194</v>
      </c>
      <c r="H48" s="1">
        <f t="shared" si="11"/>
        <v>16135879.341940753</v>
      </c>
      <c r="I48" s="1">
        <f t="shared" si="11"/>
        <v>17440415.692088179</v>
      </c>
      <c r="J48" s="1">
        <f t="shared" si="11"/>
        <v>17450514.367631763</v>
      </c>
      <c r="K48" s="1">
        <f t="shared" si="11"/>
        <v>17663854.215685692</v>
      </c>
      <c r="L48" s="1">
        <f t="shared" si="11"/>
        <v>17744118.752142385</v>
      </c>
      <c r="M48" s="1">
        <f t="shared" si="11"/>
        <v>17753828.588872984</v>
      </c>
      <c r="N48" s="1">
        <f t="shared" si="11"/>
        <v>18105633.593002651</v>
      </c>
      <c r="O48" s="154">
        <f>SUMIFS(T$115:T$154,$Q$115:$Q$154,$C48,$S$115:$S$154,$B48)</f>
        <v>0</v>
      </c>
      <c r="P48" s="154">
        <f>SUMIFS(U$115:U$154,$Q$115:$Q$154,$C48,$S$115:$S$154,$B48)</f>
        <v>0</v>
      </c>
      <c r="Q48" s="154">
        <f>SUMIFS(V$115:V$154,$Q$115:$Q$154,$C48,$S$115:$S$154,$B48)</f>
        <v>0</v>
      </c>
      <c r="R48" s="154">
        <f>SUMIFS(W$115:W$154,$Q$115:$Q$154,$C48,$S$115:$S$154,$B48)</f>
        <v>0</v>
      </c>
      <c r="S48" s="154">
        <f>SUMIFS(X$115:X$154,$Q$115:$Q$154,$C48,$S$115:$S$154,$B48)</f>
        <v>0</v>
      </c>
      <c r="T48" s="154">
        <f>SUMIFS(Y$115:Y$154,$Q$115:$Q$154,$C48,$S$115:$S$154,$B48)</f>
        <v>0</v>
      </c>
      <c r="U48" s="154">
        <f>SUMIFS(Z$115:Z$154,$Q$115:$Q$154,$C48,$S$115:$S$154,$B48)</f>
        <v>0</v>
      </c>
      <c r="V48" s="154">
        <f>SUMIFS(AA$115:AA$154,$Q$115:$Q$154,$C48,$S$115:$S$154,$B48)</f>
        <v>0</v>
      </c>
    </row>
    <row r="49" spans="1:22">
      <c r="A49" t="s">
        <v>4</v>
      </c>
      <c r="B49" t="s">
        <v>25</v>
      </c>
      <c r="C49" t="s">
        <v>14</v>
      </c>
      <c r="D49" t="s">
        <v>13</v>
      </c>
      <c r="E49" t="e">
        <f>NA()</f>
        <v>#N/A</v>
      </c>
      <c r="F49" t="e">
        <f>NA()</f>
        <v>#N/A</v>
      </c>
      <c r="G49" s="1">
        <f t="shared" si="11"/>
        <v>22014639.454330746</v>
      </c>
      <c r="H49" s="1">
        <f t="shared" si="11"/>
        <v>20462157.822517857</v>
      </c>
      <c r="I49" s="1">
        <f t="shared" si="11"/>
        <v>20661488.58803384</v>
      </c>
      <c r="J49" s="1">
        <f t="shared" si="11"/>
        <v>20871563.311185833</v>
      </c>
      <c r="K49" s="1">
        <f t="shared" si="11"/>
        <v>21031127.318456743</v>
      </c>
      <c r="L49" s="1">
        <f t="shared" si="11"/>
        <v>21260324.842217799</v>
      </c>
      <c r="M49" s="1">
        <f t="shared" si="11"/>
        <v>21343030.330885757</v>
      </c>
      <c r="N49" s="1">
        <f t="shared" si="11"/>
        <v>21376235.819553725</v>
      </c>
      <c r="O49" s="154">
        <f>SUMIFS(T$115:T$154,$Q$115:$Q$154,$C49,$S$115:$S$154,$B49)</f>
        <v>0</v>
      </c>
      <c r="P49" s="154">
        <f>SUMIFS(U$115:U$154,$Q$115:$Q$154,$C49,$S$115:$S$154,$B49)</f>
        <v>0</v>
      </c>
      <c r="Q49" s="154">
        <f>SUMIFS(V$115:V$154,$Q$115:$Q$154,$C49,$S$115:$S$154,$B49)</f>
        <v>0</v>
      </c>
      <c r="R49" s="154">
        <f>SUMIFS(W$115:W$154,$Q$115:$Q$154,$C49,$S$115:$S$154,$B49)</f>
        <v>0</v>
      </c>
      <c r="S49" s="154">
        <f>SUMIFS(X$115:X$154,$Q$115:$Q$154,$C49,$S$115:$S$154,$B49)</f>
        <v>0</v>
      </c>
      <c r="T49" s="154">
        <f>SUMIFS(Y$115:Y$154,$Q$115:$Q$154,$C49,$S$115:$S$154,$B49)</f>
        <v>0</v>
      </c>
      <c r="U49" s="154">
        <f>SUMIFS(Z$115:Z$154,$Q$115:$Q$154,$C49,$S$115:$S$154,$B49)</f>
        <v>0</v>
      </c>
      <c r="V49" s="154">
        <f>SUMIFS(AA$115:AA$154,$Q$115:$Q$154,$C49,$S$115:$S$154,$B49)</f>
        <v>0</v>
      </c>
    </row>
    <row r="50" spans="1:22">
      <c r="A50" t="s">
        <v>4</v>
      </c>
      <c r="B50" t="s">
        <v>25</v>
      </c>
      <c r="C50" t="s">
        <v>15</v>
      </c>
      <c r="D50" t="s">
        <v>13</v>
      </c>
      <c r="E50" t="e">
        <f>NA()</f>
        <v>#N/A</v>
      </c>
      <c r="F50" t="e">
        <f>NA()</f>
        <v>#N/A</v>
      </c>
      <c r="G50" s="1">
        <f t="shared" si="11"/>
        <v>3671569.7736617443</v>
      </c>
      <c r="H50" s="1">
        <f t="shared" si="11"/>
        <v>3789155.3649636577</v>
      </c>
      <c r="I50" s="1">
        <f t="shared" si="11"/>
        <v>3935407.2246711603</v>
      </c>
      <c r="J50" s="1">
        <f t="shared" si="11"/>
        <v>4211793.8208022444</v>
      </c>
      <c r="K50" s="1">
        <f t="shared" si="11"/>
        <v>4864968.1329340972</v>
      </c>
      <c r="L50" s="1">
        <f t="shared" si="11"/>
        <v>5416598.1055895733</v>
      </c>
      <c r="M50" s="1">
        <f t="shared" si="11"/>
        <v>6092904.9877324281</v>
      </c>
      <c r="N50" s="1">
        <f t="shared" si="11"/>
        <v>6648233.5073464839</v>
      </c>
      <c r="O50" s="154">
        <f>SUMIFS(T$115:T$154,$Q$115:$Q$154,$C50,$S$115:$S$154,$B50)</f>
        <v>0</v>
      </c>
      <c r="P50" s="154">
        <f>SUMIFS(U$115:U$154,$Q$115:$Q$154,$C50,$S$115:$S$154,$B50)</f>
        <v>0</v>
      </c>
      <c r="Q50" s="154">
        <f>SUMIFS(V$115:V$154,$Q$115:$Q$154,$C50,$S$115:$S$154,$B50)</f>
        <v>0</v>
      </c>
      <c r="R50" s="154">
        <f>SUMIFS(W$115:W$154,$Q$115:$Q$154,$C50,$S$115:$S$154,$B50)</f>
        <v>0</v>
      </c>
      <c r="S50" s="154">
        <f>SUMIFS(X$115:X$154,$Q$115:$Q$154,$C50,$S$115:$S$154,$B50)</f>
        <v>0</v>
      </c>
      <c r="T50" s="154">
        <f>SUMIFS(Y$115:Y$154,$Q$115:$Q$154,$C50,$S$115:$S$154,$B50)</f>
        <v>0</v>
      </c>
      <c r="U50" s="154">
        <f>SUMIFS(Z$115:Z$154,$Q$115:$Q$154,$C50,$S$115:$S$154,$B50)</f>
        <v>0</v>
      </c>
      <c r="V50" s="154">
        <f>SUMIFS(AA$115:AA$154,$Q$115:$Q$154,$C50,$S$115:$S$154,$B50)</f>
        <v>0</v>
      </c>
    </row>
    <row r="51" spans="1:22">
      <c r="A51" t="s">
        <v>4</v>
      </c>
      <c r="B51" t="s">
        <v>25</v>
      </c>
      <c r="C51" t="s">
        <v>16</v>
      </c>
      <c r="D51" t="s">
        <v>13</v>
      </c>
      <c r="E51" t="e">
        <f>NA()</f>
        <v>#N/A</v>
      </c>
      <c r="F51" t="e">
        <f>NA()</f>
        <v>#N/A</v>
      </c>
      <c r="G51" s="1">
        <f t="shared" si="11"/>
        <v>20884210.351880398</v>
      </c>
      <c r="H51" s="1">
        <f t="shared" si="11"/>
        <v>24078570.13935091</v>
      </c>
      <c r="I51" s="1">
        <f t="shared" si="11"/>
        <v>21330113.338464662</v>
      </c>
      <c r="J51" s="1">
        <f t="shared" si="11"/>
        <v>21346199.211644586</v>
      </c>
      <c r="K51" s="1">
        <f t="shared" si="11"/>
        <v>22154345.151798982</v>
      </c>
      <c r="L51" s="1">
        <f t="shared" si="11"/>
        <v>24614999.482328169</v>
      </c>
      <c r="M51" s="1">
        <f t="shared" si="11"/>
        <v>27063811.428855918</v>
      </c>
      <c r="N51" s="1">
        <f t="shared" si="11"/>
        <v>29669421.623563342</v>
      </c>
      <c r="O51" s="154">
        <f>SUMIFS(T$115:T$154,$Q$115:$Q$154,$C51,$S$115:$S$154,$B51)</f>
        <v>0</v>
      </c>
      <c r="P51" s="154">
        <f>SUMIFS(U$115:U$154,$Q$115:$Q$154,$C51,$S$115:$S$154,$B51)</f>
        <v>0</v>
      </c>
      <c r="Q51" s="154">
        <f>SUMIFS(V$115:V$154,$Q$115:$Q$154,$C51,$S$115:$S$154,$B51)</f>
        <v>0</v>
      </c>
      <c r="R51" s="154">
        <f>SUMIFS(W$115:W$154,$Q$115:$Q$154,$C51,$S$115:$S$154,$B51)</f>
        <v>0</v>
      </c>
      <c r="S51" s="154">
        <f>SUMIFS(X$115:X$154,$Q$115:$Q$154,$C51,$S$115:$S$154,$B51)</f>
        <v>0</v>
      </c>
      <c r="T51" s="154">
        <f>SUMIFS(Y$115:Y$154,$Q$115:$Q$154,$C51,$S$115:$S$154,$B51)</f>
        <v>0</v>
      </c>
      <c r="U51" s="154">
        <f>SUMIFS(Z$115:Z$154,$Q$115:$Q$154,$C51,$S$115:$S$154,$B51)</f>
        <v>0</v>
      </c>
      <c r="V51" s="154">
        <f>SUMIFS(AA$115:AA$154,$Q$115:$Q$154,$C51,$S$115:$S$154,$B51)</f>
        <v>0</v>
      </c>
    </row>
    <row r="52" spans="1:22">
      <c r="A52" t="s">
        <v>4</v>
      </c>
      <c r="B52" t="s">
        <v>25</v>
      </c>
      <c r="C52" t="s">
        <v>17</v>
      </c>
      <c r="D52" t="s">
        <v>13</v>
      </c>
      <c r="E52" t="e">
        <f>NA()</f>
        <v>#N/A</v>
      </c>
      <c r="F52" t="e">
        <f>NA()</f>
        <v>#N/A</v>
      </c>
      <c r="G52" s="1">
        <f t="shared" si="11"/>
        <v>26833571.115082383</v>
      </c>
      <c r="H52" s="1">
        <f t="shared" si="11"/>
        <v>25931932.689667899</v>
      </c>
      <c r="I52" s="1">
        <f t="shared" si="11"/>
        <v>27362505.247575749</v>
      </c>
      <c r="J52" s="1">
        <f t="shared" si="11"/>
        <v>27963319.84840906</v>
      </c>
      <c r="K52" s="1">
        <f t="shared" si="11"/>
        <v>29242124.537777897</v>
      </c>
      <c r="L52" s="1">
        <f t="shared" si="11"/>
        <v>30273115.348820504</v>
      </c>
      <c r="M52" s="1">
        <f t="shared" si="11"/>
        <v>30845039.30005461</v>
      </c>
      <c r="N52" s="1">
        <f t="shared" si="11"/>
        <v>31318942.552744113</v>
      </c>
      <c r="O52" s="154">
        <f>SUMIFS(T$115:T$154,$Q$115:$Q$154,$C52,$S$115:$S$154,$B52)</f>
        <v>0</v>
      </c>
      <c r="P52" s="154">
        <f>SUMIFS(U$115:U$154,$Q$115:$Q$154,$C52,$S$115:$S$154,$B52)</f>
        <v>0</v>
      </c>
      <c r="Q52" s="154">
        <f>SUMIFS(V$115:V$154,$Q$115:$Q$154,$C52,$S$115:$S$154,$B52)</f>
        <v>0</v>
      </c>
      <c r="R52" s="154">
        <f>SUMIFS(W$115:W$154,$Q$115:$Q$154,$C52,$S$115:$S$154,$B52)</f>
        <v>0</v>
      </c>
      <c r="S52" s="154">
        <f>SUMIFS(X$115:X$154,$Q$115:$Q$154,$C52,$S$115:$S$154,$B52)</f>
        <v>0</v>
      </c>
      <c r="T52" s="154">
        <f>SUMIFS(Y$115:Y$154,$Q$115:$Q$154,$C52,$S$115:$S$154,$B52)</f>
        <v>0</v>
      </c>
      <c r="U52" s="154">
        <f>SUMIFS(Z$115:Z$154,$Q$115:$Q$154,$C52,$S$115:$S$154,$B52)</f>
        <v>0</v>
      </c>
      <c r="V52" s="154">
        <f>SUMIFS(AA$115:AA$154,$Q$115:$Q$154,$C52,$S$115:$S$154,$B52)</f>
        <v>0</v>
      </c>
    </row>
    <row r="53" spans="1:22">
      <c r="G53" s="1"/>
      <c r="H53" s="1"/>
      <c r="I53" s="1"/>
      <c r="J53" s="1"/>
      <c r="K53" s="1"/>
      <c r="L53" s="1"/>
      <c r="M53" s="1"/>
      <c r="N53" s="1"/>
      <c r="O53" s="154"/>
      <c r="P53" s="154"/>
      <c r="Q53" s="154"/>
      <c r="R53" s="154"/>
      <c r="S53" s="154"/>
      <c r="T53" s="154"/>
      <c r="U53" s="154"/>
      <c r="V53" s="154"/>
    </row>
    <row r="54" spans="1:22">
      <c r="A54" t="s">
        <v>4</v>
      </c>
      <c r="B54" t="s">
        <v>26</v>
      </c>
      <c r="C54" t="s">
        <v>12</v>
      </c>
      <c r="D54" t="s">
        <v>13</v>
      </c>
      <c r="E54" t="e">
        <f>NA()</f>
        <v>#N/A</v>
      </c>
      <c r="F54" t="e">
        <f>NA()</f>
        <v>#N/A</v>
      </c>
      <c r="G54" s="1">
        <f t="shared" ref="G54:N58" si="12">INDEX($F$124:$M$175,MATCH($C54&amp;"."&amp;$B54,$B$124:$B$175,0),MATCH(G$6,$F$123:$M$123,0))</f>
        <v>25481082.630432401</v>
      </c>
      <c r="H54" s="1">
        <f t="shared" si="12"/>
        <v>26647681.743940674</v>
      </c>
      <c r="I54" s="1">
        <f t="shared" si="12"/>
        <v>26647681.743940674</v>
      </c>
      <c r="J54" s="1">
        <f t="shared" si="12"/>
        <v>26656568.281314448</v>
      </c>
      <c r="K54" s="1">
        <f t="shared" si="12"/>
        <v>26837653.331372693</v>
      </c>
      <c r="L54" s="1">
        <f t="shared" si="12"/>
        <v>26899851.458366077</v>
      </c>
      <c r="M54" s="1">
        <f t="shared" si="12"/>
        <v>26899851.458366077</v>
      </c>
      <c r="N54" s="1">
        <f t="shared" si="12"/>
        <v>27212500.20961567</v>
      </c>
      <c r="O54" s="154">
        <f>SUMIFS(T$115:T$154,$Q$115:$Q$154,$C54,$S$115:$S$154,$B54)</f>
        <v>0</v>
      </c>
      <c r="P54" s="154">
        <f>SUMIFS(U$115:U$154,$Q$115:$Q$154,$C54,$S$115:$S$154,$B54)</f>
        <v>0</v>
      </c>
      <c r="Q54" s="154">
        <f>SUMIFS(V$115:V$154,$Q$115:$Q$154,$C54,$S$115:$S$154,$B54)</f>
        <v>0</v>
      </c>
      <c r="R54" s="154">
        <f>SUMIFS(W$115:W$154,$Q$115:$Q$154,$C54,$S$115:$S$154,$B54)</f>
        <v>0</v>
      </c>
      <c r="S54" s="154">
        <f>SUMIFS(X$115:X$154,$Q$115:$Q$154,$C54,$S$115:$S$154,$B54)</f>
        <v>0</v>
      </c>
      <c r="T54" s="154">
        <f>SUMIFS(Y$115:Y$154,$Q$115:$Q$154,$C54,$S$115:$S$154,$B54)</f>
        <v>0</v>
      </c>
      <c r="U54" s="154">
        <f>SUMIFS(Z$115:Z$154,$Q$115:$Q$154,$C54,$S$115:$S$154,$B54)</f>
        <v>0</v>
      </c>
      <c r="V54" s="154">
        <f>SUMIFS(AA$115:AA$154,$Q$115:$Q$154,$C54,$S$115:$S$154,$B54)</f>
        <v>0</v>
      </c>
    </row>
    <row r="55" spans="1:22">
      <c r="A55" t="s">
        <v>4</v>
      </c>
      <c r="B55" t="s">
        <v>26</v>
      </c>
      <c r="C55" t="s">
        <v>14</v>
      </c>
      <c r="D55" t="s">
        <v>13</v>
      </c>
      <c r="E55" t="e">
        <f>NA()</f>
        <v>#N/A</v>
      </c>
      <c r="F55" t="e">
        <f>NA()</f>
        <v>#N/A</v>
      </c>
      <c r="G55" s="1">
        <f t="shared" si="12"/>
        <v>16595360.545669252</v>
      </c>
      <c r="H55" s="1">
        <f t="shared" si="12"/>
        <v>21078242.177482143</v>
      </c>
      <c r="I55" s="1">
        <f t="shared" si="12"/>
        <v>21265011.41196616</v>
      </c>
      <c r="J55" s="1">
        <f t="shared" si="12"/>
        <v>21371736.688814163</v>
      </c>
      <c r="K55" s="1">
        <f t="shared" si="12"/>
        <v>21558672.681543257</v>
      </c>
      <c r="L55" s="1">
        <f t="shared" si="12"/>
        <v>21745275.157782201</v>
      </c>
      <c r="M55" s="1">
        <f t="shared" si="12"/>
        <v>22038769.669114243</v>
      </c>
      <c r="N55" s="1">
        <f t="shared" si="12"/>
        <v>22332264.180446275</v>
      </c>
      <c r="O55" s="154">
        <f>SUMIFS(T$115:T$154,$Q$115:$Q$154,$C55,$S$115:$S$154,$B55)</f>
        <v>0</v>
      </c>
      <c r="P55" s="154">
        <f>SUMIFS(U$115:U$154,$Q$115:$Q$154,$C55,$S$115:$S$154,$B55)</f>
        <v>0</v>
      </c>
      <c r="Q55" s="154">
        <f>SUMIFS(V$115:V$154,$Q$115:$Q$154,$C55,$S$115:$S$154,$B55)</f>
        <v>0</v>
      </c>
      <c r="R55" s="154">
        <f>SUMIFS(W$115:W$154,$Q$115:$Q$154,$C55,$S$115:$S$154,$B55)</f>
        <v>0</v>
      </c>
      <c r="S55" s="154">
        <f>SUMIFS(X$115:X$154,$Q$115:$Q$154,$C55,$S$115:$S$154,$B55)</f>
        <v>0</v>
      </c>
      <c r="T55" s="154">
        <f>SUMIFS(Y$115:Y$154,$Q$115:$Q$154,$C55,$S$115:$S$154,$B55)</f>
        <v>0</v>
      </c>
      <c r="U55" s="154">
        <f>SUMIFS(Z$115:Z$154,$Q$115:$Q$154,$C55,$S$115:$S$154,$B55)</f>
        <v>0</v>
      </c>
      <c r="V55" s="154">
        <f>SUMIFS(AA$115:AA$154,$Q$115:$Q$154,$C55,$S$115:$S$154,$B55)</f>
        <v>0</v>
      </c>
    </row>
    <row r="56" spans="1:22">
      <c r="A56" t="s">
        <v>4</v>
      </c>
      <c r="B56" t="s">
        <v>26</v>
      </c>
      <c r="C56" t="s">
        <v>15</v>
      </c>
      <c r="D56" t="s">
        <v>13</v>
      </c>
      <c r="E56" t="e">
        <f>NA()</f>
        <v>#N/A</v>
      </c>
      <c r="F56" t="e">
        <f>NA()</f>
        <v>#N/A</v>
      </c>
      <c r="G56" s="1">
        <f t="shared" si="12"/>
        <v>18485224.299009111</v>
      </c>
      <c r="H56" s="1">
        <f t="shared" si="12"/>
        <v>18490505.89006165</v>
      </c>
      <c r="I56" s="1">
        <f t="shared" si="12"/>
        <v>18842460.380283821</v>
      </c>
      <c r="J56" s="1">
        <f t="shared" si="12"/>
        <v>19369695.720111821</v>
      </c>
      <c r="K56" s="1">
        <f t="shared" si="12"/>
        <v>20623650.982966196</v>
      </c>
      <c r="L56" s="1">
        <f t="shared" si="12"/>
        <v>21684746.471585825</v>
      </c>
      <c r="M56" s="1">
        <f t="shared" si="12"/>
        <v>22984949.210679315</v>
      </c>
      <c r="N56" s="1">
        <f t="shared" si="12"/>
        <v>23710260.360182155</v>
      </c>
      <c r="O56" s="154">
        <f>SUMIFS(T$115:T$154,$Q$115:$Q$154,$C56,$S$115:$S$154,$B56)</f>
        <v>0</v>
      </c>
      <c r="P56" s="154">
        <f>SUMIFS(U$115:U$154,$Q$115:$Q$154,$C56,$S$115:$S$154,$B56)</f>
        <v>0</v>
      </c>
      <c r="Q56" s="154">
        <f>SUMIFS(V$115:V$154,$Q$115:$Q$154,$C56,$S$115:$S$154,$B56)</f>
        <v>0</v>
      </c>
      <c r="R56" s="154">
        <f>SUMIFS(W$115:W$154,$Q$115:$Q$154,$C56,$S$115:$S$154,$B56)</f>
        <v>0</v>
      </c>
      <c r="S56" s="154">
        <f>SUMIFS(X$115:X$154,$Q$115:$Q$154,$C56,$S$115:$S$154,$B56)</f>
        <v>0</v>
      </c>
      <c r="T56" s="154">
        <f>SUMIFS(Y$115:Y$154,$Q$115:$Q$154,$C56,$S$115:$S$154,$B56)</f>
        <v>0</v>
      </c>
      <c r="U56" s="154">
        <f>SUMIFS(Z$115:Z$154,$Q$115:$Q$154,$C56,$S$115:$S$154,$B56)</f>
        <v>0</v>
      </c>
      <c r="V56" s="154">
        <f>SUMIFS(AA$115:AA$154,$Q$115:$Q$154,$C56,$S$115:$S$154,$B56)</f>
        <v>0</v>
      </c>
    </row>
    <row r="57" spans="1:22">
      <c r="A57" t="s">
        <v>4</v>
      </c>
      <c r="B57" t="s">
        <v>26</v>
      </c>
      <c r="C57" t="s">
        <v>16</v>
      </c>
      <c r="D57" t="s">
        <v>13</v>
      </c>
      <c r="E57" t="e">
        <f>NA()</f>
        <v>#N/A</v>
      </c>
      <c r="F57" t="e">
        <f>NA()</f>
        <v>#N/A</v>
      </c>
      <c r="G57" s="1">
        <f t="shared" si="12"/>
        <v>42151676.746566556</v>
      </c>
      <c r="H57" s="1">
        <f t="shared" si="12"/>
        <v>42151716.141810782</v>
      </c>
      <c r="I57" s="1">
        <f t="shared" si="12"/>
        <v>42151716.141810782</v>
      </c>
      <c r="J57" s="1">
        <f t="shared" si="12"/>
        <v>42151716.141810782</v>
      </c>
      <c r="K57" s="1">
        <f t="shared" si="12"/>
        <v>42708190.405117176</v>
      </c>
      <c r="L57" s="1">
        <f t="shared" si="12"/>
        <v>44194432.139504738</v>
      </c>
      <c r="M57" s="1">
        <f t="shared" si="12"/>
        <v>45766899.97784733</v>
      </c>
      <c r="N57" s="1">
        <f t="shared" si="12"/>
        <v>47366947.446375765</v>
      </c>
      <c r="O57" s="154">
        <f>SUMIFS(T$115:T$154,$Q$115:$Q$154,$C57,$S$115:$S$154,$B57)</f>
        <v>0</v>
      </c>
      <c r="P57" s="154">
        <f>SUMIFS(U$115:U$154,$Q$115:$Q$154,$C57,$S$115:$S$154,$B57)</f>
        <v>0</v>
      </c>
      <c r="Q57" s="154">
        <f>SUMIFS(V$115:V$154,$Q$115:$Q$154,$C57,$S$115:$S$154,$B57)</f>
        <v>0</v>
      </c>
      <c r="R57" s="154">
        <f>SUMIFS(W$115:W$154,$Q$115:$Q$154,$C57,$S$115:$S$154,$B57)</f>
        <v>0</v>
      </c>
      <c r="S57" s="154">
        <f>SUMIFS(X$115:X$154,$Q$115:$Q$154,$C57,$S$115:$S$154,$B57)</f>
        <v>0</v>
      </c>
      <c r="T57" s="154">
        <f>SUMIFS(Y$115:Y$154,$Q$115:$Q$154,$C57,$S$115:$S$154,$B57)</f>
        <v>0</v>
      </c>
      <c r="U57" s="154">
        <f>SUMIFS(Z$115:Z$154,$Q$115:$Q$154,$C57,$S$115:$S$154,$B57)</f>
        <v>0</v>
      </c>
      <c r="V57" s="154">
        <f>SUMIFS(AA$115:AA$154,$Q$115:$Q$154,$C57,$S$115:$S$154,$B57)</f>
        <v>0</v>
      </c>
    </row>
    <row r="58" spans="1:22">
      <c r="A58" t="s">
        <v>4</v>
      </c>
      <c r="B58" t="s">
        <v>26</v>
      </c>
      <c r="C58" t="s">
        <v>17</v>
      </c>
      <c r="D58" t="s">
        <v>13</v>
      </c>
      <c r="E58" t="e">
        <f>NA()</f>
        <v>#N/A</v>
      </c>
      <c r="F58" t="e">
        <f>NA()</f>
        <v>#N/A</v>
      </c>
      <c r="G58" s="1">
        <f t="shared" si="12"/>
        <v>20808303.065750469</v>
      </c>
      <c r="H58" s="1">
        <f t="shared" si="12"/>
        <v>21141349.232595913</v>
      </c>
      <c r="I58" s="1">
        <f t="shared" si="12"/>
        <v>21141349.232595913</v>
      </c>
      <c r="J58" s="1">
        <f t="shared" si="12"/>
        <v>21288050.421116281</v>
      </c>
      <c r="K58" s="1">
        <f t="shared" si="12"/>
        <v>21586895.936282072</v>
      </c>
      <c r="L58" s="1">
        <f t="shared" si="12"/>
        <v>21826664.491890669</v>
      </c>
      <c r="M58" s="1">
        <f t="shared" si="12"/>
        <v>21945992.407412034</v>
      </c>
      <c r="N58" s="1">
        <f t="shared" si="12"/>
        <v>22017687.177123163</v>
      </c>
      <c r="O58" s="154">
        <f>SUMIFS(T$115:T$154,$Q$115:$Q$154,$C58,$S$115:$S$154,$B58)</f>
        <v>0</v>
      </c>
      <c r="P58" s="154">
        <f>SUMIFS(U$115:U$154,$Q$115:$Q$154,$C58,$S$115:$S$154,$B58)</f>
        <v>0</v>
      </c>
      <c r="Q58" s="154">
        <f>SUMIFS(V$115:V$154,$Q$115:$Q$154,$C58,$S$115:$S$154,$B58)</f>
        <v>0</v>
      </c>
      <c r="R58" s="154">
        <f>SUMIFS(W$115:W$154,$Q$115:$Q$154,$C58,$S$115:$S$154,$B58)</f>
        <v>0</v>
      </c>
      <c r="S58" s="154">
        <f>SUMIFS(X$115:X$154,$Q$115:$Q$154,$C58,$S$115:$S$154,$B58)</f>
        <v>0</v>
      </c>
      <c r="T58" s="154">
        <f>SUMIFS(Y$115:Y$154,$Q$115:$Q$154,$C58,$S$115:$S$154,$B58)</f>
        <v>0</v>
      </c>
      <c r="U58" s="154">
        <f>SUMIFS(Z$115:Z$154,$Q$115:$Q$154,$C58,$S$115:$S$154,$B58)</f>
        <v>0</v>
      </c>
      <c r="V58" s="154">
        <f>SUMIFS(AA$115:AA$154,$Q$115:$Q$154,$C58,$S$115:$S$154,$B58)</f>
        <v>0</v>
      </c>
    </row>
    <row r="59" spans="1:22">
      <c r="G59" s="1"/>
      <c r="H59" s="1"/>
      <c r="I59" s="1"/>
      <c r="J59" s="1"/>
      <c r="K59" s="1"/>
      <c r="L59" s="1"/>
      <c r="M59" s="1"/>
      <c r="N59" s="1"/>
      <c r="O59" s="154"/>
      <c r="P59" s="154"/>
      <c r="Q59" s="154"/>
      <c r="R59" s="154"/>
      <c r="S59" s="154"/>
      <c r="T59" s="154"/>
      <c r="U59" s="154"/>
      <c r="V59" s="154"/>
    </row>
    <row r="60" spans="1:22">
      <c r="A60" t="s">
        <v>4</v>
      </c>
      <c r="B60" t="s">
        <v>444</v>
      </c>
      <c r="C60" t="s">
        <v>12</v>
      </c>
      <c r="D60" t="s">
        <v>13</v>
      </c>
      <c r="E60" t="e">
        <f>NA()</f>
        <v>#N/A</v>
      </c>
      <c r="F60" t="e">
        <f>NA()</f>
        <v>#N/A</v>
      </c>
      <c r="G60" s="198">
        <v>0</v>
      </c>
      <c r="H60" s="198">
        <v>0</v>
      </c>
      <c r="I60" s="198">
        <v>0</v>
      </c>
      <c r="J60" s="198">
        <v>0</v>
      </c>
      <c r="K60" s="198">
        <v>0</v>
      </c>
      <c r="L60" s="198">
        <v>0</v>
      </c>
      <c r="M60" s="198">
        <v>0</v>
      </c>
      <c r="N60" s="198">
        <v>0</v>
      </c>
      <c r="O60" s="154">
        <f>SUMIFS(T$115:T$154,$Q$115:$Q$154,$C60,$S$115:$S$154,$B60)</f>
        <v>300</v>
      </c>
      <c r="P60" s="154">
        <f>SUMIFS(U$115:U$154,$Q$115:$Q$154,$C60,$S$115:$S$154,$B60)</f>
        <v>300</v>
      </c>
      <c r="Q60" s="154">
        <f>SUMIFS(V$115:V$154,$Q$115:$Q$154,$C60,$S$115:$S$154,$B60)</f>
        <v>300</v>
      </c>
      <c r="R60" s="154">
        <f>SUMIFS(W$115:W$154,$Q$115:$Q$154,$C60,$S$115:$S$154,$B60)</f>
        <v>300</v>
      </c>
      <c r="S60" s="154">
        <f>SUMIFS(X$115:X$154,$Q$115:$Q$154,$C60,$S$115:$S$154,$B60)</f>
        <v>300</v>
      </c>
      <c r="T60" s="154">
        <f>SUMIFS(Y$115:Y$154,$Q$115:$Q$154,$C60,$S$115:$S$154,$B60)</f>
        <v>300</v>
      </c>
      <c r="U60" s="154">
        <f>SUMIFS(Z$115:Z$154,$Q$115:$Q$154,$C60,$S$115:$S$154,$B60)</f>
        <v>300</v>
      </c>
      <c r="V60" s="154">
        <f>SUMIFS(AA$115:AA$154,$Q$115:$Q$154,$C60,$S$115:$S$154,$B60)</f>
        <v>300</v>
      </c>
    </row>
    <row r="61" spans="1:22">
      <c r="A61" t="s">
        <v>4</v>
      </c>
      <c r="B61" t="s">
        <v>444</v>
      </c>
      <c r="C61" t="s">
        <v>14</v>
      </c>
      <c r="D61" t="s">
        <v>13</v>
      </c>
      <c r="E61" t="e">
        <f>NA()</f>
        <v>#N/A</v>
      </c>
      <c r="F61" t="e">
        <f>NA()</f>
        <v>#N/A</v>
      </c>
      <c r="G61" s="198">
        <v>0</v>
      </c>
      <c r="H61" s="198">
        <v>0</v>
      </c>
      <c r="I61" s="198">
        <v>0</v>
      </c>
      <c r="J61" s="198">
        <v>0</v>
      </c>
      <c r="K61" s="198">
        <v>0</v>
      </c>
      <c r="L61" s="198">
        <v>0</v>
      </c>
      <c r="M61" s="198">
        <v>0</v>
      </c>
      <c r="N61" s="198">
        <v>0</v>
      </c>
      <c r="O61" s="154">
        <f>SUMIFS(T$115:T$154,$Q$115:$Q$154,$C61,$S$115:$S$154,$B61)</f>
        <v>300</v>
      </c>
      <c r="P61" s="154">
        <f>SUMIFS(U$115:U$154,$Q$115:$Q$154,$C61,$S$115:$S$154,$B61)</f>
        <v>300</v>
      </c>
      <c r="Q61" s="154">
        <f>SUMIFS(V$115:V$154,$Q$115:$Q$154,$C61,$S$115:$S$154,$B61)</f>
        <v>300</v>
      </c>
      <c r="R61" s="154">
        <f>SUMIFS(W$115:W$154,$Q$115:$Q$154,$C61,$S$115:$S$154,$B61)</f>
        <v>300</v>
      </c>
      <c r="S61" s="154">
        <f>SUMIFS(X$115:X$154,$Q$115:$Q$154,$C61,$S$115:$S$154,$B61)</f>
        <v>300</v>
      </c>
      <c r="T61" s="154">
        <f>SUMIFS(Y$115:Y$154,$Q$115:$Q$154,$C61,$S$115:$S$154,$B61)</f>
        <v>300</v>
      </c>
      <c r="U61" s="154">
        <f>SUMIFS(Z$115:Z$154,$Q$115:$Q$154,$C61,$S$115:$S$154,$B61)</f>
        <v>300</v>
      </c>
      <c r="V61" s="154">
        <f>SUMIFS(AA$115:AA$154,$Q$115:$Q$154,$C61,$S$115:$S$154,$B61)</f>
        <v>300</v>
      </c>
    </row>
    <row r="62" spans="1:22">
      <c r="A62" t="s">
        <v>4</v>
      </c>
      <c r="B62" t="s">
        <v>444</v>
      </c>
      <c r="C62" t="s">
        <v>15</v>
      </c>
      <c r="D62" t="s">
        <v>13</v>
      </c>
      <c r="E62" t="e">
        <f>NA()</f>
        <v>#N/A</v>
      </c>
      <c r="F62" t="e">
        <f>NA()</f>
        <v>#N/A</v>
      </c>
      <c r="G62" s="198">
        <v>0</v>
      </c>
      <c r="H62" s="198">
        <v>0</v>
      </c>
      <c r="I62" s="198">
        <v>0</v>
      </c>
      <c r="J62" s="198">
        <v>0</v>
      </c>
      <c r="K62" s="198">
        <v>0</v>
      </c>
      <c r="L62" s="198">
        <v>0</v>
      </c>
      <c r="M62" s="198">
        <v>0</v>
      </c>
      <c r="N62" s="198">
        <v>0</v>
      </c>
      <c r="O62" s="154">
        <f>SUMIFS(T$115:T$154,$Q$115:$Q$154,$C62,$S$115:$S$154,$B62)</f>
        <v>300</v>
      </c>
      <c r="P62" s="154">
        <f>SUMIFS(U$115:U$154,$Q$115:$Q$154,$C62,$S$115:$S$154,$B62)</f>
        <v>300</v>
      </c>
      <c r="Q62" s="154">
        <f>SUMIFS(V$115:V$154,$Q$115:$Q$154,$C62,$S$115:$S$154,$B62)</f>
        <v>300</v>
      </c>
      <c r="R62" s="154">
        <f>SUMIFS(W$115:W$154,$Q$115:$Q$154,$C62,$S$115:$S$154,$B62)</f>
        <v>300</v>
      </c>
      <c r="S62" s="154">
        <f>SUMIFS(X$115:X$154,$Q$115:$Q$154,$C62,$S$115:$S$154,$B62)</f>
        <v>300</v>
      </c>
      <c r="T62" s="154">
        <f>SUMIFS(Y$115:Y$154,$Q$115:$Q$154,$C62,$S$115:$S$154,$B62)</f>
        <v>300</v>
      </c>
      <c r="U62" s="154">
        <f>SUMIFS(Z$115:Z$154,$Q$115:$Q$154,$C62,$S$115:$S$154,$B62)</f>
        <v>300</v>
      </c>
      <c r="V62" s="154">
        <f>SUMIFS(AA$115:AA$154,$Q$115:$Q$154,$C62,$S$115:$S$154,$B62)</f>
        <v>300</v>
      </c>
    </row>
    <row r="63" spans="1:22">
      <c r="A63" t="s">
        <v>4</v>
      </c>
      <c r="B63" t="s">
        <v>444</v>
      </c>
      <c r="C63" t="s">
        <v>16</v>
      </c>
      <c r="D63" t="s">
        <v>13</v>
      </c>
      <c r="E63" t="e">
        <f>NA()</f>
        <v>#N/A</v>
      </c>
      <c r="F63" t="e">
        <f>NA()</f>
        <v>#N/A</v>
      </c>
      <c r="G63" s="198">
        <v>0</v>
      </c>
      <c r="H63" s="198">
        <v>0</v>
      </c>
      <c r="I63" s="198">
        <v>0</v>
      </c>
      <c r="J63" s="198">
        <v>0</v>
      </c>
      <c r="K63" s="198">
        <v>0</v>
      </c>
      <c r="L63" s="198">
        <v>0</v>
      </c>
      <c r="M63" s="198">
        <v>0</v>
      </c>
      <c r="N63" s="198">
        <v>0</v>
      </c>
      <c r="O63" s="154">
        <f>SUMIFS(T$115:T$154,$Q$115:$Q$154,$C63,$S$115:$S$154,$B63)</f>
        <v>300</v>
      </c>
      <c r="P63" s="154">
        <f>SUMIFS(U$115:U$154,$Q$115:$Q$154,$C63,$S$115:$S$154,$B63)</f>
        <v>300</v>
      </c>
      <c r="Q63" s="154">
        <f>SUMIFS(V$115:V$154,$Q$115:$Q$154,$C63,$S$115:$S$154,$B63)</f>
        <v>300</v>
      </c>
      <c r="R63" s="154">
        <f>SUMIFS(W$115:W$154,$Q$115:$Q$154,$C63,$S$115:$S$154,$B63)</f>
        <v>300</v>
      </c>
      <c r="S63" s="154">
        <f>SUMIFS(X$115:X$154,$Q$115:$Q$154,$C63,$S$115:$S$154,$B63)</f>
        <v>300</v>
      </c>
      <c r="T63" s="154">
        <f>SUMIFS(Y$115:Y$154,$Q$115:$Q$154,$C63,$S$115:$S$154,$B63)</f>
        <v>300</v>
      </c>
      <c r="U63" s="154">
        <f>SUMIFS(Z$115:Z$154,$Q$115:$Q$154,$C63,$S$115:$S$154,$B63)</f>
        <v>300</v>
      </c>
      <c r="V63" s="154">
        <f>SUMIFS(AA$115:AA$154,$Q$115:$Q$154,$C63,$S$115:$S$154,$B63)</f>
        <v>300</v>
      </c>
    </row>
    <row r="64" spans="1:22">
      <c r="A64" t="s">
        <v>4</v>
      </c>
      <c r="B64" t="s">
        <v>444</v>
      </c>
      <c r="C64" t="s">
        <v>17</v>
      </c>
      <c r="D64" t="s">
        <v>13</v>
      </c>
      <c r="E64" t="e">
        <f>NA()</f>
        <v>#N/A</v>
      </c>
      <c r="F64" t="e">
        <f>NA()</f>
        <v>#N/A</v>
      </c>
      <c r="G64" s="198">
        <v>0</v>
      </c>
      <c r="H64" s="198">
        <v>0</v>
      </c>
      <c r="I64" s="198">
        <v>0</v>
      </c>
      <c r="J64" s="198">
        <v>0</v>
      </c>
      <c r="K64" s="198">
        <v>0</v>
      </c>
      <c r="L64" s="198">
        <v>0</v>
      </c>
      <c r="M64" s="198">
        <v>0</v>
      </c>
      <c r="N64" s="198">
        <v>0</v>
      </c>
      <c r="O64" s="154">
        <f>SUMIFS(T$115:T$154,$Q$115:$Q$154,$C64,$S$115:$S$154,$B64)</f>
        <v>300</v>
      </c>
      <c r="P64" s="154">
        <f>SUMIFS(U$115:U$154,$Q$115:$Q$154,$C64,$S$115:$S$154,$B64)</f>
        <v>300</v>
      </c>
      <c r="Q64" s="154">
        <f>SUMIFS(V$115:V$154,$Q$115:$Q$154,$C64,$S$115:$S$154,$B64)</f>
        <v>300</v>
      </c>
      <c r="R64" s="154">
        <f>SUMIFS(W$115:W$154,$Q$115:$Q$154,$C64,$S$115:$S$154,$B64)</f>
        <v>300</v>
      </c>
      <c r="S64" s="154">
        <f>SUMIFS(X$115:X$154,$Q$115:$Q$154,$C64,$S$115:$S$154,$B64)</f>
        <v>300</v>
      </c>
      <c r="T64" s="154">
        <f>SUMIFS(Y$115:Y$154,$Q$115:$Q$154,$C64,$S$115:$S$154,$B64)</f>
        <v>300</v>
      </c>
      <c r="U64" s="154">
        <f>SUMIFS(Z$115:Z$154,$Q$115:$Q$154,$C64,$S$115:$S$154,$B64)</f>
        <v>300</v>
      </c>
      <c r="V64" s="154">
        <f>SUMIFS(AA$115:AA$154,$Q$115:$Q$154,$C64,$S$115:$S$154,$B64)</f>
        <v>300</v>
      </c>
    </row>
    <row r="65" spans="1:22">
      <c r="G65" s="1"/>
      <c r="H65" s="1"/>
      <c r="I65" s="1"/>
      <c r="J65" s="1"/>
      <c r="K65" s="1"/>
      <c r="L65" s="1"/>
      <c r="M65" s="1"/>
      <c r="N65" s="1"/>
    </row>
    <row r="66" spans="1:22">
      <c r="A66" t="s">
        <v>4</v>
      </c>
      <c r="B66" t="s">
        <v>131</v>
      </c>
      <c r="C66" t="s">
        <v>12</v>
      </c>
      <c r="D66" t="s">
        <v>13</v>
      </c>
      <c r="E66" t="e">
        <f>NA()</f>
        <v>#N/A</v>
      </c>
      <c r="F66" t="e">
        <f>NA()</f>
        <v>#N/A</v>
      </c>
      <c r="G66" s="1">
        <f t="shared" ref="G66:N70" si="13">INDEX($F$124:$M$175,MATCH($C66&amp;"."&amp;$B66,$B$124:$B$175,0),MATCH(G$6,$F$123:$M$123,0))</f>
        <v>871449.37575079908</v>
      </c>
      <c r="H66" s="1">
        <f t="shared" si="13"/>
        <v>1174484.9698447098</v>
      </c>
      <c r="I66" s="1">
        <f t="shared" si="13"/>
        <v>3124583.04888845</v>
      </c>
      <c r="J66" s="1">
        <f t="shared" si="13"/>
        <v>3312184.8429676001</v>
      </c>
      <c r="K66" s="1">
        <f t="shared" si="13"/>
        <v>3413766.1591192801</v>
      </c>
      <c r="L66" s="1">
        <f t="shared" si="13"/>
        <v>3502270.1924624899</v>
      </c>
      <c r="M66" s="1">
        <f t="shared" si="13"/>
        <v>3889822.0602433598</v>
      </c>
      <c r="N66" s="1">
        <f t="shared" si="13"/>
        <v>5059820.4301921697</v>
      </c>
      <c r="O66" s="154">
        <f>SUMIFS(T$115:T$154,$Q$115:$Q$154,$C66,$S$115:$S$154,$B66)</f>
        <v>0</v>
      </c>
      <c r="P66" s="154">
        <f>SUMIFS(U$115:U$154,$Q$115:$Q$154,$C66,$S$115:$S$154,$B66)</f>
        <v>0</v>
      </c>
      <c r="Q66" s="154">
        <f>SUMIFS(V$115:V$154,$Q$115:$Q$154,$C66,$S$115:$S$154,$B66)</f>
        <v>0</v>
      </c>
      <c r="R66" s="154">
        <f>SUMIFS(W$115:W$154,$Q$115:$Q$154,$C66,$S$115:$S$154,$B66)</f>
        <v>0</v>
      </c>
      <c r="S66" s="154">
        <f>SUMIFS(X$115:X$154,$Q$115:$Q$154,$C66,$S$115:$S$154,$B66)</f>
        <v>0</v>
      </c>
      <c r="T66" s="154">
        <f>SUMIFS(Y$115:Y$154,$Q$115:$Q$154,$C66,$S$115:$S$154,$B66)</f>
        <v>0</v>
      </c>
      <c r="U66" s="154">
        <f>SUMIFS(Z$115:Z$154,$Q$115:$Q$154,$C66,$S$115:$S$154,$B66)</f>
        <v>0</v>
      </c>
      <c r="V66" s="154">
        <f>SUMIFS(AA$115:AA$154,$Q$115:$Q$154,$C66,$S$115:$S$154,$B66)</f>
        <v>0</v>
      </c>
    </row>
    <row r="67" spans="1:22">
      <c r="A67" t="s">
        <v>4</v>
      </c>
      <c r="B67" t="s">
        <v>131</v>
      </c>
      <c r="C67" t="s">
        <v>14</v>
      </c>
      <c r="D67" t="s">
        <v>13</v>
      </c>
      <c r="E67" t="e">
        <f>NA()</f>
        <v>#N/A</v>
      </c>
      <c r="F67" t="e">
        <f>NA()</f>
        <v>#N/A</v>
      </c>
      <c r="G67" s="1">
        <f t="shared" si="13"/>
        <v>280000</v>
      </c>
      <c r="H67" s="1">
        <f t="shared" si="13"/>
        <v>520000</v>
      </c>
      <c r="I67" s="1">
        <f t="shared" si="13"/>
        <v>980000</v>
      </c>
      <c r="J67" s="1">
        <f t="shared" si="13"/>
        <v>1910000</v>
      </c>
      <c r="K67" s="1">
        <f t="shared" si="13"/>
        <v>4440000</v>
      </c>
      <c r="L67" s="1">
        <f t="shared" si="13"/>
        <v>6740000</v>
      </c>
      <c r="M67" s="1">
        <f t="shared" si="13"/>
        <v>9230000</v>
      </c>
      <c r="N67" s="1">
        <f t="shared" si="13"/>
        <v>11120000</v>
      </c>
      <c r="O67" s="154">
        <f>SUMIFS(T$115:T$154,$Q$115:$Q$154,$C67,$S$115:$S$154,$B67)</f>
        <v>0</v>
      </c>
      <c r="P67" s="154">
        <f>SUMIFS(U$115:U$154,$Q$115:$Q$154,$C67,$S$115:$S$154,$B67)</f>
        <v>0</v>
      </c>
      <c r="Q67" s="154">
        <f>SUMIFS(V$115:V$154,$Q$115:$Q$154,$C67,$S$115:$S$154,$B67)</f>
        <v>0</v>
      </c>
      <c r="R67" s="154">
        <f>SUMIFS(W$115:W$154,$Q$115:$Q$154,$C67,$S$115:$S$154,$B67)</f>
        <v>0</v>
      </c>
      <c r="S67" s="154">
        <f>SUMIFS(X$115:X$154,$Q$115:$Q$154,$C67,$S$115:$S$154,$B67)</f>
        <v>0</v>
      </c>
      <c r="T67" s="154">
        <f>SUMIFS(Y$115:Y$154,$Q$115:$Q$154,$C67,$S$115:$S$154,$B67)</f>
        <v>0</v>
      </c>
      <c r="U67" s="154">
        <f>SUMIFS(Z$115:Z$154,$Q$115:$Q$154,$C67,$S$115:$S$154,$B67)</f>
        <v>0</v>
      </c>
      <c r="V67" s="154">
        <f>SUMIFS(AA$115:AA$154,$Q$115:$Q$154,$C67,$S$115:$S$154,$B67)</f>
        <v>0</v>
      </c>
    </row>
    <row r="68" spans="1:22">
      <c r="A68" t="s">
        <v>4</v>
      </c>
      <c r="B68" t="s">
        <v>131</v>
      </c>
      <c r="C68" t="s">
        <v>15</v>
      </c>
      <c r="D68" t="s">
        <v>13</v>
      </c>
      <c r="E68" t="e">
        <f>NA()</f>
        <v>#N/A</v>
      </c>
      <c r="F68" t="e">
        <f>NA()</f>
        <v>#N/A</v>
      </c>
      <c r="G68" s="1">
        <f t="shared" si="13"/>
        <v>34611594.899224199</v>
      </c>
      <c r="H68" s="1">
        <f t="shared" si="13"/>
        <v>48465362.989064999</v>
      </c>
      <c r="I68" s="1">
        <f t="shared" si="13"/>
        <v>51777497.313538298</v>
      </c>
      <c r="J68" s="1">
        <f t="shared" si="13"/>
        <v>60513390.975464202</v>
      </c>
      <c r="K68" s="1">
        <f t="shared" si="13"/>
        <v>60978532.916030601</v>
      </c>
      <c r="L68" s="1">
        <f t="shared" si="13"/>
        <v>63857101.641731799</v>
      </c>
      <c r="M68" s="1">
        <f t="shared" si="13"/>
        <v>68812765.286356091</v>
      </c>
      <c r="N68" s="1">
        <f t="shared" si="13"/>
        <v>83043860.283039391</v>
      </c>
      <c r="O68" s="154">
        <f>SUMIFS(T$115:T$154,$Q$115:$Q$154,$C68,$S$115:$S$154,$B68)</f>
        <v>0</v>
      </c>
      <c r="P68" s="154">
        <f>SUMIFS(U$115:U$154,$Q$115:$Q$154,$C68,$S$115:$S$154,$B68)</f>
        <v>0</v>
      </c>
      <c r="Q68" s="154">
        <f>SUMIFS(V$115:V$154,$Q$115:$Q$154,$C68,$S$115:$S$154,$B68)</f>
        <v>0</v>
      </c>
      <c r="R68" s="154">
        <f>SUMIFS(W$115:W$154,$Q$115:$Q$154,$C68,$S$115:$S$154,$B68)</f>
        <v>0</v>
      </c>
      <c r="S68" s="154">
        <f>SUMIFS(X$115:X$154,$Q$115:$Q$154,$C68,$S$115:$S$154,$B68)</f>
        <v>0</v>
      </c>
      <c r="T68" s="154">
        <f>SUMIFS(Y$115:Y$154,$Q$115:$Q$154,$C68,$S$115:$S$154,$B68)</f>
        <v>0</v>
      </c>
      <c r="U68" s="154">
        <f>SUMIFS(Z$115:Z$154,$Q$115:$Q$154,$C68,$S$115:$S$154,$B68)</f>
        <v>0</v>
      </c>
      <c r="V68" s="154">
        <f>SUMIFS(AA$115:AA$154,$Q$115:$Q$154,$C68,$S$115:$S$154,$B68)</f>
        <v>0</v>
      </c>
    </row>
    <row r="69" spans="1:22">
      <c r="A69" t="s">
        <v>4</v>
      </c>
      <c r="B69" t="s">
        <v>131</v>
      </c>
      <c r="C69" t="s">
        <v>16</v>
      </c>
      <c r="D69" t="s">
        <v>13</v>
      </c>
      <c r="E69" t="e">
        <f>NA()</f>
        <v>#N/A</v>
      </c>
      <c r="F69" t="e">
        <f>NA()</f>
        <v>#N/A</v>
      </c>
      <c r="G69" s="1">
        <f t="shared" si="13"/>
        <v>8601328.492601661</v>
      </c>
      <c r="H69" s="1">
        <f t="shared" si="13"/>
        <v>31588710.540029101</v>
      </c>
      <c r="I69" s="1">
        <f t="shared" si="13"/>
        <v>39234166.1332964</v>
      </c>
      <c r="J69" s="1">
        <f t="shared" si="13"/>
        <v>41048335.874749295</v>
      </c>
      <c r="K69" s="1">
        <f t="shared" si="13"/>
        <v>41864978.183142304</v>
      </c>
      <c r="L69" s="1">
        <f t="shared" si="13"/>
        <v>51256660.7010151</v>
      </c>
      <c r="M69" s="1">
        <f t="shared" si="13"/>
        <v>58297696.755261004</v>
      </c>
      <c r="N69" s="1">
        <f t="shared" si="13"/>
        <v>77182068.668514609</v>
      </c>
      <c r="O69" s="154">
        <f>SUMIFS(T$115:T$154,$Q$115:$Q$154,$C69,$S$115:$S$154,$B69)</f>
        <v>0</v>
      </c>
      <c r="P69" s="154">
        <f>SUMIFS(U$115:U$154,$Q$115:$Q$154,$C69,$S$115:$S$154,$B69)</f>
        <v>0</v>
      </c>
      <c r="Q69" s="154">
        <f>SUMIFS(V$115:V$154,$Q$115:$Q$154,$C69,$S$115:$S$154,$B69)</f>
        <v>0</v>
      </c>
      <c r="R69" s="154">
        <f>SUMIFS(W$115:W$154,$Q$115:$Q$154,$C69,$S$115:$S$154,$B69)</f>
        <v>0</v>
      </c>
      <c r="S69" s="154">
        <f>SUMIFS(X$115:X$154,$Q$115:$Q$154,$C69,$S$115:$S$154,$B69)</f>
        <v>0</v>
      </c>
      <c r="T69" s="154">
        <f>SUMIFS(Y$115:Y$154,$Q$115:$Q$154,$C69,$S$115:$S$154,$B69)</f>
        <v>0</v>
      </c>
      <c r="U69" s="154">
        <f>SUMIFS(Z$115:Z$154,$Q$115:$Q$154,$C69,$S$115:$S$154,$B69)</f>
        <v>0</v>
      </c>
      <c r="V69" s="154">
        <f>SUMIFS(AA$115:AA$154,$Q$115:$Q$154,$C69,$S$115:$S$154,$B69)</f>
        <v>0</v>
      </c>
    </row>
    <row r="70" spans="1:22">
      <c r="A70" t="s">
        <v>4</v>
      </c>
      <c r="B70" t="s">
        <v>131</v>
      </c>
      <c r="C70" t="s">
        <v>17</v>
      </c>
      <c r="D70" t="s">
        <v>13</v>
      </c>
      <c r="E70" t="e">
        <f>NA()</f>
        <v>#N/A</v>
      </c>
      <c r="F70" t="e">
        <f>NA()</f>
        <v>#N/A</v>
      </c>
      <c r="G70" s="1">
        <f t="shared" si="13"/>
        <v>23409301.3112133</v>
      </c>
      <c r="H70" s="1">
        <f t="shared" si="13"/>
        <v>25552393.376553599</v>
      </c>
      <c r="I70" s="1">
        <f t="shared" si="13"/>
        <v>31473134.609725799</v>
      </c>
      <c r="J70" s="1">
        <f t="shared" si="13"/>
        <v>34026934.048563898</v>
      </c>
      <c r="K70" s="1">
        <f t="shared" si="13"/>
        <v>36679053.857585102</v>
      </c>
      <c r="L70" s="1">
        <f t="shared" si="13"/>
        <v>39891005.236769296</v>
      </c>
      <c r="M70" s="1">
        <f t="shared" si="13"/>
        <v>74047388.558052108</v>
      </c>
      <c r="N70" s="1">
        <f t="shared" si="13"/>
        <v>87928339.728152603</v>
      </c>
      <c r="O70" s="154">
        <f>SUMIFS(T$115:T$154,$Q$115:$Q$154,$C70,$S$115:$S$154,$B70)</f>
        <v>0</v>
      </c>
      <c r="P70" s="154">
        <f>SUMIFS(U$115:U$154,$Q$115:$Q$154,$C70,$S$115:$S$154,$B70)</f>
        <v>0</v>
      </c>
      <c r="Q70" s="154">
        <f>SUMIFS(V$115:V$154,$Q$115:$Q$154,$C70,$S$115:$S$154,$B70)</f>
        <v>0</v>
      </c>
      <c r="R70" s="154">
        <f>SUMIFS(W$115:W$154,$Q$115:$Q$154,$C70,$S$115:$S$154,$B70)</f>
        <v>0</v>
      </c>
      <c r="S70" s="154">
        <f>SUMIFS(X$115:X$154,$Q$115:$Q$154,$C70,$S$115:$S$154,$B70)</f>
        <v>0</v>
      </c>
      <c r="T70" s="154">
        <f>SUMIFS(Y$115:Y$154,$Q$115:$Q$154,$C70,$S$115:$S$154,$B70)</f>
        <v>0</v>
      </c>
      <c r="U70" s="154">
        <f>SUMIFS(Z$115:Z$154,$Q$115:$Q$154,$C70,$S$115:$S$154,$B70)</f>
        <v>0</v>
      </c>
      <c r="V70" s="154">
        <f>SUMIFS(AA$115:AA$154,$Q$115:$Q$154,$C70,$S$115:$S$154,$B70)</f>
        <v>0</v>
      </c>
    </row>
    <row r="71" spans="1:22">
      <c r="G71" s="1"/>
      <c r="H71" s="1"/>
      <c r="I71" s="1"/>
      <c r="J71" s="1"/>
      <c r="K71" s="1"/>
      <c r="L71" s="1"/>
      <c r="M71" s="1"/>
      <c r="N71" s="1"/>
    </row>
    <row r="72" spans="1:22">
      <c r="A72" t="s">
        <v>4</v>
      </c>
      <c r="B72" t="s">
        <v>445</v>
      </c>
      <c r="C72" t="s">
        <v>12</v>
      </c>
      <c r="D72" t="s">
        <v>13</v>
      </c>
      <c r="E72" t="e">
        <f>NA()</f>
        <v>#N/A</v>
      </c>
      <c r="F72" t="e">
        <f>NA()</f>
        <v>#N/A</v>
      </c>
      <c r="G72" s="1">
        <f t="shared" ref="G72:N76" si="14">INDEX($F$124:$M$175,MATCH($C72&amp;"."&amp;$B72,$B$124:$B$175,0),MATCH(G$6,$F$123:$M$123,0))</f>
        <v>3958212.1963833002</v>
      </c>
      <c r="H72" s="1">
        <f t="shared" si="14"/>
        <v>4442621.1016638996</v>
      </c>
      <c r="I72" s="1">
        <f t="shared" si="14"/>
        <v>7230646.6035179002</v>
      </c>
      <c r="J72" s="1">
        <f t="shared" si="14"/>
        <v>10049776.431663901</v>
      </c>
      <c r="K72" s="1">
        <f t="shared" si="14"/>
        <v>10161064.6620564</v>
      </c>
      <c r="L72" s="1">
        <f t="shared" si="14"/>
        <v>10914539.3401135</v>
      </c>
      <c r="M72" s="1">
        <f t="shared" si="14"/>
        <v>13598267.722197799</v>
      </c>
      <c r="N72" s="1">
        <f t="shared" si="14"/>
        <v>15410272.9472588</v>
      </c>
      <c r="O72" s="154">
        <f>SUMIFS(T$115:T$154,$Q$115:$Q$154,$C72,$S$115:$S$154,$B72)</f>
        <v>0</v>
      </c>
      <c r="P72" s="154">
        <f>SUMIFS(U$115:U$154,$Q$115:$Q$154,$C72,$S$115:$S$154,$B72)</f>
        <v>0</v>
      </c>
      <c r="Q72" s="154">
        <f>SUMIFS(V$115:V$154,$Q$115:$Q$154,$C72,$S$115:$S$154,$B72)</f>
        <v>0</v>
      </c>
      <c r="R72" s="154">
        <f>SUMIFS(W$115:W$154,$Q$115:$Q$154,$C72,$S$115:$S$154,$B72)</f>
        <v>0</v>
      </c>
      <c r="S72" s="154">
        <f>SUMIFS(X$115:X$154,$Q$115:$Q$154,$C72,$S$115:$S$154,$B72)</f>
        <v>0</v>
      </c>
      <c r="T72" s="154">
        <f>SUMIFS(Y$115:Y$154,$Q$115:$Q$154,$C72,$S$115:$S$154,$B72)</f>
        <v>0</v>
      </c>
      <c r="U72" s="154">
        <f>SUMIFS(Z$115:Z$154,$Q$115:$Q$154,$C72,$S$115:$S$154,$B72)</f>
        <v>0</v>
      </c>
      <c r="V72" s="154">
        <f>SUMIFS(AA$115:AA$154,$Q$115:$Q$154,$C72,$S$115:$S$154,$B72)</f>
        <v>0</v>
      </c>
    </row>
    <row r="73" spans="1:22">
      <c r="A73" t="s">
        <v>4</v>
      </c>
      <c r="B73" t="s">
        <v>141</v>
      </c>
      <c r="C73" t="s">
        <v>14</v>
      </c>
      <c r="D73" t="s">
        <v>13</v>
      </c>
      <c r="E73" t="e">
        <f>NA()</f>
        <v>#N/A</v>
      </c>
      <c r="F73" t="e">
        <f>NA()</f>
        <v>#N/A</v>
      </c>
      <c r="G73" s="1">
        <f t="shared" si="14"/>
        <v>346500</v>
      </c>
      <c r="H73" s="1">
        <f t="shared" si="14"/>
        <v>653400</v>
      </c>
      <c r="I73" s="1">
        <f t="shared" si="14"/>
        <v>980100</v>
      </c>
      <c r="J73" s="1">
        <f t="shared" si="14"/>
        <v>1445400</v>
      </c>
      <c r="K73" s="1">
        <f t="shared" si="14"/>
        <v>1742400</v>
      </c>
      <c r="L73" s="1">
        <f t="shared" si="14"/>
        <v>2564100</v>
      </c>
      <c r="M73" s="1">
        <f t="shared" si="14"/>
        <v>3395700</v>
      </c>
      <c r="N73" s="1">
        <f t="shared" si="14"/>
        <v>4217400</v>
      </c>
      <c r="O73" s="154">
        <f>SUMIFS(T$115:T$154,$Q$115:$Q$154,$C73,$S$115:$S$154,$B73)</f>
        <v>0</v>
      </c>
      <c r="P73" s="154">
        <f>SUMIFS(U$115:U$154,$Q$115:$Q$154,$C73,$S$115:$S$154,$B73)</f>
        <v>0</v>
      </c>
      <c r="Q73" s="154">
        <f>SUMIFS(V$115:V$154,$Q$115:$Q$154,$C73,$S$115:$S$154,$B73)</f>
        <v>0</v>
      </c>
      <c r="R73" s="154">
        <f>SUMIFS(W$115:W$154,$Q$115:$Q$154,$C73,$S$115:$S$154,$B73)</f>
        <v>0</v>
      </c>
      <c r="S73" s="154">
        <f>SUMIFS(X$115:X$154,$Q$115:$Q$154,$C73,$S$115:$S$154,$B73)</f>
        <v>0</v>
      </c>
      <c r="T73" s="154">
        <f>SUMIFS(Y$115:Y$154,$Q$115:$Q$154,$C73,$S$115:$S$154,$B73)</f>
        <v>0</v>
      </c>
      <c r="U73" s="154">
        <f>SUMIFS(Z$115:Z$154,$Q$115:$Q$154,$C73,$S$115:$S$154,$B73)</f>
        <v>0</v>
      </c>
      <c r="V73" s="154">
        <f>SUMIFS(AA$115:AA$154,$Q$115:$Q$154,$C73,$S$115:$S$154,$B73)</f>
        <v>0</v>
      </c>
    </row>
    <row r="74" spans="1:22">
      <c r="A74" t="s">
        <v>4</v>
      </c>
      <c r="B74" t="s">
        <v>445</v>
      </c>
      <c r="C74" t="s">
        <v>15</v>
      </c>
      <c r="D74" t="s">
        <v>13</v>
      </c>
      <c r="E74" t="e">
        <f>NA()</f>
        <v>#N/A</v>
      </c>
      <c r="F74" t="e">
        <f>NA()</f>
        <v>#N/A</v>
      </c>
      <c r="G74" s="1">
        <f t="shared" si="14"/>
        <v>66153320.47039751</v>
      </c>
      <c r="H74" s="1">
        <f t="shared" si="14"/>
        <v>109449743.805814</v>
      </c>
      <c r="I74" s="1">
        <f t="shared" si="14"/>
        <v>113228663.67316701</v>
      </c>
      <c r="J74" s="1">
        <f t="shared" si="14"/>
        <v>128324174.161107</v>
      </c>
      <c r="K74" s="1">
        <f t="shared" si="14"/>
        <v>130056895.989032</v>
      </c>
      <c r="L74" s="1">
        <f t="shared" si="14"/>
        <v>139033447.25702101</v>
      </c>
      <c r="M74" s="1">
        <f t="shared" si="14"/>
        <v>179224626.28509501</v>
      </c>
      <c r="N74" s="1">
        <f t="shared" si="14"/>
        <v>195659045.94176599</v>
      </c>
      <c r="O74" s="154">
        <f>SUMIFS(T$115:T$154,$Q$115:$Q$154,$C74,$S$115:$S$154,$B74)</f>
        <v>0</v>
      </c>
      <c r="P74" s="154">
        <f>SUMIFS(U$115:U$154,$Q$115:$Q$154,$C74,$S$115:$S$154,$B74)</f>
        <v>0</v>
      </c>
      <c r="Q74" s="154">
        <f>SUMIFS(V$115:V$154,$Q$115:$Q$154,$C74,$S$115:$S$154,$B74)</f>
        <v>0</v>
      </c>
      <c r="R74" s="154">
        <f>SUMIFS(W$115:W$154,$Q$115:$Q$154,$C74,$S$115:$S$154,$B74)</f>
        <v>0</v>
      </c>
      <c r="S74" s="154">
        <f>SUMIFS(X$115:X$154,$Q$115:$Q$154,$C74,$S$115:$S$154,$B74)</f>
        <v>0</v>
      </c>
      <c r="T74" s="154">
        <f>SUMIFS(Y$115:Y$154,$Q$115:$Q$154,$C74,$S$115:$S$154,$B74)</f>
        <v>0</v>
      </c>
      <c r="U74" s="154">
        <f>SUMIFS(Z$115:Z$154,$Q$115:$Q$154,$C74,$S$115:$S$154,$B74)</f>
        <v>0</v>
      </c>
      <c r="V74" s="154">
        <f>SUMIFS(AA$115:AA$154,$Q$115:$Q$154,$C74,$S$115:$S$154,$B74)</f>
        <v>0</v>
      </c>
    </row>
    <row r="75" spans="1:22">
      <c r="A75" t="s">
        <v>4</v>
      </c>
      <c r="B75" t="s">
        <v>445</v>
      </c>
      <c r="C75" t="s">
        <v>16</v>
      </c>
      <c r="D75" t="s">
        <v>13</v>
      </c>
      <c r="E75" t="e">
        <f>NA()</f>
        <v>#N/A</v>
      </c>
      <c r="F75" t="e">
        <f>NA()</f>
        <v>#N/A</v>
      </c>
      <c r="G75" s="1">
        <f t="shared" si="14"/>
        <v>21516549.318470199</v>
      </c>
      <c r="H75" s="1">
        <f t="shared" si="14"/>
        <v>55128602.239687301</v>
      </c>
      <c r="I75" s="1">
        <f t="shared" si="14"/>
        <v>65349711.600884199</v>
      </c>
      <c r="J75" s="1">
        <f t="shared" si="14"/>
        <v>83417634.058887795</v>
      </c>
      <c r="K75" s="1">
        <f t="shared" si="14"/>
        <v>83550463.663565397</v>
      </c>
      <c r="L75" s="1">
        <f t="shared" si="14"/>
        <v>103668021.94797</v>
      </c>
      <c r="M75" s="1">
        <f t="shared" si="14"/>
        <v>121762989.960372</v>
      </c>
      <c r="N75" s="1">
        <f t="shared" si="14"/>
        <v>171302313.82977298</v>
      </c>
      <c r="O75" s="154">
        <f>SUMIFS(T$115:T$154,$Q$115:$Q$154,$C75,$S$115:$S$154,$B75)</f>
        <v>0</v>
      </c>
      <c r="P75" s="154">
        <f>SUMIFS(U$115:U$154,$Q$115:$Q$154,$C75,$S$115:$S$154,$B75)</f>
        <v>0</v>
      </c>
      <c r="Q75" s="154">
        <f>SUMIFS(V$115:V$154,$Q$115:$Q$154,$C75,$S$115:$S$154,$B75)</f>
        <v>0</v>
      </c>
      <c r="R75" s="154">
        <f>SUMIFS(W$115:W$154,$Q$115:$Q$154,$C75,$S$115:$S$154,$B75)</f>
        <v>0</v>
      </c>
      <c r="S75" s="154">
        <f>SUMIFS(X$115:X$154,$Q$115:$Q$154,$C75,$S$115:$S$154,$B75)</f>
        <v>0</v>
      </c>
      <c r="T75" s="154">
        <f>SUMIFS(Y$115:Y$154,$Q$115:$Q$154,$C75,$S$115:$S$154,$B75)</f>
        <v>0</v>
      </c>
      <c r="U75" s="154">
        <f>SUMIFS(Z$115:Z$154,$Q$115:$Q$154,$C75,$S$115:$S$154,$B75)</f>
        <v>0</v>
      </c>
      <c r="V75" s="154">
        <f>SUMIFS(AA$115:AA$154,$Q$115:$Q$154,$C75,$S$115:$S$154,$B75)</f>
        <v>0</v>
      </c>
    </row>
    <row r="76" spans="1:22">
      <c r="A76" t="s">
        <v>4</v>
      </c>
      <c r="B76" t="s">
        <v>445</v>
      </c>
      <c r="C76" t="s">
        <v>17</v>
      </c>
      <c r="D76" t="s">
        <v>13</v>
      </c>
      <c r="E76" t="e">
        <f>NA()</f>
        <v>#N/A</v>
      </c>
      <c r="F76" t="e">
        <f>NA()</f>
        <v>#N/A</v>
      </c>
      <c r="G76" s="1">
        <f t="shared" si="14"/>
        <v>14627998.112011898</v>
      </c>
      <c r="H76" s="1">
        <f t="shared" si="14"/>
        <v>14645538.091604799</v>
      </c>
      <c r="I76" s="1">
        <f t="shared" si="14"/>
        <v>25587731.003884699</v>
      </c>
      <c r="J76" s="1">
        <f t="shared" si="14"/>
        <v>32732246.950413302</v>
      </c>
      <c r="K76" s="1">
        <f t="shared" si="14"/>
        <v>33760850.351018898</v>
      </c>
      <c r="L76" s="1">
        <f t="shared" si="14"/>
        <v>39768467.599635303</v>
      </c>
      <c r="M76" s="1">
        <f t="shared" si="14"/>
        <v>46429276.9184267</v>
      </c>
      <c r="N76" s="1">
        <f t="shared" si="14"/>
        <v>62046572.211263999</v>
      </c>
      <c r="O76" s="154">
        <f>SUMIFS(T$115:T$154,$Q$115:$Q$154,$C76,$S$115:$S$154,$B76)</f>
        <v>0</v>
      </c>
      <c r="P76" s="154">
        <f>SUMIFS(U$115:U$154,$Q$115:$Q$154,$C76,$S$115:$S$154,$B76)</f>
        <v>0</v>
      </c>
      <c r="Q76" s="154">
        <f>SUMIFS(V$115:V$154,$Q$115:$Q$154,$C76,$S$115:$S$154,$B76)</f>
        <v>0</v>
      </c>
      <c r="R76" s="154">
        <f>SUMIFS(W$115:W$154,$Q$115:$Q$154,$C76,$S$115:$S$154,$B76)</f>
        <v>0</v>
      </c>
      <c r="S76" s="154">
        <f>SUMIFS(X$115:X$154,$Q$115:$Q$154,$C76,$S$115:$S$154,$B76)</f>
        <v>0</v>
      </c>
      <c r="T76" s="154">
        <f>SUMIFS(Y$115:Y$154,$Q$115:$Q$154,$C76,$S$115:$S$154,$B76)</f>
        <v>0</v>
      </c>
      <c r="U76" s="154">
        <f>SUMIFS(Z$115:Z$154,$Q$115:$Q$154,$C76,$S$115:$S$154,$B76)</f>
        <v>0</v>
      </c>
      <c r="V76" s="154">
        <f>SUMIFS(AA$115:AA$154,$Q$115:$Q$154,$C76,$S$115:$S$154,$B76)</f>
        <v>0</v>
      </c>
    </row>
    <row r="81" spans="1:13">
      <c r="E81">
        <v>2015</v>
      </c>
      <c r="F81">
        <v>2020</v>
      </c>
      <c r="G81">
        <v>2025</v>
      </c>
      <c r="H81">
        <v>2030</v>
      </c>
      <c r="I81">
        <v>2035</v>
      </c>
      <c r="J81">
        <v>2040</v>
      </c>
      <c r="K81">
        <v>2045</v>
      </c>
      <c r="L81">
        <v>2050</v>
      </c>
    </row>
    <row r="82" spans="1:13">
      <c r="B82" t="s">
        <v>5</v>
      </c>
      <c r="C82" t="s">
        <v>6</v>
      </c>
      <c r="D82" t="s">
        <v>7</v>
      </c>
      <c r="E82" t="s">
        <v>8</v>
      </c>
      <c r="F82" t="str">
        <f t="shared" ref="F82:L82" si="15">$E82&amp;"_"&amp;F81</f>
        <v>erg_inp_2020</v>
      </c>
      <c r="G82" t="str">
        <f t="shared" si="15"/>
        <v>erg_inp_2025</v>
      </c>
      <c r="H82" t="str">
        <f t="shared" si="15"/>
        <v>erg_inp_2030</v>
      </c>
      <c r="I82" t="str">
        <f t="shared" si="15"/>
        <v>erg_inp_2035</v>
      </c>
      <c r="J82" t="str">
        <f t="shared" si="15"/>
        <v>erg_inp_2040</v>
      </c>
      <c r="K82" t="str">
        <f t="shared" si="15"/>
        <v>erg_inp_2045</v>
      </c>
      <c r="L82" t="str">
        <f t="shared" si="15"/>
        <v>erg_inp_2050</v>
      </c>
      <c r="M82" t="s">
        <v>27</v>
      </c>
    </row>
    <row r="83" spans="1:13">
      <c r="A83" t="s">
        <v>28</v>
      </c>
      <c r="B83" t="s">
        <v>11</v>
      </c>
      <c r="C83" t="s">
        <v>14</v>
      </c>
      <c r="D83" t="s">
        <v>13</v>
      </c>
      <c r="E83">
        <f t="shared" ref="E83:L92" si="16">INDEX($G$103:$N$112,MATCH($B83&amp;"."&amp;$C83&amp;"."&amp;$M83,$A$103:$A$112,0),MATCH(E$81,$G$102:$N$102,0))</f>
        <v>195450.84420000002</v>
      </c>
      <c r="F83">
        <f t="shared" si="16"/>
        <v>536167.62299361755</v>
      </c>
      <c r="G83">
        <f t="shared" si="16"/>
        <v>952599.24151914846</v>
      </c>
      <c r="H83">
        <f t="shared" si="16"/>
        <v>1293316.0203127661</v>
      </c>
      <c r="I83">
        <f t="shared" si="16"/>
        <v>1305935.1602680848</v>
      </c>
      <c r="J83">
        <f t="shared" si="16"/>
        <v>1343792.5801340416</v>
      </c>
      <c r="K83">
        <f t="shared" si="16"/>
        <v>1381649.9999999981</v>
      </c>
      <c r="L83">
        <f t="shared" si="16"/>
        <v>1381649.9999999981</v>
      </c>
      <c r="M83" t="s">
        <v>124</v>
      </c>
    </row>
    <row r="84" spans="1:13">
      <c r="A84" t="s">
        <v>28</v>
      </c>
      <c r="B84" t="s">
        <v>11</v>
      </c>
      <c r="C84" t="s">
        <v>14</v>
      </c>
      <c r="D84" t="s">
        <v>13</v>
      </c>
      <c r="E84">
        <f t="shared" si="16"/>
        <v>195450.84420000002</v>
      </c>
      <c r="F84">
        <f t="shared" si="16"/>
        <v>809146.80323076842</v>
      </c>
      <c r="G84">
        <f t="shared" si="16"/>
        <v>1724307.4438906894</v>
      </c>
      <c r="H84">
        <f t="shared" si="16"/>
        <v>2477969.147963562</v>
      </c>
      <c r="I84">
        <f t="shared" si="16"/>
        <v>2704067.6591854244</v>
      </c>
      <c r="J84">
        <f t="shared" si="16"/>
        <v>2800967.0211376501</v>
      </c>
      <c r="K84">
        <f t="shared" si="16"/>
        <v>2844033.4042275287</v>
      </c>
      <c r="L84">
        <f t="shared" si="16"/>
        <v>2854800.0000000005</v>
      </c>
      <c r="M84" t="s">
        <v>125</v>
      </c>
    </row>
    <row r="85" spans="1:13">
      <c r="A85" t="s">
        <v>28</v>
      </c>
      <c r="B85" t="s">
        <v>23</v>
      </c>
      <c r="C85" t="s">
        <v>14</v>
      </c>
      <c r="D85" t="s">
        <v>13</v>
      </c>
      <c r="E85">
        <f t="shared" si="16"/>
        <v>0</v>
      </c>
      <c r="F85">
        <f t="shared" si="16"/>
        <v>71841.538461538454</v>
      </c>
      <c r="G85">
        <f t="shared" si="16"/>
        <v>174472.30769230769</v>
      </c>
      <c r="H85">
        <f t="shared" si="16"/>
        <v>307892.30769230792</v>
      </c>
      <c r="I85">
        <f t="shared" si="16"/>
        <v>369470.76923076913</v>
      </c>
      <c r="J85">
        <f t="shared" si="16"/>
        <v>369470.76923076913</v>
      </c>
      <c r="K85">
        <f t="shared" si="16"/>
        <v>400260.00000000012</v>
      </c>
      <c r="L85">
        <f t="shared" si="16"/>
        <v>400260</v>
      </c>
      <c r="M85" t="s">
        <v>124</v>
      </c>
    </row>
    <row r="86" spans="1:13">
      <c r="A86" t="s">
        <v>28</v>
      </c>
      <c r="B86" t="s">
        <v>23</v>
      </c>
      <c r="C86" t="s">
        <v>14</v>
      </c>
      <c r="D86" t="s">
        <v>13</v>
      </c>
      <c r="E86">
        <f t="shared" si="16"/>
        <v>0</v>
      </c>
      <c r="F86">
        <f t="shared" si="16"/>
        <v>97521.445221445611</v>
      </c>
      <c r="G86">
        <f t="shared" si="16"/>
        <v>282812.19114219141</v>
      </c>
      <c r="H86">
        <f t="shared" si="16"/>
        <v>663145.82750582765</v>
      </c>
      <c r="I86">
        <f t="shared" si="16"/>
        <v>1297035.2214452254</v>
      </c>
      <c r="J86">
        <f t="shared" si="16"/>
        <v>2252745.3846153845</v>
      </c>
      <c r="K86">
        <f t="shared" si="16"/>
        <v>3296224.8484848496</v>
      </c>
      <c r="L86">
        <f t="shared" si="16"/>
        <v>4183670</v>
      </c>
      <c r="M86" t="s">
        <v>125</v>
      </c>
    </row>
    <row r="87" spans="1:13">
      <c r="A87" t="s">
        <v>28</v>
      </c>
      <c r="B87" t="s">
        <v>141</v>
      </c>
      <c r="C87" t="s">
        <v>14</v>
      </c>
      <c r="D87" t="s">
        <v>13</v>
      </c>
      <c r="E87">
        <f t="shared" si="16"/>
        <v>89100</v>
      </c>
      <c r="F87">
        <f t="shared" si="16"/>
        <v>138600</v>
      </c>
      <c r="G87">
        <f t="shared" si="16"/>
        <v>247500</v>
      </c>
      <c r="H87">
        <f t="shared" si="16"/>
        <v>564300</v>
      </c>
      <c r="I87">
        <f t="shared" si="16"/>
        <v>762300</v>
      </c>
      <c r="J87">
        <f t="shared" si="16"/>
        <v>1009800</v>
      </c>
      <c r="K87">
        <f t="shared" si="16"/>
        <v>1237500</v>
      </c>
      <c r="L87">
        <f t="shared" si="16"/>
        <v>1395900</v>
      </c>
      <c r="M87" t="s">
        <v>124</v>
      </c>
    </row>
    <row r="88" spans="1:13">
      <c r="A88" t="s">
        <v>28</v>
      </c>
      <c r="B88" t="s">
        <v>141</v>
      </c>
      <c r="C88" t="s">
        <v>14</v>
      </c>
      <c r="D88" t="s">
        <v>13</v>
      </c>
      <c r="E88">
        <f t="shared" si="16"/>
        <v>346500</v>
      </c>
      <c r="F88">
        <f t="shared" si="16"/>
        <v>653400</v>
      </c>
      <c r="G88">
        <f t="shared" si="16"/>
        <v>980100</v>
      </c>
      <c r="H88">
        <f t="shared" si="16"/>
        <v>1445400</v>
      </c>
      <c r="I88">
        <f t="shared" si="16"/>
        <v>1742400</v>
      </c>
      <c r="J88">
        <f t="shared" si="16"/>
        <v>2564100</v>
      </c>
      <c r="K88">
        <f t="shared" si="16"/>
        <v>3395700</v>
      </c>
      <c r="L88">
        <f t="shared" si="16"/>
        <v>4217400</v>
      </c>
      <c r="M88" t="s">
        <v>125</v>
      </c>
    </row>
    <row r="89" spans="1:13">
      <c r="A89" t="s">
        <v>28</v>
      </c>
      <c r="B89" t="s">
        <v>131</v>
      </c>
      <c r="C89" t="s">
        <v>14</v>
      </c>
      <c r="D89" t="s">
        <v>13</v>
      </c>
      <c r="E89">
        <f t="shared" si="16"/>
        <v>210000</v>
      </c>
      <c r="F89">
        <f t="shared" si="16"/>
        <v>340000</v>
      </c>
      <c r="G89">
        <f t="shared" si="16"/>
        <v>550000</v>
      </c>
      <c r="H89">
        <f t="shared" si="16"/>
        <v>960000</v>
      </c>
      <c r="I89">
        <f t="shared" si="16"/>
        <v>2520000</v>
      </c>
      <c r="J89">
        <f t="shared" si="16"/>
        <v>3480000</v>
      </c>
      <c r="K89">
        <f t="shared" si="16"/>
        <v>4730000</v>
      </c>
      <c r="L89">
        <f t="shared" si="16"/>
        <v>5920000</v>
      </c>
      <c r="M89" t="s">
        <v>124</v>
      </c>
    </row>
    <row r="90" spans="1:13">
      <c r="A90" t="s">
        <v>28</v>
      </c>
      <c r="B90" t="s">
        <v>131</v>
      </c>
      <c r="C90" t="s">
        <v>14</v>
      </c>
      <c r="D90" t="s">
        <v>13</v>
      </c>
      <c r="E90">
        <f t="shared" si="16"/>
        <v>280000</v>
      </c>
      <c r="F90">
        <f t="shared" si="16"/>
        <v>520000</v>
      </c>
      <c r="G90">
        <f t="shared" si="16"/>
        <v>980000</v>
      </c>
      <c r="H90">
        <f t="shared" si="16"/>
        <v>1910000</v>
      </c>
      <c r="I90">
        <f t="shared" si="16"/>
        <v>4440000</v>
      </c>
      <c r="J90">
        <f t="shared" si="16"/>
        <v>6740000</v>
      </c>
      <c r="K90">
        <f t="shared" si="16"/>
        <v>9230000</v>
      </c>
      <c r="L90">
        <f t="shared" si="16"/>
        <v>11120000</v>
      </c>
      <c r="M90" t="s">
        <v>125</v>
      </c>
    </row>
    <row r="91" spans="1:13">
      <c r="A91" t="s">
        <v>28</v>
      </c>
      <c r="B91" t="s">
        <v>473</v>
      </c>
      <c r="C91" t="s">
        <v>14</v>
      </c>
      <c r="D91" t="s">
        <v>13</v>
      </c>
      <c r="E91">
        <f t="shared" si="16"/>
        <v>2623500</v>
      </c>
      <c r="F91">
        <f t="shared" si="16"/>
        <v>3900600</v>
      </c>
      <c r="G91">
        <f t="shared" si="16"/>
        <v>6831000</v>
      </c>
      <c r="H91">
        <f t="shared" si="16"/>
        <v>9919800.0000000019</v>
      </c>
      <c r="I91">
        <f t="shared" si="16"/>
        <v>22067100</v>
      </c>
      <c r="J91">
        <f t="shared" si="16"/>
        <v>21384000</v>
      </c>
      <c r="K91">
        <f t="shared" si="16"/>
        <v>21760200</v>
      </c>
      <c r="L91">
        <f t="shared" si="16"/>
        <v>21433500</v>
      </c>
      <c r="M91" t="s">
        <v>124</v>
      </c>
    </row>
    <row r="92" spans="1:13">
      <c r="A92" t="s">
        <v>28</v>
      </c>
      <c r="B92" t="s">
        <v>473</v>
      </c>
      <c r="C92" t="s">
        <v>14</v>
      </c>
      <c r="D92" t="s">
        <v>13</v>
      </c>
      <c r="E92">
        <f t="shared" si="16"/>
        <v>2673000</v>
      </c>
      <c r="F92">
        <f t="shared" si="16"/>
        <v>3098700</v>
      </c>
      <c r="G92">
        <f t="shared" si="16"/>
        <v>3356100</v>
      </c>
      <c r="H92">
        <f t="shared" si="16"/>
        <v>3583800</v>
      </c>
      <c r="I92">
        <f t="shared" si="16"/>
        <v>3544200</v>
      </c>
      <c r="J92">
        <f t="shared" si="16"/>
        <v>3405600</v>
      </c>
      <c r="K92">
        <f t="shared" si="16"/>
        <v>3415500</v>
      </c>
      <c r="L92">
        <f t="shared" si="16"/>
        <v>3415500</v>
      </c>
      <c r="M92" t="s">
        <v>125</v>
      </c>
    </row>
    <row r="101" spans="1:15">
      <c r="D101" s="157" t="s">
        <v>432</v>
      </c>
      <c r="G101" s="157" t="s">
        <v>130</v>
      </c>
    </row>
    <row r="102" spans="1:15">
      <c r="D102" s="157" t="s">
        <v>5</v>
      </c>
      <c r="E102" s="157" t="s">
        <v>6</v>
      </c>
      <c r="F102" s="157" t="s">
        <v>30</v>
      </c>
      <c r="G102">
        <v>2015</v>
      </c>
      <c r="H102">
        <v>2020</v>
      </c>
      <c r="I102">
        <v>2025</v>
      </c>
      <c r="J102">
        <v>2030</v>
      </c>
      <c r="K102">
        <v>2035</v>
      </c>
      <c r="L102">
        <v>2040</v>
      </c>
      <c r="M102">
        <v>2045</v>
      </c>
      <c r="N102">
        <v>2050</v>
      </c>
      <c r="O102" t="s">
        <v>434</v>
      </c>
    </row>
    <row r="103" spans="1:15">
      <c r="A103" t="str">
        <f>B103&amp;"."&amp;C103&amp;"."&amp;F103</f>
        <v>bio_all.CH0.hi_gas</v>
      </c>
      <c r="B103" t="str">
        <f>D103</f>
        <v>bio_all</v>
      </c>
      <c r="C103" t="str">
        <f>E103</f>
        <v>CH0</v>
      </c>
      <c r="D103" t="s">
        <v>11</v>
      </c>
      <c r="E103" t="s">
        <v>14</v>
      </c>
      <c r="F103" t="s">
        <v>124</v>
      </c>
      <c r="G103" s="149">
        <v>195450.84420000002</v>
      </c>
      <c r="H103" s="149">
        <v>536167.62299361755</v>
      </c>
      <c r="I103" s="149">
        <v>952599.24151914846</v>
      </c>
      <c r="J103" s="149">
        <v>1293316.0203127661</v>
      </c>
      <c r="K103" s="149">
        <v>1305935.1602680848</v>
      </c>
      <c r="L103" s="149">
        <v>1343792.5801340416</v>
      </c>
      <c r="M103" s="149">
        <v>1381649.9999999981</v>
      </c>
      <c r="N103" s="149">
        <v>1381649.9999999981</v>
      </c>
      <c r="O103" s="149">
        <v>8390561.4694276545</v>
      </c>
    </row>
    <row r="104" spans="1:15">
      <c r="A104" t="str">
        <f t="shared" ref="A104:A113" si="17">B104&amp;"."&amp;C104&amp;"."&amp;F104</f>
        <v>bio_all.CH0.hi_ren</v>
      </c>
      <c r="B104" t="str">
        <f>B103</f>
        <v>bio_all</v>
      </c>
      <c r="C104" t="str">
        <f>C103</f>
        <v>CH0</v>
      </c>
      <c r="F104" t="s">
        <v>125</v>
      </c>
      <c r="G104" s="149">
        <v>195450.84420000002</v>
      </c>
      <c r="H104" s="149">
        <v>809146.80323076842</v>
      </c>
      <c r="I104" s="149">
        <v>1724307.4438906894</v>
      </c>
      <c r="J104" s="149">
        <v>2477969.147963562</v>
      </c>
      <c r="K104" s="149">
        <v>2704067.6591854244</v>
      </c>
      <c r="L104" s="149">
        <v>2800967.0211376501</v>
      </c>
      <c r="M104" s="149">
        <v>2844033.4042275287</v>
      </c>
      <c r="N104" s="149">
        <v>2854800.0000000005</v>
      </c>
      <c r="O104" s="149">
        <v>16410742.323835623</v>
      </c>
    </row>
    <row r="105" spans="1:15">
      <c r="A105" t="str">
        <f t="shared" si="17"/>
        <v>geothermal.CH0.hi_gas</v>
      </c>
      <c r="B105" t="str">
        <f>D105</f>
        <v>geothermal</v>
      </c>
      <c r="C105" t="str">
        <f>E105</f>
        <v>CH0</v>
      </c>
      <c r="D105" t="s">
        <v>23</v>
      </c>
      <c r="E105" t="s">
        <v>14</v>
      </c>
      <c r="F105" t="s">
        <v>124</v>
      </c>
      <c r="G105" s="149">
        <v>0</v>
      </c>
      <c r="H105" s="149">
        <v>71841.538461538454</v>
      </c>
      <c r="I105" s="149">
        <v>174472.30769230769</v>
      </c>
      <c r="J105" s="149">
        <v>307892.30769230792</v>
      </c>
      <c r="K105" s="149">
        <v>369470.76923076913</v>
      </c>
      <c r="L105" s="149">
        <v>369470.76923076913</v>
      </c>
      <c r="M105" s="149">
        <v>400260.00000000012</v>
      </c>
      <c r="N105" s="149">
        <v>400260</v>
      </c>
      <c r="O105" s="149">
        <v>2093667.6923076925</v>
      </c>
    </row>
    <row r="106" spans="1:15">
      <c r="A106" t="str">
        <f t="shared" si="17"/>
        <v>geothermal.CH0.hi_ren</v>
      </c>
      <c r="B106" t="str">
        <f>B105</f>
        <v>geothermal</v>
      </c>
      <c r="C106" t="str">
        <f>C105</f>
        <v>CH0</v>
      </c>
      <c r="F106" t="s">
        <v>125</v>
      </c>
      <c r="G106" s="149">
        <v>0</v>
      </c>
      <c r="H106" s="149">
        <v>97521.445221445611</v>
      </c>
      <c r="I106" s="149">
        <v>282812.19114219141</v>
      </c>
      <c r="J106" s="149">
        <v>663145.82750582765</v>
      </c>
      <c r="K106" s="149">
        <v>1297035.2214452254</v>
      </c>
      <c r="L106" s="149">
        <v>2252745.3846153845</v>
      </c>
      <c r="M106" s="149">
        <v>3296224.8484848496</v>
      </c>
      <c r="N106" s="149">
        <v>4183670</v>
      </c>
      <c r="O106" s="149">
        <v>12073154.918414924</v>
      </c>
    </row>
    <row r="107" spans="1:15">
      <c r="A107" t="str">
        <f t="shared" si="17"/>
        <v>gas+oil.CH0.hi_gas</v>
      </c>
      <c r="B107" t="str">
        <f t="shared" ref="B107" si="18">D107</f>
        <v>gas+oil</v>
      </c>
      <c r="C107" t="str">
        <f t="shared" ref="C107" si="19">E107</f>
        <v>CH0</v>
      </c>
      <c r="D107" t="s">
        <v>473</v>
      </c>
      <c r="E107" t="s">
        <v>14</v>
      </c>
      <c r="F107" t="s">
        <v>124</v>
      </c>
      <c r="G107" s="149">
        <v>2623500</v>
      </c>
      <c r="H107" s="149">
        <v>3900600</v>
      </c>
      <c r="I107" s="149">
        <v>6831000</v>
      </c>
      <c r="J107" s="149">
        <v>9919800.0000000019</v>
      </c>
      <c r="K107" s="149">
        <v>22067100</v>
      </c>
      <c r="L107" s="149">
        <v>21384000</v>
      </c>
      <c r="M107" s="149">
        <v>21760200</v>
      </c>
      <c r="N107" s="149">
        <v>21433500</v>
      </c>
      <c r="O107" s="149">
        <v>109919700</v>
      </c>
    </row>
    <row r="108" spans="1:15">
      <c r="A108" t="str">
        <f t="shared" si="17"/>
        <v>gas+oil.CH0.hi_ren</v>
      </c>
      <c r="B108" t="str">
        <f t="shared" ref="B108" si="20">B107</f>
        <v>gas+oil</v>
      </c>
      <c r="C108" t="str">
        <f t="shared" ref="C108" si="21">C107</f>
        <v>CH0</v>
      </c>
      <c r="F108" t="s">
        <v>125</v>
      </c>
      <c r="G108" s="149">
        <v>2673000</v>
      </c>
      <c r="H108" s="149">
        <v>3098700</v>
      </c>
      <c r="I108" s="149">
        <v>3356100</v>
      </c>
      <c r="J108" s="149">
        <v>3583800</v>
      </c>
      <c r="K108" s="149">
        <v>3544200</v>
      </c>
      <c r="L108" s="149">
        <v>3405600</v>
      </c>
      <c r="M108" s="149">
        <v>3415500</v>
      </c>
      <c r="N108" s="149">
        <v>3415500</v>
      </c>
      <c r="O108" s="149">
        <v>26492400</v>
      </c>
    </row>
    <row r="109" spans="1:15">
      <c r="A109" t="str">
        <f t="shared" si="17"/>
        <v>photovoltaics.CH0.hi_gas</v>
      </c>
      <c r="B109" t="str">
        <f t="shared" ref="B109" si="22">D109</f>
        <v>photovoltaics</v>
      </c>
      <c r="C109" t="str">
        <f t="shared" ref="C109" si="23">E109</f>
        <v>CH0</v>
      </c>
      <c r="D109" t="s">
        <v>131</v>
      </c>
      <c r="E109" t="s">
        <v>14</v>
      </c>
      <c r="F109" t="s">
        <v>124</v>
      </c>
      <c r="G109" s="149">
        <v>210000</v>
      </c>
      <c r="H109" s="149">
        <v>340000</v>
      </c>
      <c r="I109" s="149">
        <v>550000</v>
      </c>
      <c r="J109" s="149">
        <v>960000</v>
      </c>
      <c r="K109" s="149">
        <v>2520000</v>
      </c>
      <c r="L109" s="149">
        <v>3480000</v>
      </c>
      <c r="M109" s="149">
        <v>4730000</v>
      </c>
      <c r="N109" s="149">
        <v>5920000</v>
      </c>
      <c r="O109" s="149">
        <v>18710000</v>
      </c>
    </row>
    <row r="110" spans="1:15">
      <c r="A110" t="str">
        <f t="shared" si="17"/>
        <v>photovoltaics.CH0.hi_ren</v>
      </c>
      <c r="B110" t="str">
        <f t="shared" ref="B110" si="24">B109</f>
        <v>photovoltaics</v>
      </c>
      <c r="C110" t="str">
        <f t="shared" ref="C110" si="25">C109</f>
        <v>CH0</v>
      </c>
      <c r="F110" t="s">
        <v>125</v>
      </c>
      <c r="G110" s="149">
        <v>280000</v>
      </c>
      <c r="H110" s="149">
        <v>520000</v>
      </c>
      <c r="I110" s="149">
        <v>980000</v>
      </c>
      <c r="J110" s="149">
        <v>1910000</v>
      </c>
      <c r="K110" s="149">
        <v>4440000</v>
      </c>
      <c r="L110" s="149">
        <v>6740000</v>
      </c>
      <c r="M110" s="149">
        <v>9230000</v>
      </c>
      <c r="N110" s="149">
        <v>11120000</v>
      </c>
      <c r="O110" s="149">
        <v>35220000</v>
      </c>
    </row>
    <row r="111" spans="1:15">
      <c r="A111" t="str">
        <f t="shared" si="17"/>
        <v>wind_onshore.CH0.hi_gas</v>
      </c>
      <c r="B111" t="str">
        <f t="shared" ref="B111" si="26">D111</f>
        <v>wind_onshore</v>
      </c>
      <c r="C111" t="str">
        <f t="shared" ref="C111" si="27">E111</f>
        <v>CH0</v>
      </c>
      <c r="D111" t="s">
        <v>141</v>
      </c>
      <c r="E111" t="s">
        <v>14</v>
      </c>
      <c r="F111" t="s">
        <v>124</v>
      </c>
      <c r="G111" s="149">
        <v>89100</v>
      </c>
      <c r="H111" s="149">
        <v>138600</v>
      </c>
      <c r="I111" s="149">
        <v>247500</v>
      </c>
      <c r="J111" s="149">
        <v>564300</v>
      </c>
      <c r="K111" s="149">
        <v>762300</v>
      </c>
      <c r="L111" s="149">
        <v>1009800</v>
      </c>
      <c r="M111" s="149">
        <v>1237500</v>
      </c>
      <c r="N111" s="149">
        <v>1395900</v>
      </c>
      <c r="O111" s="149">
        <v>5445000</v>
      </c>
    </row>
    <row r="112" spans="1:15">
      <c r="A112" t="str">
        <f t="shared" si="17"/>
        <v>wind_onshore.CH0.hi_ren</v>
      </c>
      <c r="B112" t="str">
        <f t="shared" ref="B112:C112" si="28">B111</f>
        <v>wind_onshore</v>
      </c>
      <c r="C112" t="str">
        <f t="shared" si="28"/>
        <v>CH0</v>
      </c>
      <c r="F112" t="s">
        <v>125</v>
      </c>
      <c r="G112" s="149">
        <v>346500</v>
      </c>
      <c r="H112" s="149">
        <v>653400</v>
      </c>
      <c r="I112" s="149">
        <v>980100</v>
      </c>
      <c r="J112" s="149">
        <v>1445400</v>
      </c>
      <c r="K112" s="149">
        <v>1742400</v>
      </c>
      <c r="L112" s="149">
        <v>2564100</v>
      </c>
      <c r="M112" s="149">
        <v>3395700</v>
      </c>
      <c r="N112" s="149">
        <v>4217400</v>
      </c>
      <c r="O112" s="149">
        <v>15345000</v>
      </c>
    </row>
    <row r="113" spans="1:28">
      <c r="A113" t="str">
        <f t="shared" si="17"/>
        <v>..</v>
      </c>
      <c r="D113" t="s">
        <v>434</v>
      </c>
      <c r="G113" s="149">
        <v>6613001.6884000003</v>
      </c>
      <c r="H113" s="149">
        <v>10165977.409907371</v>
      </c>
      <c r="I113" s="149">
        <v>16078891.184244337</v>
      </c>
      <c r="J113" s="149">
        <v>23125623.303474464</v>
      </c>
      <c r="K113" s="149">
        <v>40752508.810129508</v>
      </c>
      <c r="L113" s="149">
        <v>45350475.755117849</v>
      </c>
      <c r="M113" s="149">
        <v>51691068.252712376</v>
      </c>
      <c r="N113" s="149">
        <v>56322680</v>
      </c>
      <c r="O113" s="149">
        <v>250100226.40398589</v>
      </c>
      <c r="P113" s="151"/>
      <c r="Q113" s="150"/>
      <c r="R113" s="157" t="s">
        <v>431</v>
      </c>
      <c r="T113" s="157" t="s">
        <v>130</v>
      </c>
    </row>
    <row r="114" spans="1:28">
      <c r="P114" s="152"/>
      <c r="Q114" s="150"/>
      <c r="R114" s="157" t="s">
        <v>32</v>
      </c>
      <c r="S114" s="157" t="s">
        <v>33</v>
      </c>
      <c r="T114">
        <v>2015</v>
      </c>
      <c r="U114">
        <v>2020</v>
      </c>
      <c r="V114">
        <v>2025</v>
      </c>
      <c r="W114">
        <v>2030</v>
      </c>
      <c r="X114">
        <v>2035</v>
      </c>
      <c r="Y114">
        <v>2040</v>
      </c>
      <c r="Z114">
        <v>2045</v>
      </c>
      <c r="AA114">
        <v>2050</v>
      </c>
      <c r="AB114" t="s">
        <v>434</v>
      </c>
    </row>
    <row r="115" spans="1:28">
      <c r="P115" s="152"/>
      <c r="Q115" t="str">
        <f>IF(ISBLANK(R115),Q114,R115)</f>
        <v>AT0</v>
      </c>
      <c r="R115" t="s">
        <v>12</v>
      </c>
      <c r="S115" t="s">
        <v>11</v>
      </c>
      <c r="T115" s="149">
        <v>1</v>
      </c>
      <c r="U115" s="149">
        <v>1</v>
      </c>
      <c r="V115" s="149">
        <v>1</v>
      </c>
      <c r="W115" s="149">
        <v>1</v>
      </c>
      <c r="X115" s="149">
        <v>1</v>
      </c>
      <c r="Y115" s="149">
        <v>1</v>
      </c>
      <c r="Z115" s="149">
        <v>1</v>
      </c>
      <c r="AA115" s="149">
        <v>1</v>
      </c>
      <c r="AB115" s="149">
        <v>8</v>
      </c>
    </row>
    <row r="116" spans="1:28">
      <c r="P116" s="153"/>
      <c r="Q116" t="str">
        <f t="shared" ref="Q116:Q155" si="29">IF(ISBLANK(R116),Q115,R116)</f>
        <v>AT0</v>
      </c>
      <c r="S116" t="s">
        <v>18</v>
      </c>
      <c r="T116" s="149">
        <v>10.8351179180115</v>
      </c>
      <c r="U116" s="149">
        <v>16.551073991832286</v>
      </c>
      <c r="V116" s="149">
        <v>20.489252716740868</v>
      </c>
      <c r="W116" s="149">
        <v>24.521702625968029</v>
      </c>
      <c r="X116" s="149">
        <v>26.021792846437396</v>
      </c>
      <c r="Y116" s="149">
        <v>27.053473119823831</v>
      </c>
      <c r="Z116" s="149">
        <v>28.084564198308275</v>
      </c>
      <c r="AA116" s="149">
        <v>28.83519850344495</v>
      </c>
      <c r="AB116" s="149">
        <v>182.39217592056715</v>
      </c>
    </row>
    <row r="117" spans="1:28">
      <c r="P117" s="153"/>
      <c r="Q117" t="str">
        <f t="shared" si="29"/>
        <v>AT0</v>
      </c>
      <c r="S117" t="s">
        <v>19</v>
      </c>
      <c r="T117" s="149" t="e">
        <v>#N/A</v>
      </c>
      <c r="U117" s="149" t="e">
        <v>#N/A</v>
      </c>
      <c r="V117" s="149" t="e">
        <v>#N/A</v>
      </c>
      <c r="W117" s="149" t="e">
        <v>#N/A</v>
      </c>
      <c r="X117" s="149" t="e">
        <v>#N/A</v>
      </c>
      <c r="Y117" s="149" t="e">
        <v>#N/A</v>
      </c>
      <c r="Z117" s="149" t="e">
        <v>#N/A</v>
      </c>
      <c r="AA117" s="149" t="e">
        <v>#N/A</v>
      </c>
      <c r="AB117" s="149" t="e">
        <v>#N/A</v>
      </c>
    </row>
    <row r="118" spans="1:28">
      <c r="P118" s="153"/>
      <c r="Q118" t="str">
        <f t="shared" si="29"/>
        <v>AT0</v>
      </c>
      <c r="S118" t="s">
        <v>20</v>
      </c>
      <c r="T118" s="149">
        <v>24.108039300057399</v>
      </c>
      <c r="U118" s="149">
        <v>86.877966688393229</v>
      </c>
      <c r="V118" s="149">
        <v>101.97549685701344</v>
      </c>
      <c r="W118" s="149">
        <v>112.3842139955884</v>
      </c>
      <c r="X118" s="149">
        <v>117.16670901505024</v>
      </c>
      <c r="Y118" s="149">
        <v>124.10565737579955</v>
      </c>
      <c r="Z118" s="149">
        <v>126.9190630328071</v>
      </c>
      <c r="AA118" s="149">
        <v>129.82615067923123</v>
      </c>
      <c r="AB118" s="149">
        <v>823.36329694394055</v>
      </c>
    </row>
    <row r="119" spans="1:28">
      <c r="P119" s="153"/>
      <c r="Q119" t="str">
        <f t="shared" si="29"/>
        <v>AT0</v>
      </c>
      <c r="S119" t="s">
        <v>21</v>
      </c>
      <c r="T119" s="149">
        <v>38</v>
      </c>
      <c r="U119" s="149">
        <v>56.30817839348645</v>
      </c>
      <c r="V119" s="149">
        <v>63.059762775402582</v>
      </c>
      <c r="W119" s="149">
        <v>68.592302905099118</v>
      </c>
      <c r="X119" s="149">
        <v>73.281115935144371</v>
      </c>
      <c r="Y119" s="149">
        <v>75.719204439583592</v>
      </c>
      <c r="Z119" s="149">
        <v>77.312976649469533</v>
      </c>
      <c r="AA119" s="149">
        <v>78.438338912272556</v>
      </c>
      <c r="AB119" s="149">
        <v>530.71188001045823</v>
      </c>
    </row>
    <row r="120" spans="1:28">
      <c r="D120" s="157" t="s">
        <v>30</v>
      </c>
      <c r="E120" t="s">
        <v>31</v>
      </c>
      <c r="P120" s="153"/>
      <c r="Q120" t="str">
        <f t="shared" si="29"/>
        <v>AT0</v>
      </c>
      <c r="S120" t="s">
        <v>22</v>
      </c>
      <c r="T120" s="149" t="e">
        <v>#N/A</v>
      </c>
      <c r="U120" s="149" t="e">
        <v>#N/A</v>
      </c>
      <c r="V120" s="149" t="e">
        <v>#N/A</v>
      </c>
      <c r="W120" s="149" t="e">
        <v>#N/A</v>
      </c>
      <c r="X120" s="149" t="e">
        <v>#N/A</v>
      </c>
      <c r="Y120" s="149" t="e">
        <v>#N/A</v>
      </c>
      <c r="Z120" s="149" t="e">
        <v>#N/A</v>
      </c>
      <c r="AA120" s="149" t="e">
        <v>#N/A</v>
      </c>
      <c r="AB120" s="149" t="e">
        <v>#N/A</v>
      </c>
    </row>
    <row r="121" spans="1:28">
      <c r="P121" s="153"/>
      <c r="Q121" t="str">
        <f t="shared" si="29"/>
        <v>AT0</v>
      </c>
      <c r="S121" t="s">
        <v>24</v>
      </c>
      <c r="T121" s="149">
        <v>0.5</v>
      </c>
      <c r="U121" s="149">
        <v>0.5</v>
      </c>
      <c r="V121" s="149">
        <v>0.5</v>
      </c>
      <c r="W121" s="149">
        <v>0.5</v>
      </c>
      <c r="X121" s="149">
        <v>0.5</v>
      </c>
      <c r="Y121" s="149">
        <v>0.5</v>
      </c>
      <c r="Z121" s="149">
        <v>0.5</v>
      </c>
      <c r="AA121" s="149">
        <v>0.5</v>
      </c>
      <c r="AB121" s="149">
        <v>4</v>
      </c>
    </row>
    <row r="122" spans="1:28">
      <c r="D122" s="157" t="s">
        <v>432</v>
      </c>
      <c r="F122" s="157" t="s">
        <v>130</v>
      </c>
      <c r="P122" s="153"/>
      <c r="Q122" t="str">
        <f t="shared" si="29"/>
        <v>AT0</v>
      </c>
      <c r="S122" t="s">
        <v>444</v>
      </c>
      <c r="T122" s="149">
        <v>300</v>
      </c>
      <c r="U122" s="149">
        <v>300</v>
      </c>
      <c r="V122" s="149">
        <v>300</v>
      </c>
      <c r="W122" s="149">
        <v>300</v>
      </c>
      <c r="X122" s="149">
        <v>300</v>
      </c>
      <c r="Y122" s="149">
        <v>300</v>
      </c>
      <c r="Z122" s="149">
        <v>300</v>
      </c>
      <c r="AA122" s="149">
        <v>300</v>
      </c>
      <c r="AB122" s="149">
        <v>2400</v>
      </c>
    </row>
    <row r="123" spans="1:28">
      <c r="D123" s="157" t="s">
        <v>6</v>
      </c>
      <c r="E123" s="157" t="s">
        <v>5</v>
      </c>
      <c r="F123">
        <v>2015</v>
      </c>
      <c r="G123">
        <v>2020</v>
      </c>
      <c r="H123">
        <v>2025</v>
      </c>
      <c r="I123">
        <v>2030</v>
      </c>
      <c r="J123">
        <v>2035</v>
      </c>
      <c r="K123">
        <v>2040</v>
      </c>
      <c r="L123">
        <v>2045</v>
      </c>
      <c r="M123">
        <v>2050</v>
      </c>
      <c r="N123" t="s">
        <v>434</v>
      </c>
      <c r="P123" s="153"/>
      <c r="Q123" t="str">
        <f t="shared" si="29"/>
        <v>CH0</v>
      </c>
      <c r="R123" t="s">
        <v>14</v>
      </c>
      <c r="S123" t="s">
        <v>11</v>
      </c>
      <c r="T123" s="149">
        <v>1</v>
      </c>
      <c r="U123" s="149">
        <v>1</v>
      </c>
      <c r="V123" s="149">
        <v>1</v>
      </c>
      <c r="W123" s="149">
        <v>1</v>
      </c>
      <c r="X123" s="149">
        <v>1</v>
      </c>
      <c r="Y123" s="149">
        <v>1</v>
      </c>
      <c r="Z123" s="149">
        <v>1</v>
      </c>
      <c r="AA123" s="149">
        <v>1</v>
      </c>
      <c r="AB123" s="149">
        <v>8</v>
      </c>
    </row>
    <row r="124" spans="1:28">
      <c r="B124" t="str">
        <f>C124&amp;"."&amp;E124</f>
        <v>AT0.bio_all</v>
      </c>
      <c r="C124" t="str">
        <f>D124</f>
        <v>AT0</v>
      </c>
      <c r="D124" t="s">
        <v>12</v>
      </c>
      <c r="E124" t="s">
        <v>11</v>
      </c>
      <c r="F124" s="193">
        <v>2423148.9838005793</v>
      </c>
      <c r="G124" s="193">
        <v>2974980.2506999201</v>
      </c>
      <c r="H124" s="193">
        <v>2924886.9137359373</v>
      </c>
      <c r="I124" s="193">
        <v>3111586.357228654</v>
      </c>
      <c r="J124" s="193">
        <v>3085255.2703492199</v>
      </c>
      <c r="K124" s="193">
        <v>3952287.9510068707</v>
      </c>
      <c r="L124" s="193">
        <v>3793068.0819988763</v>
      </c>
      <c r="M124" s="193">
        <v>3236918.6248831465</v>
      </c>
      <c r="N124" s="193">
        <v>25502132.433703203</v>
      </c>
      <c r="P124" s="153"/>
      <c r="Q124" t="str">
        <f t="shared" si="29"/>
        <v>CH0</v>
      </c>
      <c r="S124" t="s">
        <v>18</v>
      </c>
      <c r="T124" s="149">
        <v>0</v>
      </c>
      <c r="U124" s="149">
        <v>16.551073991832286</v>
      </c>
      <c r="V124" s="149">
        <v>20.489252716740868</v>
      </c>
      <c r="W124" s="149">
        <v>24.521702625968029</v>
      </c>
      <c r="X124" s="149">
        <v>26.021792846437396</v>
      </c>
      <c r="Y124" s="149">
        <v>27.053473119823831</v>
      </c>
      <c r="Z124" s="149">
        <v>28.084564198308275</v>
      </c>
      <c r="AA124" s="149">
        <v>28.83519850344495</v>
      </c>
      <c r="AB124" s="149">
        <v>171.55705800255564</v>
      </c>
    </row>
    <row r="125" spans="1:28">
      <c r="B125" t="str">
        <f t="shared" ref="B125:B132" si="30">C125&amp;"."&amp;E125</f>
        <v>AT0.reservoir</v>
      </c>
      <c r="C125" t="str">
        <f t="shared" ref="C125:C132" si="31">C124</f>
        <v>AT0</v>
      </c>
      <c r="E125" t="s">
        <v>25</v>
      </c>
      <c r="F125" s="193">
        <v>15118028.956862194</v>
      </c>
      <c r="G125" s="193">
        <v>16135879.341940753</v>
      </c>
      <c r="H125" s="193">
        <v>17440415.692088179</v>
      </c>
      <c r="I125" s="193">
        <v>17450514.367631763</v>
      </c>
      <c r="J125" s="193">
        <v>17663854.215685692</v>
      </c>
      <c r="K125" s="193">
        <v>17744118.752142385</v>
      </c>
      <c r="L125" s="193">
        <v>17753828.588872984</v>
      </c>
      <c r="M125" s="193">
        <v>18105633.593002651</v>
      </c>
      <c r="N125" s="193">
        <v>137412273.5082266</v>
      </c>
      <c r="P125" s="153"/>
      <c r="Q125" t="str">
        <f t="shared" si="29"/>
        <v>CH0</v>
      </c>
      <c r="S125" t="s">
        <v>19</v>
      </c>
      <c r="T125" s="149" t="e">
        <v>#N/A</v>
      </c>
      <c r="U125" s="149" t="e">
        <v>#N/A</v>
      </c>
      <c r="V125" s="149" t="e">
        <v>#N/A</v>
      </c>
      <c r="W125" s="149" t="e">
        <v>#N/A</v>
      </c>
      <c r="X125" s="149" t="e">
        <v>#N/A</v>
      </c>
      <c r="Y125" s="149" t="e">
        <v>#N/A</v>
      </c>
      <c r="Z125" s="149" t="e">
        <v>#N/A</v>
      </c>
      <c r="AA125" s="149" t="e">
        <v>#N/A</v>
      </c>
      <c r="AB125" s="149" t="e">
        <v>#N/A</v>
      </c>
    </row>
    <row r="126" spans="1:28">
      <c r="B126" t="str">
        <f t="shared" si="30"/>
        <v>AT0.run_of_river</v>
      </c>
      <c r="C126" t="str">
        <f t="shared" si="31"/>
        <v>AT0</v>
      </c>
      <c r="E126" t="s">
        <v>26</v>
      </c>
      <c r="F126" s="193">
        <v>25481082.630432401</v>
      </c>
      <c r="G126" s="193">
        <v>26647681.743940674</v>
      </c>
      <c r="H126" s="193">
        <v>26647681.743940674</v>
      </c>
      <c r="I126" s="193">
        <v>26656568.281314448</v>
      </c>
      <c r="J126" s="193">
        <v>26837653.331372693</v>
      </c>
      <c r="K126" s="193">
        <v>26899851.458366077</v>
      </c>
      <c r="L126" s="193">
        <v>26899851.458366077</v>
      </c>
      <c r="M126" s="193">
        <v>27212500.20961567</v>
      </c>
      <c r="N126" s="193">
        <v>213282870.85734871</v>
      </c>
      <c r="P126" s="153"/>
      <c r="Q126" t="str">
        <f t="shared" si="29"/>
        <v>CH0</v>
      </c>
      <c r="S126" t="s">
        <v>20</v>
      </c>
      <c r="T126" s="149">
        <v>29.241509433962261</v>
      </c>
      <c r="U126" s="149">
        <v>86.877966688393229</v>
      </c>
      <c r="V126" s="149">
        <v>101.97549685701344</v>
      </c>
      <c r="W126" s="149">
        <v>112.3842139955884</v>
      </c>
      <c r="X126" s="149">
        <v>117.16670901505024</v>
      </c>
      <c r="Y126" s="149">
        <v>124.10565737579955</v>
      </c>
      <c r="Z126" s="149">
        <v>126.9190630328071</v>
      </c>
      <c r="AA126" s="149">
        <v>129.82615067923123</v>
      </c>
      <c r="AB126" s="149">
        <v>828.49676707784545</v>
      </c>
    </row>
    <row r="127" spans="1:28">
      <c r="B127" t="str">
        <f t="shared" si="30"/>
        <v>AT0.waste_mix</v>
      </c>
      <c r="C127" t="str">
        <f t="shared" si="31"/>
        <v>AT0</v>
      </c>
      <c r="E127" t="s">
        <v>24</v>
      </c>
      <c r="F127" s="193">
        <v>628843.82735840243</v>
      </c>
      <c r="G127" s="193">
        <v>772052.39119534066</v>
      </c>
      <c r="H127" s="193">
        <v>759052.41226206953</v>
      </c>
      <c r="I127" s="193">
        <v>807503.74290518195</v>
      </c>
      <c r="J127" s="193">
        <v>800670.42742913566</v>
      </c>
      <c r="K127" s="193">
        <v>1025678.5276303918</v>
      </c>
      <c r="L127" s="193">
        <v>984358.56237532489</v>
      </c>
      <c r="M127" s="193">
        <v>840029.36283621169</v>
      </c>
      <c r="N127" s="193">
        <v>6618189.2539920583</v>
      </c>
      <c r="P127" s="153"/>
      <c r="Q127" t="str">
        <f t="shared" si="29"/>
        <v>CH0</v>
      </c>
      <c r="S127" t="s">
        <v>21</v>
      </c>
      <c r="T127" s="149">
        <v>63.29</v>
      </c>
      <c r="U127" s="149">
        <v>56.30817839348645</v>
      </c>
      <c r="V127" s="149">
        <v>63.059762775402582</v>
      </c>
      <c r="W127" s="149">
        <v>68.592302905099118</v>
      </c>
      <c r="X127" s="149">
        <v>73.281115935144371</v>
      </c>
      <c r="Y127" s="149">
        <v>75.719204439583592</v>
      </c>
      <c r="Z127" s="149">
        <v>77.312976649469533</v>
      </c>
      <c r="AA127" s="149">
        <v>78.438338912272556</v>
      </c>
      <c r="AB127" s="149">
        <v>556.00188001045819</v>
      </c>
    </row>
    <row r="128" spans="1:28">
      <c r="B128" t="str">
        <f t="shared" si="30"/>
        <v>AT0.natural_gas</v>
      </c>
      <c r="C128" t="str">
        <f t="shared" si="31"/>
        <v>AT0</v>
      </c>
      <c r="E128" t="s">
        <v>21</v>
      </c>
      <c r="F128" s="193">
        <v>6706152.0955656618</v>
      </c>
      <c r="G128" s="193">
        <v>13936802.34363615</v>
      </c>
      <c r="H128" s="193">
        <v>13429319.477037651</v>
      </c>
      <c r="I128" s="193">
        <v>14443443.116787661</v>
      </c>
      <c r="J128" s="193">
        <v>19208570.310340982</v>
      </c>
      <c r="K128" s="193">
        <v>19737238.551186319</v>
      </c>
      <c r="L128" s="193">
        <v>19584917.188930467</v>
      </c>
      <c r="M128" s="193">
        <v>17289143.838449109</v>
      </c>
      <c r="N128" s="193">
        <v>124335586.92193401</v>
      </c>
      <c r="P128" s="153"/>
      <c r="Q128" t="str">
        <f t="shared" si="29"/>
        <v>CH0</v>
      </c>
      <c r="S128" t="s">
        <v>22</v>
      </c>
      <c r="T128" s="149">
        <v>1.881</v>
      </c>
      <c r="U128" s="149">
        <v>1.881</v>
      </c>
      <c r="V128" s="149">
        <v>1.881</v>
      </c>
      <c r="W128" s="149">
        <v>1.881</v>
      </c>
      <c r="X128" s="149">
        <v>1.881</v>
      </c>
      <c r="Y128" s="149">
        <v>1.881</v>
      </c>
      <c r="Z128" s="149">
        <v>1.881</v>
      </c>
      <c r="AA128" s="149">
        <v>1.881</v>
      </c>
      <c r="AB128" s="149">
        <v>15.048</v>
      </c>
    </row>
    <row r="129" spans="2:28">
      <c r="B129" t="str">
        <f t="shared" si="30"/>
        <v>AT0.hard_coal</v>
      </c>
      <c r="C129" t="str">
        <f t="shared" si="31"/>
        <v>AT0</v>
      </c>
      <c r="E129" t="s">
        <v>18</v>
      </c>
      <c r="F129" s="193">
        <v>3837415.2229196681</v>
      </c>
      <c r="G129" s="193">
        <v>4519671.393254864</v>
      </c>
      <c r="H129" s="193">
        <v>3036771.1119949338</v>
      </c>
      <c r="I129" s="193">
        <v>3010198.1130111003</v>
      </c>
      <c r="J129" s="193">
        <v>82034.509970361454</v>
      </c>
      <c r="K129" s="193">
        <v>75421.920645173042</v>
      </c>
      <c r="L129" s="193">
        <v>27579.484048110051</v>
      </c>
      <c r="M129" s="193">
        <v>27030.780313189156</v>
      </c>
      <c r="N129" s="193">
        <v>14616122.536157401</v>
      </c>
      <c r="P129" s="153"/>
      <c r="Q129" t="str">
        <f t="shared" si="29"/>
        <v>CH0</v>
      </c>
      <c r="S129" t="s">
        <v>24</v>
      </c>
      <c r="T129" s="149">
        <v>0.5</v>
      </c>
      <c r="U129" s="149">
        <v>0.5</v>
      </c>
      <c r="V129" s="149">
        <v>0.5</v>
      </c>
      <c r="W129" s="149">
        <v>0.5</v>
      </c>
      <c r="X129" s="149">
        <v>0.5</v>
      </c>
      <c r="Y129" s="149">
        <v>0.5</v>
      </c>
      <c r="Z129" s="149">
        <v>0.5</v>
      </c>
      <c r="AA129" s="149">
        <v>0.5</v>
      </c>
      <c r="AB129" s="149">
        <v>4</v>
      </c>
    </row>
    <row r="130" spans="2:28">
      <c r="B130" t="str">
        <f t="shared" si="30"/>
        <v>AT0.photovoltaics</v>
      </c>
      <c r="C130" t="str">
        <f t="shared" si="31"/>
        <v>AT0</v>
      </c>
      <c r="E130" t="s">
        <v>131</v>
      </c>
      <c r="F130" s="193">
        <v>871449.37575079908</v>
      </c>
      <c r="G130" s="193">
        <v>1174484.9698447098</v>
      </c>
      <c r="H130" s="193">
        <v>3124583.04888845</v>
      </c>
      <c r="I130" s="193">
        <v>3312184.8429676001</v>
      </c>
      <c r="J130" s="193">
        <v>3413766.1591192801</v>
      </c>
      <c r="K130" s="193">
        <v>3502270.1924624899</v>
      </c>
      <c r="L130" s="193">
        <v>3889822.0602433598</v>
      </c>
      <c r="M130" s="193">
        <v>5059820.4301921697</v>
      </c>
      <c r="N130" s="193">
        <v>24348381.079468857</v>
      </c>
      <c r="P130" s="153"/>
      <c r="Q130" t="str">
        <f t="shared" si="29"/>
        <v>CH0</v>
      </c>
      <c r="S130" t="s">
        <v>444</v>
      </c>
      <c r="T130" s="149">
        <v>300</v>
      </c>
      <c r="U130" s="149">
        <v>300</v>
      </c>
      <c r="V130" s="149">
        <v>300</v>
      </c>
      <c r="W130" s="149">
        <v>300</v>
      </c>
      <c r="X130" s="149">
        <v>300</v>
      </c>
      <c r="Y130" s="149">
        <v>300</v>
      </c>
      <c r="Z130" s="149">
        <v>300</v>
      </c>
      <c r="AA130" s="149">
        <v>300</v>
      </c>
      <c r="AB130" s="149">
        <v>2400</v>
      </c>
    </row>
    <row r="131" spans="2:28">
      <c r="B131" t="str">
        <f t="shared" si="30"/>
        <v>AT0.wind_total</v>
      </c>
      <c r="C131" t="str">
        <f t="shared" si="31"/>
        <v>AT0</v>
      </c>
      <c r="E131" t="s">
        <v>445</v>
      </c>
      <c r="F131" s="193">
        <v>3958212.1963833002</v>
      </c>
      <c r="G131" s="193">
        <v>4442621.1016638996</v>
      </c>
      <c r="H131" s="193">
        <v>7230646.6035179002</v>
      </c>
      <c r="I131" s="193">
        <v>10049776.431663901</v>
      </c>
      <c r="J131" s="193">
        <v>10161064.6620564</v>
      </c>
      <c r="K131" s="193">
        <v>10914539.3401135</v>
      </c>
      <c r="L131" s="193">
        <v>13598267.722197799</v>
      </c>
      <c r="M131" s="193">
        <v>15410272.9472588</v>
      </c>
      <c r="N131" s="193">
        <v>75765401.004855499</v>
      </c>
      <c r="P131" s="153"/>
      <c r="Q131" t="str">
        <f t="shared" si="29"/>
        <v>DE0</v>
      </c>
      <c r="R131" t="s">
        <v>15</v>
      </c>
      <c r="S131" t="s">
        <v>11</v>
      </c>
      <c r="T131" s="149">
        <v>1</v>
      </c>
      <c r="U131" s="149">
        <v>1</v>
      </c>
      <c r="V131" s="149">
        <v>1</v>
      </c>
      <c r="W131" s="149">
        <v>1</v>
      </c>
      <c r="X131" s="149">
        <v>1</v>
      </c>
      <c r="Y131" s="149">
        <v>1</v>
      </c>
      <c r="Z131" s="149">
        <v>1</v>
      </c>
      <c r="AA131" s="149">
        <v>1</v>
      </c>
      <c r="AB131" s="149">
        <v>8</v>
      </c>
    </row>
    <row r="132" spans="2:28">
      <c r="B132" t="str">
        <f t="shared" si="30"/>
        <v>AT0.mineral_oil_heavy</v>
      </c>
      <c r="C132" t="str">
        <f t="shared" si="31"/>
        <v>AT0</v>
      </c>
      <c r="E132" t="s">
        <v>20</v>
      </c>
      <c r="F132" s="193">
        <v>190389.86320823801</v>
      </c>
      <c r="G132" s="193">
        <v>197091.88101221155</v>
      </c>
      <c r="H132" s="193">
        <v>70482.022992383689</v>
      </c>
      <c r="I132" s="193">
        <v>61684.405139864481</v>
      </c>
      <c r="J132" s="193">
        <v>58249.549310686249</v>
      </c>
      <c r="K132" s="193">
        <v>268.73091798158771</v>
      </c>
      <c r="L132" s="193">
        <v>268.73091798158771</v>
      </c>
      <c r="M132" s="193">
        <v>0</v>
      </c>
      <c r="N132" s="193">
        <v>578435.18349934719</v>
      </c>
      <c r="P132" s="153"/>
      <c r="Q132" t="str">
        <f t="shared" si="29"/>
        <v>DE0</v>
      </c>
      <c r="S132" t="s">
        <v>18</v>
      </c>
      <c r="T132" s="149">
        <v>8.4515092478679605</v>
      </c>
      <c r="U132" s="149">
        <v>16.551073991832286</v>
      </c>
      <c r="V132" s="149">
        <v>20.489252716740868</v>
      </c>
      <c r="W132" s="149">
        <v>24.521702625968029</v>
      </c>
      <c r="X132" s="149">
        <v>26.021792846437396</v>
      </c>
      <c r="Y132" s="149">
        <v>27.053473119823831</v>
      </c>
      <c r="Z132" s="149">
        <v>28.084564198308275</v>
      </c>
      <c r="AA132" s="149">
        <v>28.83519850344495</v>
      </c>
      <c r="AB132" s="149">
        <v>180.0085672504236</v>
      </c>
    </row>
    <row r="133" spans="2:28">
      <c r="D133" t="s">
        <v>475</v>
      </c>
      <c r="F133" s="193">
        <v>59214723.15228124</v>
      </c>
      <c r="G133" s="193">
        <v>70801265.417188525</v>
      </c>
      <c r="H133" s="193">
        <v>74663839.026458189</v>
      </c>
      <c r="I133" s="193">
        <v>78903459.658650175</v>
      </c>
      <c r="J133" s="193">
        <v>81311118.435634449</v>
      </c>
      <c r="K133" s="193">
        <v>83851675.424471185</v>
      </c>
      <c r="L133" s="193">
        <v>86531961.877950966</v>
      </c>
      <c r="M133" s="193">
        <v>87181349.786550939</v>
      </c>
      <c r="N133" s="193">
        <v>622459392.77918577</v>
      </c>
      <c r="P133" s="153"/>
      <c r="Q133" t="str">
        <f t="shared" si="29"/>
        <v>DE0</v>
      </c>
      <c r="S133" t="s">
        <v>19</v>
      </c>
      <c r="T133" s="149">
        <v>1.44</v>
      </c>
      <c r="U133" s="149">
        <v>1.44</v>
      </c>
      <c r="V133" s="149">
        <v>1.44</v>
      </c>
      <c r="W133" s="149">
        <v>1.44</v>
      </c>
      <c r="X133" s="149">
        <v>1.44</v>
      </c>
      <c r="Y133" s="149">
        <v>1.44</v>
      </c>
      <c r="Z133" s="149">
        <v>1.44</v>
      </c>
      <c r="AA133" s="149">
        <v>1.44</v>
      </c>
      <c r="AB133" s="149">
        <v>11.519999999999998</v>
      </c>
    </row>
    <row r="134" spans="2:28">
      <c r="B134" t="str">
        <f>C134&amp;"."&amp;E134</f>
        <v>CH0.bio_all</v>
      </c>
      <c r="C134" t="str">
        <f>D134</f>
        <v>CH0</v>
      </c>
      <c r="D134" t="s">
        <v>14</v>
      </c>
      <c r="E134" t="s">
        <v>11</v>
      </c>
      <c r="F134" s="193">
        <v>195450.84420000002</v>
      </c>
      <c r="G134" s="193">
        <v>809146.80323076842</v>
      </c>
      <c r="H134" s="193">
        <v>1724307.4438906894</v>
      </c>
      <c r="I134" s="193">
        <v>2477969.147963562</v>
      </c>
      <c r="J134" s="193">
        <v>2704067.6591854244</v>
      </c>
      <c r="K134" s="193">
        <v>2800967.0211376501</v>
      </c>
      <c r="L134" s="193">
        <v>2844033.4042275287</v>
      </c>
      <c r="M134" s="193">
        <v>2854800.0000000005</v>
      </c>
      <c r="N134" s="193">
        <v>16410742.323835623</v>
      </c>
      <c r="P134" s="153"/>
      <c r="Q134" t="str">
        <f t="shared" si="29"/>
        <v>DE0</v>
      </c>
      <c r="S134" t="s">
        <v>20</v>
      </c>
      <c r="T134" s="149">
        <v>23.305902969622899</v>
      </c>
      <c r="U134" s="149">
        <v>86.877966688393229</v>
      </c>
      <c r="V134" s="149">
        <v>101.97549685701344</v>
      </c>
      <c r="W134" s="149">
        <v>112.3842139955884</v>
      </c>
      <c r="X134" s="149">
        <v>117.16670901505024</v>
      </c>
      <c r="Y134" s="149">
        <v>124.10565737579955</v>
      </c>
      <c r="Z134" s="149">
        <v>126.9190630328071</v>
      </c>
      <c r="AA134" s="149">
        <v>129.82615067923123</v>
      </c>
      <c r="AB134" s="149">
        <v>822.5611606135061</v>
      </c>
    </row>
    <row r="135" spans="2:28">
      <c r="B135" t="str">
        <f t="shared" ref="B135:B142" si="32">C135&amp;"."&amp;E135</f>
        <v>CH0.geothermal</v>
      </c>
      <c r="C135" t="str">
        <f t="shared" ref="C135:C142" si="33">C134</f>
        <v>CH0</v>
      </c>
      <c r="E135" t="s">
        <v>23</v>
      </c>
      <c r="F135" s="193">
        <v>0</v>
      </c>
      <c r="G135" s="193">
        <v>97521.445221445611</v>
      </c>
      <c r="H135" s="193">
        <v>282812.19114219141</v>
      </c>
      <c r="I135" s="193">
        <v>663145.82750582765</v>
      </c>
      <c r="J135" s="193">
        <v>1297035.2214452254</v>
      </c>
      <c r="K135" s="193">
        <v>2252745.3846153845</v>
      </c>
      <c r="L135" s="193">
        <v>3296224.8484848496</v>
      </c>
      <c r="M135" s="193">
        <v>4183670</v>
      </c>
      <c r="N135" s="193">
        <v>12073154.918414924</v>
      </c>
      <c r="P135" s="153"/>
      <c r="Q135" t="str">
        <f t="shared" si="29"/>
        <v>DE0</v>
      </c>
      <c r="S135" t="s">
        <v>21</v>
      </c>
      <c r="T135" s="149">
        <v>29.5</v>
      </c>
      <c r="U135" s="149">
        <v>56.30817839348645</v>
      </c>
      <c r="V135" s="149">
        <v>63.059762775402582</v>
      </c>
      <c r="W135" s="149">
        <v>68.592302905099118</v>
      </c>
      <c r="X135" s="149">
        <v>73.281115935144371</v>
      </c>
      <c r="Y135" s="149">
        <v>75.719204439583592</v>
      </c>
      <c r="Z135" s="149">
        <v>77.312976649469533</v>
      </c>
      <c r="AA135" s="149">
        <v>78.438338912272556</v>
      </c>
      <c r="AB135" s="149">
        <v>522.21188001045823</v>
      </c>
    </row>
    <row r="136" spans="2:28">
      <c r="B136" t="str">
        <f t="shared" si="32"/>
        <v>CH0.reservoir</v>
      </c>
      <c r="C136" t="str">
        <f t="shared" si="33"/>
        <v>CH0</v>
      </c>
      <c r="E136" t="s">
        <v>25</v>
      </c>
      <c r="F136" s="193">
        <v>22014639.454330746</v>
      </c>
      <c r="G136" s="193">
        <v>20462157.822517857</v>
      </c>
      <c r="H136" s="193">
        <v>20661488.58803384</v>
      </c>
      <c r="I136" s="193">
        <v>20871563.311185833</v>
      </c>
      <c r="J136" s="193">
        <v>21031127.318456743</v>
      </c>
      <c r="K136" s="193">
        <v>21260324.842217799</v>
      </c>
      <c r="L136" s="193">
        <v>21343030.330885757</v>
      </c>
      <c r="M136" s="193">
        <v>21376235.819553725</v>
      </c>
      <c r="N136" s="193">
        <v>169020567.48718232</v>
      </c>
      <c r="P136" s="153"/>
      <c r="Q136" t="str">
        <f t="shared" si="29"/>
        <v>DE0</v>
      </c>
      <c r="S136" t="s">
        <v>22</v>
      </c>
      <c r="T136" s="149">
        <v>1.881</v>
      </c>
      <c r="U136" s="149">
        <v>1.881</v>
      </c>
      <c r="V136" s="149">
        <v>1.881</v>
      </c>
      <c r="W136" s="149">
        <v>1.881</v>
      </c>
      <c r="X136" s="149">
        <v>1.881</v>
      </c>
      <c r="Y136" s="149">
        <v>1.881</v>
      </c>
      <c r="Z136" s="149">
        <v>1.881</v>
      </c>
      <c r="AA136" s="149">
        <v>1.881</v>
      </c>
      <c r="AB136" s="149">
        <v>15.048</v>
      </c>
    </row>
    <row r="137" spans="2:28">
      <c r="B137" t="str">
        <f t="shared" si="32"/>
        <v>CH0.run_of_river</v>
      </c>
      <c r="C137" t="str">
        <f t="shared" si="33"/>
        <v>CH0</v>
      </c>
      <c r="E137" t="s">
        <v>26</v>
      </c>
      <c r="F137" s="193">
        <v>16595360.545669252</v>
      </c>
      <c r="G137" s="193">
        <v>21078242.177482143</v>
      </c>
      <c r="H137" s="193">
        <v>21265011.41196616</v>
      </c>
      <c r="I137" s="193">
        <v>21371736.688814163</v>
      </c>
      <c r="J137" s="193">
        <v>21558672.681543257</v>
      </c>
      <c r="K137" s="193">
        <v>21745275.157782201</v>
      </c>
      <c r="L137" s="193">
        <v>22038769.669114243</v>
      </c>
      <c r="M137" s="193">
        <v>22332264.180446275</v>
      </c>
      <c r="N137" s="193">
        <v>167985332.51281768</v>
      </c>
      <c r="P137" s="153"/>
      <c r="Q137" t="str">
        <f t="shared" si="29"/>
        <v>DE0</v>
      </c>
      <c r="S137" t="s">
        <v>24</v>
      </c>
      <c r="T137" s="149">
        <v>0.5</v>
      </c>
      <c r="U137" s="149">
        <v>0.5</v>
      </c>
      <c r="V137" s="149">
        <v>0.5</v>
      </c>
      <c r="W137" s="149">
        <v>0.5</v>
      </c>
      <c r="X137" s="149">
        <v>0.5</v>
      </c>
      <c r="Y137" s="149">
        <v>0.5</v>
      </c>
      <c r="Z137" s="149">
        <v>0.5</v>
      </c>
      <c r="AA137" s="149">
        <v>0.5</v>
      </c>
      <c r="AB137" s="149">
        <v>4</v>
      </c>
    </row>
    <row r="138" spans="2:28">
      <c r="B138" t="str">
        <f t="shared" si="32"/>
        <v>CH0.waste_mix</v>
      </c>
      <c r="C138" t="str">
        <f t="shared" si="33"/>
        <v>CH0</v>
      </c>
      <c r="E138" t="s">
        <v>24</v>
      </c>
      <c r="F138" s="193">
        <v>1998518.7525000002</v>
      </c>
      <c r="G138" s="193">
        <v>2139377.391397059</v>
      </c>
      <c r="H138" s="193">
        <v>2305846.6919117649</v>
      </c>
      <c r="I138" s="193">
        <v>2421094.6691911803</v>
      </c>
      <c r="J138" s="193">
        <v>2421094.6691911803</v>
      </c>
      <c r="K138" s="193">
        <v>2433900.0000000019</v>
      </c>
      <c r="L138" s="193">
        <v>2433900.0000000019</v>
      </c>
      <c r="M138" s="193">
        <v>2433900.0000000019</v>
      </c>
      <c r="N138" s="193">
        <v>18587632.174191192</v>
      </c>
      <c r="Q138" t="str">
        <f t="shared" si="29"/>
        <v>DE0</v>
      </c>
      <c r="S138" t="s">
        <v>444</v>
      </c>
      <c r="T138" s="149">
        <v>300</v>
      </c>
      <c r="U138" s="149">
        <v>300</v>
      </c>
      <c r="V138" s="149">
        <v>300</v>
      </c>
      <c r="W138" s="149">
        <v>300</v>
      </c>
      <c r="X138" s="149">
        <v>300</v>
      </c>
      <c r="Y138" s="149">
        <v>300</v>
      </c>
      <c r="Z138" s="149">
        <v>300</v>
      </c>
      <c r="AA138" s="149">
        <v>300</v>
      </c>
      <c r="AB138" s="149">
        <v>2400</v>
      </c>
    </row>
    <row r="139" spans="2:28">
      <c r="B139" t="str">
        <f t="shared" si="32"/>
        <v>CH0.nuclear_fuel</v>
      </c>
      <c r="C139" t="str">
        <f t="shared" si="33"/>
        <v>CH0</v>
      </c>
      <c r="E139" t="s">
        <v>22</v>
      </c>
      <c r="F139" s="193">
        <v>23424740</v>
      </c>
      <c r="G139" s="193">
        <v>20661040</v>
      </c>
      <c r="H139" s="193">
        <v>15228940</v>
      </c>
      <c r="I139" s="193">
        <v>8395930</v>
      </c>
      <c r="J139" s="193">
        <v>0</v>
      </c>
      <c r="K139" s="193">
        <v>0</v>
      </c>
      <c r="L139" s="193">
        <v>0</v>
      </c>
      <c r="M139" s="193">
        <v>0</v>
      </c>
      <c r="N139" s="193">
        <v>67710650</v>
      </c>
      <c r="Q139" t="str">
        <f t="shared" si="29"/>
        <v>FR0</v>
      </c>
      <c r="R139" t="s">
        <v>16</v>
      </c>
      <c r="S139" t="s">
        <v>11</v>
      </c>
      <c r="T139" s="149">
        <v>1</v>
      </c>
      <c r="U139" s="149">
        <v>1</v>
      </c>
      <c r="V139" s="149">
        <v>1</v>
      </c>
      <c r="W139" s="149">
        <v>1</v>
      </c>
      <c r="X139" s="149">
        <v>1</v>
      </c>
      <c r="Y139" s="149">
        <v>1</v>
      </c>
      <c r="Z139" s="149">
        <v>1</v>
      </c>
      <c r="AA139" s="149">
        <v>1</v>
      </c>
      <c r="AB139" s="149">
        <v>8</v>
      </c>
    </row>
    <row r="140" spans="2:28">
      <c r="B140" t="str">
        <f t="shared" si="32"/>
        <v>CH0.gas+oil</v>
      </c>
      <c r="C140" t="str">
        <f t="shared" si="33"/>
        <v>CH0</v>
      </c>
      <c r="E140" t="s">
        <v>473</v>
      </c>
      <c r="F140" s="193">
        <v>2673000</v>
      </c>
      <c r="G140" s="193">
        <v>3098700</v>
      </c>
      <c r="H140" s="193">
        <v>5346000</v>
      </c>
      <c r="I140" s="193">
        <v>7712100</v>
      </c>
      <c r="J140" s="193">
        <v>15057900</v>
      </c>
      <c r="K140" s="193">
        <v>12741300</v>
      </c>
      <c r="L140" s="193">
        <v>11691899.999999998</v>
      </c>
      <c r="M140" s="193">
        <v>10543500</v>
      </c>
      <c r="N140" s="193">
        <v>68864400</v>
      </c>
      <c r="Q140" t="str">
        <f t="shared" si="29"/>
        <v>FR0</v>
      </c>
      <c r="S140" t="s">
        <v>18</v>
      </c>
      <c r="T140" s="149">
        <v>10.8351179180115</v>
      </c>
      <c r="U140" s="149">
        <v>16.551073991832286</v>
      </c>
      <c r="V140" s="149">
        <v>20.489252716740868</v>
      </c>
      <c r="W140" s="149">
        <v>24.521702625968029</v>
      </c>
      <c r="X140" s="149">
        <v>26.021792846437396</v>
      </c>
      <c r="Y140" s="149">
        <v>27.053473119823831</v>
      </c>
      <c r="Z140" s="149">
        <v>28.084564198308275</v>
      </c>
      <c r="AA140" s="149">
        <v>28.83519850344495</v>
      </c>
      <c r="AB140" s="149">
        <v>182.39217592056715</v>
      </c>
    </row>
    <row r="141" spans="2:28">
      <c r="B141" t="str">
        <f t="shared" si="32"/>
        <v>CH0.photovoltaics</v>
      </c>
      <c r="C141" t="str">
        <f t="shared" si="33"/>
        <v>CH0</v>
      </c>
      <c r="E141" t="s">
        <v>131</v>
      </c>
      <c r="F141" s="193">
        <v>280000</v>
      </c>
      <c r="G141" s="193">
        <v>520000</v>
      </c>
      <c r="H141" s="193">
        <v>980000</v>
      </c>
      <c r="I141" s="193">
        <v>1910000</v>
      </c>
      <c r="J141" s="193">
        <v>4440000</v>
      </c>
      <c r="K141" s="193">
        <v>6740000</v>
      </c>
      <c r="L141" s="193">
        <v>9230000</v>
      </c>
      <c r="M141" s="193">
        <v>11120000</v>
      </c>
      <c r="N141" s="193">
        <v>35220000</v>
      </c>
      <c r="Q141" t="str">
        <f t="shared" si="29"/>
        <v>FR0</v>
      </c>
      <c r="S141" t="s">
        <v>19</v>
      </c>
      <c r="T141" s="149" t="e">
        <v>#N/A</v>
      </c>
      <c r="U141" s="149" t="e">
        <v>#N/A</v>
      </c>
      <c r="V141" s="149" t="e">
        <v>#N/A</v>
      </c>
      <c r="W141" s="149" t="e">
        <v>#N/A</v>
      </c>
      <c r="X141" s="149" t="e">
        <v>#N/A</v>
      </c>
      <c r="Y141" s="149" t="e">
        <v>#N/A</v>
      </c>
      <c r="Z141" s="149" t="e">
        <v>#N/A</v>
      </c>
      <c r="AA141" s="149" t="e">
        <v>#N/A</v>
      </c>
      <c r="AB141" s="149" t="e">
        <v>#N/A</v>
      </c>
    </row>
    <row r="142" spans="2:28">
      <c r="B142" t="str">
        <f t="shared" si="32"/>
        <v>CH0.wind_onshore</v>
      </c>
      <c r="C142" t="str">
        <f t="shared" si="33"/>
        <v>CH0</v>
      </c>
      <c r="E142" t="s">
        <v>141</v>
      </c>
      <c r="F142" s="193">
        <v>346500</v>
      </c>
      <c r="G142" s="193">
        <v>653400</v>
      </c>
      <c r="H142" s="193">
        <v>980100</v>
      </c>
      <c r="I142" s="193">
        <v>1445400</v>
      </c>
      <c r="J142" s="193">
        <v>1742400</v>
      </c>
      <c r="K142" s="193">
        <v>2564100</v>
      </c>
      <c r="L142" s="193">
        <v>3395700</v>
      </c>
      <c r="M142" s="193">
        <v>4217400</v>
      </c>
      <c r="N142" s="193">
        <v>15345000</v>
      </c>
      <c r="Q142" t="str">
        <f t="shared" si="29"/>
        <v>FR0</v>
      </c>
      <c r="S142" t="s">
        <v>20</v>
      </c>
      <c r="T142" s="149">
        <v>32.7896200185357</v>
      </c>
      <c r="U142" s="149">
        <v>86.877966688393229</v>
      </c>
      <c r="V142" s="149">
        <v>101.97549685701344</v>
      </c>
      <c r="W142" s="149">
        <v>112.3842139955884</v>
      </c>
      <c r="X142" s="149">
        <v>117.16670901505024</v>
      </c>
      <c r="Y142" s="149">
        <v>124.10565737579955</v>
      </c>
      <c r="Z142" s="149">
        <v>126.9190630328071</v>
      </c>
      <c r="AA142" s="149">
        <v>129.82615067923123</v>
      </c>
      <c r="AB142" s="149">
        <v>832.04487766241891</v>
      </c>
    </row>
    <row r="143" spans="2:28">
      <c r="D143" t="s">
        <v>476</v>
      </c>
      <c r="F143" s="193">
        <v>67528209.596699998</v>
      </c>
      <c r="G143" s="193">
        <v>69519585.639849275</v>
      </c>
      <c r="H143" s="193">
        <v>68774506.326944649</v>
      </c>
      <c r="I143" s="193">
        <v>67268939.644660562</v>
      </c>
      <c r="J143" s="193">
        <v>70252297.549821824</v>
      </c>
      <c r="K143" s="193">
        <v>72538612.405753031</v>
      </c>
      <c r="L143" s="193">
        <v>76273558.252712384</v>
      </c>
      <c r="M143" s="193">
        <v>79061770</v>
      </c>
      <c r="N143" s="193">
        <v>571217479.41644168</v>
      </c>
      <c r="Q143" t="str">
        <f t="shared" si="29"/>
        <v>FR0</v>
      </c>
      <c r="S143" t="s">
        <v>21</v>
      </c>
      <c r="T143" s="149">
        <v>42.2</v>
      </c>
      <c r="U143" s="149">
        <v>56.30817839348645</v>
      </c>
      <c r="V143" s="149">
        <v>63.059762775402582</v>
      </c>
      <c r="W143" s="149">
        <v>68.592302905099118</v>
      </c>
      <c r="X143" s="149">
        <v>73.281115935144371</v>
      </c>
      <c r="Y143" s="149">
        <v>75.719204439583592</v>
      </c>
      <c r="Z143" s="149">
        <v>77.312976649469533</v>
      </c>
      <c r="AA143" s="149">
        <v>78.438338912272556</v>
      </c>
      <c r="AB143" s="149">
        <v>534.91188001045828</v>
      </c>
    </row>
    <row r="144" spans="2:28">
      <c r="B144" t="str">
        <f>C144&amp;"."&amp;E144</f>
        <v>DE0.bio_all</v>
      </c>
      <c r="C144" t="str">
        <f>D144</f>
        <v>DE0</v>
      </c>
      <c r="D144" t="s">
        <v>15</v>
      </c>
      <c r="E144" t="s">
        <v>11</v>
      </c>
      <c r="F144" s="193">
        <v>40784295</v>
      </c>
      <c r="G144" s="193">
        <v>40784295</v>
      </c>
      <c r="H144" s="193">
        <v>40784295</v>
      </c>
      <c r="I144" s="193">
        <v>40784295</v>
      </c>
      <c r="J144" s="193">
        <v>40784295</v>
      </c>
      <c r="K144" s="193">
        <v>40784295</v>
      </c>
      <c r="L144" s="193">
        <v>40784295</v>
      </c>
      <c r="M144" s="193">
        <v>40784295</v>
      </c>
      <c r="N144" s="193">
        <v>326274360</v>
      </c>
      <c r="Q144" t="str">
        <f t="shared" si="29"/>
        <v>FR0</v>
      </c>
      <c r="S144" t="s">
        <v>22</v>
      </c>
      <c r="T144" s="149">
        <v>1.881</v>
      </c>
      <c r="U144" s="149">
        <v>1.881</v>
      </c>
      <c r="V144" s="149">
        <v>1.881</v>
      </c>
      <c r="W144" s="149">
        <v>1.881</v>
      </c>
      <c r="X144" s="149">
        <v>1.881</v>
      </c>
      <c r="Y144" s="149">
        <v>1.881</v>
      </c>
      <c r="Z144" s="149">
        <v>1.881</v>
      </c>
      <c r="AA144" s="149">
        <v>1.881</v>
      </c>
      <c r="AB144" s="149">
        <v>15.048</v>
      </c>
    </row>
    <row r="145" spans="2:28">
      <c r="B145" t="str">
        <f t="shared" ref="B145:B153" si="34">C145&amp;"."&amp;E145</f>
        <v>DE0.reservoir</v>
      </c>
      <c r="C145" t="str">
        <f t="shared" ref="C145:C153" si="35">C144</f>
        <v>DE0</v>
      </c>
      <c r="E145" t="s">
        <v>25</v>
      </c>
      <c r="F145" s="193">
        <v>3671569.7736617443</v>
      </c>
      <c r="G145" s="193">
        <v>3789155.3649636577</v>
      </c>
      <c r="H145" s="193">
        <v>3935407.2246711603</v>
      </c>
      <c r="I145" s="193">
        <v>4211793.8208022444</v>
      </c>
      <c r="J145" s="193">
        <v>4864968.1329340972</v>
      </c>
      <c r="K145" s="193">
        <v>5416598.1055895733</v>
      </c>
      <c r="L145" s="193">
        <v>6092904.9877324281</v>
      </c>
      <c r="M145" s="193">
        <v>6648233.5073464839</v>
      </c>
      <c r="N145" s="193">
        <v>38630630.917701386</v>
      </c>
      <c r="Q145" t="str">
        <f t="shared" si="29"/>
        <v>FR0</v>
      </c>
      <c r="S145" t="s">
        <v>24</v>
      </c>
      <c r="T145" s="149">
        <v>0.5</v>
      </c>
      <c r="U145" s="149">
        <v>0.5</v>
      </c>
      <c r="V145" s="149">
        <v>0.5</v>
      </c>
      <c r="W145" s="149">
        <v>0.5</v>
      </c>
      <c r="X145" s="149">
        <v>0.5</v>
      </c>
      <c r="Y145" s="149">
        <v>0.5</v>
      </c>
      <c r="Z145" s="149">
        <v>0.5</v>
      </c>
      <c r="AA145" s="149">
        <v>0.5</v>
      </c>
      <c r="AB145" s="149">
        <v>4</v>
      </c>
    </row>
    <row r="146" spans="2:28">
      <c r="B146" t="str">
        <f t="shared" si="34"/>
        <v>DE0.run_of_river</v>
      </c>
      <c r="C146" t="str">
        <f t="shared" si="35"/>
        <v>DE0</v>
      </c>
      <c r="E146" t="s">
        <v>26</v>
      </c>
      <c r="F146" s="193">
        <v>18485224.299009111</v>
      </c>
      <c r="G146" s="193">
        <v>18490505.89006165</v>
      </c>
      <c r="H146" s="193">
        <v>18842460.380283821</v>
      </c>
      <c r="I146" s="193">
        <v>19369695.720111821</v>
      </c>
      <c r="J146" s="193">
        <v>20623650.982966196</v>
      </c>
      <c r="K146" s="193">
        <v>21684746.471585825</v>
      </c>
      <c r="L146" s="193">
        <v>22984949.210679315</v>
      </c>
      <c r="M146" s="193">
        <v>23710260.360182155</v>
      </c>
      <c r="N146" s="193">
        <v>164191493.31487989</v>
      </c>
      <c r="Q146" t="str">
        <f t="shared" si="29"/>
        <v>FR0</v>
      </c>
      <c r="S146" t="s">
        <v>444</v>
      </c>
      <c r="T146" s="149">
        <v>300</v>
      </c>
      <c r="U146" s="149">
        <v>300</v>
      </c>
      <c r="V146" s="149">
        <v>300</v>
      </c>
      <c r="W146" s="149">
        <v>300</v>
      </c>
      <c r="X146" s="149">
        <v>300</v>
      </c>
      <c r="Y146" s="149">
        <v>300</v>
      </c>
      <c r="Z146" s="149">
        <v>300</v>
      </c>
      <c r="AA146" s="149">
        <v>300</v>
      </c>
      <c r="AB146" s="149">
        <v>2400</v>
      </c>
    </row>
    <row r="147" spans="2:28">
      <c r="B147" t="str">
        <f t="shared" si="34"/>
        <v>DE0.waste_mix</v>
      </c>
      <c r="C147" t="str">
        <f t="shared" si="35"/>
        <v>DE0</v>
      </c>
      <c r="E147" t="s">
        <v>24</v>
      </c>
      <c r="F147" s="193">
        <v>10556220.495000001</v>
      </c>
      <c r="G147" s="193">
        <v>10556220.495000001</v>
      </c>
      <c r="H147" s="193">
        <v>10556220.495000001</v>
      </c>
      <c r="I147" s="193">
        <v>10556220.495000001</v>
      </c>
      <c r="J147" s="193">
        <v>10556220.495000001</v>
      </c>
      <c r="K147" s="193">
        <v>10556220.495000001</v>
      </c>
      <c r="L147" s="193">
        <v>10556220.495000001</v>
      </c>
      <c r="M147" s="193">
        <v>10556220.495000001</v>
      </c>
      <c r="N147" s="193">
        <v>84449763.960000023</v>
      </c>
      <c r="Q147" t="str">
        <f t="shared" si="29"/>
        <v>IT0</v>
      </c>
      <c r="R147" t="s">
        <v>17</v>
      </c>
      <c r="S147" t="s">
        <v>11</v>
      </c>
      <c r="T147" s="149">
        <v>1</v>
      </c>
      <c r="U147" s="149">
        <v>1</v>
      </c>
      <c r="V147" s="149">
        <v>1</v>
      </c>
      <c r="W147" s="149">
        <v>1</v>
      </c>
      <c r="X147" s="149">
        <v>1</v>
      </c>
      <c r="Y147" s="149">
        <v>1</v>
      </c>
      <c r="Z147" s="149">
        <v>1</v>
      </c>
      <c r="AA147" s="149">
        <v>1</v>
      </c>
      <c r="AB147" s="149">
        <v>8</v>
      </c>
    </row>
    <row r="148" spans="2:28">
      <c r="B148" t="str">
        <f t="shared" si="34"/>
        <v>DE0.nuclear_fuel</v>
      </c>
      <c r="C148" t="str">
        <f t="shared" si="35"/>
        <v>DE0</v>
      </c>
      <c r="E148" t="s">
        <v>22</v>
      </c>
      <c r="F148" s="193">
        <v>92360843.101629689</v>
      </c>
      <c r="G148" s="193">
        <v>32849068.858940128</v>
      </c>
      <c r="H148" s="193">
        <v>0</v>
      </c>
      <c r="I148" s="193">
        <v>0</v>
      </c>
      <c r="J148" s="193">
        <v>0</v>
      </c>
      <c r="K148" s="193">
        <v>0</v>
      </c>
      <c r="L148" s="193">
        <v>0</v>
      </c>
      <c r="M148" s="193">
        <v>0</v>
      </c>
      <c r="N148" s="193">
        <v>125209911.96056981</v>
      </c>
      <c r="Q148" t="str">
        <f t="shared" si="29"/>
        <v>IT0</v>
      </c>
      <c r="S148" t="s">
        <v>18</v>
      </c>
      <c r="T148" s="149">
        <v>12.1371685288369</v>
      </c>
      <c r="U148" s="149">
        <v>16.551073991832286</v>
      </c>
      <c r="V148" s="149">
        <v>20.489252716740868</v>
      </c>
      <c r="W148" s="149">
        <v>24.521702625968029</v>
      </c>
      <c r="X148" s="149">
        <v>26.021792846437396</v>
      </c>
      <c r="Y148" s="149">
        <v>27.053473119823831</v>
      </c>
      <c r="Z148" s="149">
        <v>28.084564198308275</v>
      </c>
      <c r="AA148" s="149">
        <v>28.83519850344495</v>
      </c>
      <c r="AB148" s="149">
        <v>183.69422653139256</v>
      </c>
    </row>
    <row r="149" spans="2:28">
      <c r="B149" t="str">
        <f t="shared" si="34"/>
        <v>DE0.natural_gas</v>
      </c>
      <c r="C149" t="str">
        <f t="shared" si="35"/>
        <v>DE0</v>
      </c>
      <c r="E149" t="s">
        <v>21</v>
      </c>
      <c r="F149" s="193">
        <v>91879646.103811458</v>
      </c>
      <c r="G149" s="193">
        <v>73969428.038254932</v>
      </c>
      <c r="H149" s="193">
        <v>101205591.63020658</v>
      </c>
      <c r="I149" s="193">
        <v>107722229.6100644</v>
      </c>
      <c r="J149" s="193">
        <v>148608881.27139977</v>
      </c>
      <c r="K149" s="193">
        <v>153069664.83605677</v>
      </c>
      <c r="L149" s="193">
        <v>151250117.05345312</v>
      </c>
      <c r="M149" s="193">
        <v>123424489.79558875</v>
      </c>
      <c r="N149" s="193">
        <v>951130048.33883584</v>
      </c>
      <c r="Q149" t="str">
        <f t="shared" si="29"/>
        <v>IT0</v>
      </c>
      <c r="S149" t="s">
        <v>19</v>
      </c>
      <c r="T149" s="149" t="e">
        <v>#N/A</v>
      </c>
      <c r="U149" s="149" t="e">
        <v>#N/A</v>
      </c>
      <c r="V149" s="149" t="e">
        <v>#N/A</v>
      </c>
      <c r="W149" s="149" t="e">
        <v>#N/A</v>
      </c>
      <c r="X149" s="149" t="e">
        <v>#N/A</v>
      </c>
      <c r="Y149" s="149" t="e">
        <v>#N/A</v>
      </c>
      <c r="Z149" s="149" t="e">
        <v>#N/A</v>
      </c>
      <c r="AA149" s="149" t="e">
        <v>#N/A</v>
      </c>
      <c r="AB149" s="149" t="e">
        <v>#N/A</v>
      </c>
    </row>
    <row r="150" spans="2:28">
      <c r="B150" t="str">
        <f t="shared" si="34"/>
        <v>DE0.lignite+coal</v>
      </c>
      <c r="C150" t="str">
        <f t="shared" si="35"/>
        <v>DE0</v>
      </c>
      <c r="E150" t="s">
        <v>472</v>
      </c>
      <c r="F150" s="193">
        <v>249698835.17300799</v>
      </c>
      <c r="G150" s="193">
        <v>250545251.07467914</v>
      </c>
      <c r="H150" s="193">
        <v>244466205.03039464</v>
      </c>
      <c r="I150" s="193">
        <v>212224045.9507376</v>
      </c>
      <c r="J150" s="193">
        <v>167396193.99555439</v>
      </c>
      <c r="K150" s="193">
        <v>146771088.88929152</v>
      </c>
      <c r="L150" s="193">
        <v>104781991.70567185</v>
      </c>
      <c r="M150" s="193">
        <v>125221776.6493993</v>
      </c>
      <c r="N150" s="193">
        <v>1501105388.4687364</v>
      </c>
      <c r="Q150" t="str">
        <f t="shared" si="29"/>
        <v>IT0</v>
      </c>
      <c r="S150" t="s">
        <v>20</v>
      </c>
      <c r="T150" s="149">
        <v>38.3946500286862</v>
      </c>
      <c r="U150" s="149">
        <v>86.877966688393229</v>
      </c>
      <c r="V150" s="149">
        <v>101.97549685701344</v>
      </c>
      <c r="W150" s="149">
        <v>112.3842139955884</v>
      </c>
      <c r="X150" s="149">
        <v>117.16670901505024</v>
      </c>
      <c r="Y150" s="149">
        <v>124.10565737579955</v>
      </c>
      <c r="Z150" s="149">
        <v>126.9190630328071</v>
      </c>
      <c r="AA150" s="149">
        <v>129.82615067923123</v>
      </c>
      <c r="AB150" s="149">
        <v>837.64990767256938</v>
      </c>
    </row>
    <row r="151" spans="2:28">
      <c r="B151" t="str">
        <f t="shared" si="34"/>
        <v>DE0.photovoltaics</v>
      </c>
      <c r="C151" t="str">
        <f t="shared" si="35"/>
        <v>DE0</v>
      </c>
      <c r="E151" t="s">
        <v>131</v>
      </c>
      <c r="F151" s="193">
        <v>34611594.899224199</v>
      </c>
      <c r="G151" s="193">
        <v>48465362.989064999</v>
      </c>
      <c r="H151" s="193">
        <v>51777497.313538298</v>
      </c>
      <c r="I151" s="193">
        <v>60513390.975464202</v>
      </c>
      <c r="J151" s="193">
        <v>60978532.916030601</v>
      </c>
      <c r="K151" s="193">
        <v>63857101.641731799</v>
      </c>
      <c r="L151" s="193">
        <v>68812765.286356091</v>
      </c>
      <c r="M151" s="193">
        <v>83043860.283039391</v>
      </c>
      <c r="N151" s="193">
        <v>472060106.30444956</v>
      </c>
      <c r="Q151" t="str">
        <f t="shared" si="29"/>
        <v>IT0</v>
      </c>
      <c r="S151" t="s">
        <v>21</v>
      </c>
      <c r="T151" s="149">
        <v>41.822222222222202</v>
      </c>
      <c r="U151" s="149">
        <v>56.30817839348645</v>
      </c>
      <c r="V151" s="149">
        <v>63.059762775402582</v>
      </c>
      <c r="W151" s="149">
        <v>68.592302905099118</v>
      </c>
      <c r="X151" s="149">
        <v>73.281115935144371</v>
      </c>
      <c r="Y151" s="149">
        <v>75.719204439583592</v>
      </c>
      <c r="Z151" s="149">
        <v>77.312976649469533</v>
      </c>
      <c r="AA151" s="149">
        <v>78.438338912272556</v>
      </c>
      <c r="AB151" s="149">
        <v>534.53410223268043</v>
      </c>
    </row>
    <row r="152" spans="2:28">
      <c r="B152" t="str">
        <f t="shared" si="34"/>
        <v>DE0.wind_total</v>
      </c>
      <c r="C152" t="str">
        <f t="shared" si="35"/>
        <v>DE0</v>
      </c>
      <c r="E152" t="s">
        <v>445</v>
      </c>
      <c r="F152" s="193">
        <v>66153320.47039751</v>
      </c>
      <c r="G152" s="193">
        <v>109449743.805814</v>
      </c>
      <c r="H152" s="193">
        <v>113228663.67316701</v>
      </c>
      <c r="I152" s="193">
        <v>128324174.161107</v>
      </c>
      <c r="J152" s="193">
        <v>130056895.989032</v>
      </c>
      <c r="K152" s="193">
        <v>139033447.25702101</v>
      </c>
      <c r="L152" s="193">
        <v>179224626.28509501</v>
      </c>
      <c r="M152" s="193">
        <v>195659045.94176599</v>
      </c>
      <c r="N152" s="193">
        <v>1061129917.5833995</v>
      </c>
      <c r="Q152" t="str">
        <f t="shared" si="29"/>
        <v>IT0</v>
      </c>
      <c r="S152" t="s">
        <v>22</v>
      </c>
      <c r="T152" s="149" t="e">
        <v>#N/A</v>
      </c>
      <c r="U152" s="149" t="e">
        <v>#N/A</v>
      </c>
      <c r="V152" s="149" t="e">
        <v>#N/A</v>
      </c>
      <c r="W152" s="149" t="e">
        <v>#N/A</v>
      </c>
      <c r="X152" s="149" t="e">
        <v>#N/A</v>
      </c>
      <c r="Y152" s="149" t="e">
        <v>#N/A</v>
      </c>
      <c r="Z152" s="149" t="e">
        <v>#N/A</v>
      </c>
      <c r="AA152" s="149" t="e">
        <v>#N/A</v>
      </c>
      <c r="AB152" s="149" t="e">
        <v>#N/A</v>
      </c>
    </row>
    <row r="153" spans="2:28">
      <c r="B153" t="str">
        <f t="shared" si="34"/>
        <v>DE0.mineral_oil_heavy</v>
      </c>
      <c r="C153" t="str">
        <f t="shared" si="35"/>
        <v>DE0</v>
      </c>
      <c r="E153" t="s">
        <v>20</v>
      </c>
      <c r="F153" s="193">
        <v>987165.88024849549</v>
      </c>
      <c r="G153" s="193">
        <v>861092.9683437401</v>
      </c>
      <c r="H153" s="193">
        <v>1827681.9480824457</v>
      </c>
      <c r="I153" s="193">
        <v>2796386.7184260576</v>
      </c>
      <c r="J153" s="193">
        <v>3071606.0658979146</v>
      </c>
      <c r="K153" s="193">
        <v>3312837.7940740013</v>
      </c>
      <c r="L153" s="193">
        <v>3235510.8996521374</v>
      </c>
      <c r="M153" s="193">
        <v>505412.30841988756</v>
      </c>
      <c r="N153" s="193">
        <v>16597694.58314468</v>
      </c>
      <c r="Q153" t="str">
        <f t="shared" si="29"/>
        <v>IT0</v>
      </c>
      <c r="S153" t="s">
        <v>24</v>
      </c>
      <c r="T153" s="149">
        <v>0.5</v>
      </c>
      <c r="U153" s="149">
        <v>0.5</v>
      </c>
      <c r="V153" s="149">
        <v>0.5</v>
      </c>
      <c r="W153" s="149">
        <v>0.5</v>
      </c>
      <c r="X153" s="149">
        <v>0.5</v>
      </c>
      <c r="Y153" s="149">
        <v>0.5</v>
      </c>
      <c r="Z153" s="149">
        <v>0.5</v>
      </c>
      <c r="AA153" s="149">
        <v>0.5</v>
      </c>
      <c r="AB153" s="149">
        <v>4</v>
      </c>
    </row>
    <row r="154" spans="2:28">
      <c r="D154" t="s">
        <v>477</v>
      </c>
      <c r="F154" s="193">
        <v>609188715.1959902</v>
      </c>
      <c r="G154" s="193">
        <v>589760124.4851222</v>
      </c>
      <c r="H154" s="193">
        <v>586624022.69534397</v>
      </c>
      <c r="I154" s="193">
        <v>586502232.45171344</v>
      </c>
      <c r="J154" s="193">
        <v>586941244.84881496</v>
      </c>
      <c r="K154" s="193">
        <v>584486000.4903506</v>
      </c>
      <c r="L154" s="193">
        <v>587723380.92363989</v>
      </c>
      <c r="M154" s="193">
        <v>609553594.34074199</v>
      </c>
      <c r="N154" s="193">
        <v>4740779315.4317179</v>
      </c>
      <c r="Q154" t="str">
        <f t="shared" si="29"/>
        <v>IT0</v>
      </c>
      <c r="S154" t="s">
        <v>444</v>
      </c>
      <c r="T154" s="149">
        <v>300</v>
      </c>
      <c r="U154" s="149">
        <v>300</v>
      </c>
      <c r="V154" s="149">
        <v>300</v>
      </c>
      <c r="W154" s="149">
        <v>300</v>
      </c>
      <c r="X154" s="149">
        <v>300</v>
      </c>
      <c r="Y154" s="149">
        <v>300</v>
      </c>
      <c r="Z154" s="149">
        <v>300</v>
      </c>
      <c r="AA154" s="149">
        <v>300</v>
      </c>
      <c r="AB154" s="149">
        <v>2400</v>
      </c>
    </row>
    <row r="155" spans="2:28">
      <c r="B155" t="str">
        <f>C155&amp;"."&amp;E155</f>
        <v>FR0.bio_all</v>
      </c>
      <c r="C155" t="str">
        <f>D155</f>
        <v>FR0</v>
      </c>
      <c r="D155" t="s">
        <v>16</v>
      </c>
      <c r="E155" t="s">
        <v>11</v>
      </c>
      <c r="F155" s="193">
        <v>7287700.4999999991</v>
      </c>
      <c r="G155" s="193">
        <v>12384403.606774479</v>
      </c>
      <c r="H155" s="193">
        <v>14106325.520513967</v>
      </c>
      <c r="I155" s="193">
        <v>14684311.769805266</v>
      </c>
      <c r="J155" s="193">
        <v>14810066.383091416</v>
      </c>
      <c r="K155" s="193">
        <v>15013638.811406884</v>
      </c>
      <c r="L155" s="193">
        <v>15398314.246779284</v>
      </c>
      <c r="M155" s="193">
        <v>15559796.044395829</v>
      </c>
      <c r="N155" s="193">
        <v>109244556.88276713</v>
      </c>
      <c r="Q155" t="str">
        <f t="shared" si="29"/>
        <v>Grand Total</v>
      </c>
      <c r="R155" t="s">
        <v>434</v>
      </c>
      <c r="T155" s="149" t="e">
        <v>#N/A</v>
      </c>
      <c r="U155" s="149" t="e">
        <v>#N/A</v>
      </c>
      <c r="V155" s="149" t="e">
        <v>#N/A</v>
      </c>
      <c r="W155" s="149" t="e">
        <v>#N/A</v>
      </c>
      <c r="X155" s="149" t="e">
        <v>#N/A</v>
      </c>
      <c r="Y155" s="149" t="e">
        <v>#N/A</v>
      </c>
      <c r="Z155" s="149" t="e">
        <v>#N/A</v>
      </c>
      <c r="AA155" s="149" t="e">
        <v>#N/A</v>
      </c>
      <c r="AB155" s="149" t="e">
        <v>#N/A</v>
      </c>
    </row>
    <row r="156" spans="2:28">
      <c r="B156" t="str">
        <f t="shared" ref="B156:B164" si="36">C156&amp;"."&amp;E156</f>
        <v>FR0.reservoir</v>
      </c>
      <c r="C156" t="str">
        <f t="shared" ref="C156:C164" si="37">C155</f>
        <v>FR0</v>
      </c>
      <c r="E156" t="s">
        <v>25</v>
      </c>
      <c r="F156" s="193">
        <v>20884210.351880398</v>
      </c>
      <c r="G156" s="193">
        <v>24078570.13935091</v>
      </c>
      <c r="H156" s="193">
        <v>21330113.338464662</v>
      </c>
      <c r="I156" s="193">
        <v>21346199.211644586</v>
      </c>
      <c r="J156" s="193">
        <v>22154345.151798982</v>
      </c>
      <c r="K156" s="193">
        <v>24614999.482328169</v>
      </c>
      <c r="L156" s="193">
        <v>27063811.428855918</v>
      </c>
      <c r="M156" s="193">
        <v>29669421.623563342</v>
      </c>
      <c r="N156" s="193">
        <v>191141670.72788697</v>
      </c>
    </row>
    <row r="157" spans="2:28">
      <c r="B157" t="str">
        <f t="shared" si="36"/>
        <v>FR0.run_of_river</v>
      </c>
      <c r="C157" t="str">
        <f t="shared" si="37"/>
        <v>FR0</v>
      </c>
      <c r="E157" t="s">
        <v>26</v>
      </c>
      <c r="F157" s="193">
        <v>42151676.746566556</v>
      </c>
      <c r="G157" s="193">
        <v>42151716.141810782</v>
      </c>
      <c r="H157" s="193">
        <v>42151716.141810782</v>
      </c>
      <c r="I157" s="193">
        <v>42151716.141810782</v>
      </c>
      <c r="J157" s="193">
        <v>42708190.405117176</v>
      </c>
      <c r="K157" s="193">
        <v>44194432.139504738</v>
      </c>
      <c r="L157" s="193">
        <v>45766899.97784733</v>
      </c>
      <c r="M157" s="193">
        <v>47366947.446375765</v>
      </c>
      <c r="N157" s="193">
        <v>348643295.14084393</v>
      </c>
    </row>
    <row r="158" spans="2:28">
      <c r="B158" t="str">
        <f t="shared" si="36"/>
        <v>FR0.waste_mix</v>
      </c>
      <c r="C158" t="str">
        <f t="shared" si="37"/>
        <v>FR0</v>
      </c>
      <c r="E158" t="s">
        <v>24</v>
      </c>
      <c r="F158" s="193">
        <v>3883260</v>
      </c>
      <c r="G158" s="193">
        <v>6599044.3967947168</v>
      </c>
      <c r="H158" s="193">
        <v>7516572.5650760578</v>
      </c>
      <c r="I158" s="193">
        <v>7824553.2350312704</v>
      </c>
      <c r="J158" s="193">
        <v>7891561.7323740972</v>
      </c>
      <c r="K158" s="193">
        <v>8000035.5462993989</v>
      </c>
      <c r="L158" s="193">
        <v>8205010.3159354748</v>
      </c>
      <c r="M158" s="193">
        <v>8291056.0865338165</v>
      </c>
      <c r="N158" s="193">
        <v>58211093.878044829</v>
      </c>
    </row>
    <row r="159" spans="2:28">
      <c r="B159" t="str">
        <f t="shared" si="36"/>
        <v>FR0.nuclear_fuel</v>
      </c>
      <c r="C159" t="str">
        <f t="shared" si="37"/>
        <v>FR0</v>
      </c>
      <c r="E159" t="s">
        <v>22</v>
      </c>
      <c r="F159" s="193">
        <v>423454524.12489945</v>
      </c>
      <c r="G159" s="193">
        <v>377547216.87339461</v>
      </c>
      <c r="H159" s="193">
        <v>367091902.00370854</v>
      </c>
      <c r="I159" s="193">
        <v>366963824.62442666</v>
      </c>
      <c r="J159" s="193">
        <v>361131045.87692714</v>
      </c>
      <c r="K159" s="193">
        <v>285197035.19693631</v>
      </c>
      <c r="L159" s="193">
        <v>270121017.99136853</v>
      </c>
      <c r="M159" s="193">
        <v>234500553.64601052</v>
      </c>
      <c r="N159" s="193">
        <v>2686007120.3376713</v>
      </c>
    </row>
    <row r="160" spans="2:28">
      <c r="B160" t="str">
        <f t="shared" si="36"/>
        <v>FR0.natural_gas</v>
      </c>
      <c r="C160" t="str">
        <f t="shared" si="37"/>
        <v>FR0</v>
      </c>
      <c r="E160" t="s">
        <v>21</v>
      </c>
      <c r="F160" s="193">
        <v>25494984.986944769</v>
      </c>
      <c r="G160" s="193">
        <v>22102503.81462159</v>
      </c>
      <c r="H160" s="193">
        <v>23433783.796855375</v>
      </c>
      <c r="I160" s="193">
        <v>11927007.535156759</v>
      </c>
      <c r="J160" s="193">
        <v>9941925.832129864</v>
      </c>
      <c r="K160" s="193">
        <v>53435115.643548772</v>
      </c>
      <c r="L160" s="193">
        <v>55320585.443686828</v>
      </c>
      <c r="M160" s="193">
        <v>38889687.315191127</v>
      </c>
      <c r="N160" s="193">
        <v>240545594.36813506</v>
      </c>
    </row>
    <row r="161" spans="2:14">
      <c r="B161" t="str">
        <f t="shared" si="36"/>
        <v>FR0.hard_coal</v>
      </c>
      <c r="C161" t="str">
        <f t="shared" si="37"/>
        <v>FR0</v>
      </c>
      <c r="E161" t="s">
        <v>18</v>
      </c>
      <c r="F161" s="193">
        <v>8070642.0824392093</v>
      </c>
      <c r="G161" s="193">
        <v>8334656.9916366898</v>
      </c>
      <c r="H161" s="193">
        <v>330600.45434457943</v>
      </c>
      <c r="I161" s="193">
        <v>62797.312271808318</v>
      </c>
      <c r="J161" s="193">
        <v>0</v>
      </c>
      <c r="K161" s="193">
        <v>0</v>
      </c>
      <c r="L161" s="193">
        <v>0</v>
      </c>
      <c r="M161" s="193">
        <v>0</v>
      </c>
      <c r="N161" s="193">
        <v>16798696.840692289</v>
      </c>
    </row>
    <row r="162" spans="2:14">
      <c r="B162" t="str">
        <f t="shared" si="36"/>
        <v>FR0.photovoltaics</v>
      </c>
      <c r="C162" t="str">
        <f t="shared" si="37"/>
        <v>FR0</v>
      </c>
      <c r="E162" t="s">
        <v>131</v>
      </c>
      <c r="F162" s="193">
        <v>8601328.492601661</v>
      </c>
      <c r="G162" s="193">
        <v>31588710.540029101</v>
      </c>
      <c r="H162" s="193">
        <v>39234166.1332964</v>
      </c>
      <c r="I162" s="193">
        <v>41048335.874749295</v>
      </c>
      <c r="J162" s="193">
        <v>41864978.183142304</v>
      </c>
      <c r="K162" s="193">
        <v>51256660.7010151</v>
      </c>
      <c r="L162" s="193">
        <v>58297696.755261004</v>
      </c>
      <c r="M162" s="193">
        <v>77182068.668514609</v>
      </c>
      <c r="N162" s="193">
        <v>349073945.34860951</v>
      </c>
    </row>
    <row r="163" spans="2:14">
      <c r="B163" t="str">
        <f t="shared" si="36"/>
        <v>FR0.wind_total</v>
      </c>
      <c r="C163" t="str">
        <f t="shared" si="37"/>
        <v>FR0</v>
      </c>
      <c r="E163" t="s">
        <v>445</v>
      </c>
      <c r="F163" s="193">
        <v>21516549.318470199</v>
      </c>
      <c r="G163" s="193">
        <v>55128602.239687301</v>
      </c>
      <c r="H163" s="193">
        <v>65349711.600884199</v>
      </c>
      <c r="I163" s="193">
        <v>83417634.058887795</v>
      </c>
      <c r="J163" s="193">
        <v>83550463.663565397</v>
      </c>
      <c r="K163" s="193">
        <v>103668021.94797</v>
      </c>
      <c r="L163" s="193">
        <v>121762989.960372</v>
      </c>
      <c r="M163" s="193">
        <v>171302313.82977298</v>
      </c>
      <c r="N163" s="193">
        <v>705696286.61960983</v>
      </c>
    </row>
    <row r="164" spans="2:14">
      <c r="B164" t="str">
        <f t="shared" si="36"/>
        <v>FR0.mineral_oil_heavy</v>
      </c>
      <c r="C164" t="str">
        <f t="shared" si="37"/>
        <v>FR0</v>
      </c>
      <c r="E164" t="s">
        <v>20</v>
      </c>
      <c r="F164" s="193">
        <v>471950.59866921412</v>
      </c>
      <c r="G164" s="193">
        <v>0</v>
      </c>
      <c r="H164" s="193">
        <v>308290.54717534827</v>
      </c>
      <c r="I164" s="193">
        <v>311630.37994715961</v>
      </c>
      <c r="J164" s="193">
        <v>222341.30037995559</v>
      </c>
      <c r="K164" s="193">
        <v>85322.723421033748</v>
      </c>
      <c r="L164" s="193">
        <v>107403.522317454</v>
      </c>
      <c r="M164" s="193">
        <v>17905.216431285404</v>
      </c>
      <c r="N164" s="193">
        <v>1524844.288341451</v>
      </c>
    </row>
    <row r="165" spans="2:14">
      <c r="D165" t="s">
        <v>478</v>
      </c>
      <c r="F165" s="193">
        <v>561816827.20247149</v>
      </c>
      <c r="G165" s="193">
        <v>579915424.74410021</v>
      </c>
      <c r="H165" s="193">
        <v>580853182.10212994</v>
      </c>
      <c r="I165" s="193">
        <v>589738010.14373147</v>
      </c>
      <c r="J165" s="193">
        <v>584274918.52852631</v>
      </c>
      <c r="K165" s="193">
        <v>585465262.19243038</v>
      </c>
      <c r="L165" s="193">
        <v>602043729.64242375</v>
      </c>
      <c r="M165" s="193">
        <v>622779749.87678921</v>
      </c>
      <c r="N165" s="193">
        <v>4706887104.4326019</v>
      </c>
    </row>
    <row r="166" spans="2:14">
      <c r="B166" t="str">
        <f>C166&amp;"."&amp;E166</f>
        <v>IT0.bio_all</v>
      </c>
      <c r="C166" t="str">
        <f>D166</f>
        <v>IT0</v>
      </c>
      <c r="D166" t="s">
        <v>17</v>
      </c>
      <c r="E166" t="s">
        <v>11</v>
      </c>
      <c r="F166" s="193">
        <v>16630857</v>
      </c>
      <c r="G166" s="193">
        <v>20810235.48868642</v>
      </c>
      <c r="H166" s="193">
        <v>21208929.307982475</v>
      </c>
      <c r="I166" s="193">
        <v>20964976.134798937</v>
      </c>
      <c r="J166" s="193">
        <v>21515322.289735507</v>
      </c>
      <c r="K166" s="193">
        <v>26329836.491752755</v>
      </c>
      <c r="L166" s="193">
        <v>26376601.870510131</v>
      </c>
      <c r="M166" s="193">
        <v>26062628.005260117</v>
      </c>
      <c r="N166" s="193">
        <v>179899386.58872634</v>
      </c>
    </row>
    <row r="167" spans="2:14">
      <c r="B167" t="str">
        <f t="shared" ref="B167:B175" si="38">C167&amp;"."&amp;E167</f>
        <v>IT0.geothermal</v>
      </c>
      <c r="C167" t="str">
        <f t="shared" ref="C167:C175" si="39">C166</f>
        <v>IT0</v>
      </c>
      <c r="E167" t="s">
        <v>23</v>
      </c>
      <c r="F167" s="193">
        <v>5918513.1060000099</v>
      </c>
      <c r="G167" s="193">
        <v>5918513.1059999997</v>
      </c>
      <c r="H167" s="193">
        <v>5918513.1059999997</v>
      </c>
      <c r="I167" s="193">
        <v>5918513.1059999997</v>
      </c>
      <c r="J167" s="193">
        <v>5918513.1059999997</v>
      </c>
      <c r="K167" s="193">
        <v>5918513.1059999997</v>
      </c>
      <c r="L167" s="193">
        <v>5478976.1639999999</v>
      </c>
      <c r="M167" s="193">
        <v>5478976.1640000092</v>
      </c>
      <c r="N167" s="193">
        <v>46469030.964000016</v>
      </c>
    </row>
    <row r="168" spans="2:14">
      <c r="B168" t="str">
        <f t="shared" si="38"/>
        <v>IT0.reservoir</v>
      </c>
      <c r="C168" t="str">
        <f t="shared" si="39"/>
        <v>IT0</v>
      </c>
      <c r="E168" t="s">
        <v>25</v>
      </c>
      <c r="F168" s="193">
        <v>26833571.115082383</v>
      </c>
      <c r="G168" s="193">
        <v>25931932.689667899</v>
      </c>
      <c r="H168" s="193">
        <v>27362505.247575749</v>
      </c>
      <c r="I168" s="193">
        <v>27963319.84840906</v>
      </c>
      <c r="J168" s="193">
        <v>29242124.537777897</v>
      </c>
      <c r="K168" s="193">
        <v>30273115.348820504</v>
      </c>
      <c r="L168" s="193">
        <v>30845039.30005461</v>
      </c>
      <c r="M168" s="193">
        <v>31318942.552744113</v>
      </c>
      <c r="N168" s="193">
        <v>229770550.64013222</v>
      </c>
    </row>
    <row r="169" spans="2:14">
      <c r="B169" t="str">
        <f t="shared" si="38"/>
        <v>IT0.run_of_river</v>
      </c>
      <c r="C169" t="str">
        <f t="shared" si="39"/>
        <v>IT0</v>
      </c>
      <c r="E169" t="s">
        <v>26</v>
      </c>
      <c r="F169" s="193">
        <v>20808303.065750469</v>
      </c>
      <c r="G169" s="193">
        <v>21141349.232595913</v>
      </c>
      <c r="H169" s="193">
        <v>21141349.232595913</v>
      </c>
      <c r="I169" s="193">
        <v>21288050.421116281</v>
      </c>
      <c r="J169" s="193">
        <v>21586895.936282072</v>
      </c>
      <c r="K169" s="193">
        <v>21826664.491890669</v>
      </c>
      <c r="L169" s="193">
        <v>21945992.407412034</v>
      </c>
      <c r="M169" s="193">
        <v>22017687.177123163</v>
      </c>
      <c r="N169" s="193">
        <v>171756291.9647665</v>
      </c>
    </row>
    <row r="170" spans="2:14">
      <c r="B170" t="str">
        <f t="shared" si="38"/>
        <v>IT0.waste_mix</v>
      </c>
      <c r="C170" t="str">
        <f t="shared" si="39"/>
        <v>IT0</v>
      </c>
      <c r="E170" t="s">
        <v>24</v>
      </c>
      <c r="F170" s="193">
        <v>2232417</v>
      </c>
      <c r="G170" s="193">
        <v>2793429.3150946372</v>
      </c>
      <c r="H170" s="193">
        <v>2846947.3544831951</v>
      </c>
      <c r="I170" s="193">
        <v>2814200.6829785998</v>
      </c>
      <c r="J170" s="193">
        <v>2888075.5357396477</v>
      </c>
      <c r="K170" s="193">
        <v>3534344.2969541019</v>
      </c>
      <c r="L170" s="193">
        <v>3540621.7742091478</v>
      </c>
      <c r="M170" s="193">
        <v>3498475.9849488684</v>
      </c>
      <c r="N170" s="193">
        <v>24148511.944408201</v>
      </c>
    </row>
    <row r="171" spans="2:14">
      <c r="B171" t="str">
        <f t="shared" si="38"/>
        <v>IT0.natural_gas</v>
      </c>
      <c r="C171" t="str">
        <f t="shared" si="39"/>
        <v>IT0</v>
      </c>
      <c r="E171" t="s">
        <v>21</v>
      </c>
      <c r="F171" s="193">
        <v>109190007.43939728</v>
      </c>
      <c r="G171" s="193">
        <v>124904448.59117445</v>
      </c>
      <c r="H171" s="193">
        <v>123003190.60945939</v>
      </c>
      <c r="I171" s="193">
        <v>121222677.48178104</v>
      </c>
      <c r="J171" s="193">
        <v>135012943.76575994</v>
      </c>
      <c r="K171" s="193">
        <v>165949662.54158127</v>
      </c>
      <c r="L171" s="193">
        <v>145277769.02369347</v>
      </c>
      <c r="M171" s="193">
        <v>142296187.69353238</v>
      </c>
      <c r="N171" s="193">
        <v>1066856887.1463791</v>
      </c>
    </row>
    <row r="172" spans="2:14">
      <c r="B172" t="str">
        <f t="shared" si="38"/>
        <v>IT0.hard_coal</v>
      </c>
      <c r="C172" t="str">
        <f t="shared" si="39"/>
        <v>IT0</v>
      </c>
      <c r="E172" t="s">
        <v>18</v>
      </c>
      <c r="F172" s="193">
        <v>53853059.962231345</v>
      </c>
      <c r="G172" s="193">
        <v>61453986.182493925</v>
      </c>
      <c r="H172" s="193">
        <v>41260345.388193317</v>
      </c>
      <c r="I172" s="193">
        <v>40870902.538665265</v>
      </c>
      <c r="J172" s="193">
        <v>35456963.977508433</v>
      </c>
      <c r="K172" s="193">
        <v>9028727.2027557623</v>
      </c>
      <c r="L172" s="193">
        <v>8421435.1200823728</v>
      </c>
      <c r="M172" s="193">
        <v>0</v>
      </c>
      <c r="N172" s="193">
        <v>250345420.37193039</v>
      </c>
    </row>
    <row r="173" spans="2:14">
      <c r="B173" t="str">
        <f t="shared" si="38"/>
        <v>IT0.photovoltaics</v>
      </c>
      <c r="C173" t="str">
        <f t="shared" si="39"/>
        <v>IT0</v>
      </c>
      <c r="E173" t="s">
        <v>131</v>
      </c>
      <c r="F173" s="193">
        <v>23409301.3112133</v>
      </c>
      <c r="G173" s="193">
        <v>25552393.376553599</v>
      </c>
      <c r="H173" s="193">
        <v>31473134.609725799</v>
      </c>
      <c r="I173" s="193">
        <v>34026934.048563898</v>
      </c>
      <c r="J173" s="193">
        <v>36679053.857585102</v>
      </c>
      <c r="K173" s="193">
        <v>39891005.236769296</v>
      </c>
      <c r="L173" s="193">
        <v>74047388.558052108</v>
      </c>
      <c r="M173" s="193">
        <v>87928339.728152603</v>
      </c>
      <c r="N173" s="193">
        <v>353007550.72661567</v>
      </c>
    </row>
    <row r="174" spans="2:14">
      <c r="B174" t="str">
        <f t="shared" si="38"/>
        <v>IT0.wind_total</v>
      </c>
      <c r="C174" t="str">
        <f t="shared" si="39"/>
        <v>IT0</v>
      </c>
      <c r="E174" t="s">
        <v>445</v>
      </c>
      <c r="F174" s="193">
        <v>14627998.112011898</v>
      </c>
      <c r="G174" s="193">
        <v>14645538.091604799</v>
      </c>
      <c r="H174" s="193">
        <v>25587731.003884699</v>
      </c>
      <c r="I174" s="193">
        <v>32732246.950413302</v>
      </c>
      <c r="J174" s="193">
        <v>33760850.351018898</v>
      </c>
      <c r="K174" s="193">
        <v>39768467.599635303</v>
      </c>
      <c r="L174" s="193">
        <v>46429276.9184267</v>
      </c>
      <c r="M174" s="193">
        <v>62046572.211263999</v>
      </c>
      <c r="N174" s="193">
        <v>269598681.23825961</v>
      </c>
    </row>
    <row r="175" spans="2:14">
      <c r="B175" t="str">
        <f t="shared" si="38"/>
        <v>IT0.mineral_oil_heavy</v>
      </c>
      <c r="C175" t="str">
        <f t="shared" si="39"/>
        <v>IT0</v>
      </c>
      <c r="E175" t="s">
        <v>20</v>
      </c>
      <c r="F175" s="193">
        <v>8035037.0145081012</v>
      </c>
      <c r="G175" s="193">
        <v>7129057.7961110668</v>
      </c>
      <c r="H175" s="193">
        <v>7328282.5729993172</v>
      </c>
      <c r="I175" s="193">
        <v>7100329.7229917385</v>
      </c>
      <c r="J175" s="193">
        <v>4636287.6580170961</v>
      </c>
      <c r="K175" s="193">
        <v>4110184.5651911083</v>
      </c>
      <c r="L175" s="193">
        <v>2572247.2848701202</v>
      </c>
      <c r="M175" s="193">
        <v>790954.97179232421</v>
      </c>
      <c r="N175" s="193">
        <v>41702381.586480871</v>
      </c>
    </row>
    <row r="176" spans="2:14">
      <c r="D176" t="s">
        <v>479</v>
      </c>
      <c r="F176" s="193">
        <v>281539065.12619483</v>
      </c>
      <c r="G176" s="193">
        <v>310280883.86998266</v>
      </c>
      <c r="H176" s="193">
        <v>307130928.43289977</v>
      </c>
      <c r="I176" s="193">
        <v>314902150.93571812</v>
      </c>
      <c r="J176" s="193">
        <v>326697031.01542455</v>
      </c>
      <c r="K176" s="193">
        <v>346630520.88135076</v>
      </c>
      <c r="L176" s="193">
        <v>364935348.42131072</v>
      </c>
      <c r="M176" s="193">
        <v>381438764.48881757</v>
      </c>
      <c r="N176" s="193">
        <v>2633554693.171699</v>
      </c>
    </row>
    <row r="177" spans="4:14">
      <c r="D177" t="s">
        <v>434</v>
      </c>
      <c r="F177" s="193">
        <v>1579287540.2736373</v>
      </c>
      <c r="G177" s="193">
        <v>1620277284.1562426</v>
      </c>
      <c r="H177" s="193">
        <v>1618046478.5837767</v>
      </c>
      <c r="I177" s="193">
        <v>1637314792.8344736</v>
      </c>
      <c r="J177" s="193">
        <v>1649476610.3782227</v>
      </c>
      <c r="K177" s="193">
        <v>1672972071.3943555</v>
      </c>
      <c r="L177" s="193">
        <v>1717507979.1180379</v>
      </c>
      <c r="M177" s="193">
        <v>1780015228.4928994</v>
      </c>
      <c r="N177" s="193">
        <v>13274897985.231651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1"/>
  <sheetViews>
    <sheetView topLeftCell="D153" zoomScale="70" zoomScaleNormal="70" workbookViewId="0">
      <selection activeCell="D214" sqref="D214"/>
    </sheetView>
  </sheetViews>
  <sheetFormatPr defaultRowHeight="14.25"/>
  <cols>
    <col min="1" max="1" width="10.625" customWidth="1"/>
    <col min="2" max="2" width="13.625" customWidth="1"/>
    <col min="3" max="3" width="17.5" customWidth="1"/>
    <col min="4" max="4" width="12.5" customWidth="1"/>
    <col min="5" max="40" width="10.625" customWidth="1"/>
    <col min="41" max="41" width="15.375" customWidth="1"/>
    <col min="42" max="47" width="10.625" customWidth="1"/>
  </cols>
  <sheetData>
    <row r="1" spans="2:34"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2:34">
      <c r="B2" t="s">
        <v>95</v>
      </c>
      <c r="D2" s="26">
        <f t="shared" ref="D2:K7" si="0">INDEX($D$67:$L$101,MATCH($M2,$M$67:$M$101,0),MATCH(D$1,$D$65:$L$65,0))</f>
        <v>3333</v>
      </c>
      <c r="E2" s="26">
        <f t="shared" si="0"/>
        <v>2874.5163073521298</v>
      </c>
      <c r="F2" s="26">
        <f t="shared" si="0"/>
        <v>2166.9430624654501</v>
      </c>
      <c r="G2" s="26">
        <f t="shared" si="0"/>
        <v>1194.0298507462701</v>
      </c>
      <c r="H2" s="26">
        <f t="shared" si="0"/>
        <v>0</v>
      </c>
      <c r="I2" s="26">
        <f t="shared" si="0"/>
        <v>0</v>
      </c>
      <c r="J2" s="26">
        <f t="shared" si="0"/>
        <v>0</v>
      </c>
      <c r="K2" s="26">
        <f t="shared" si="0"/>
        <v>0</v>
      </c>
      <c r="L2" t="s">
        <v>296</v>
      </c>
      <c r="M2" t="str">
        <f t="shared" ref="M2:M7" si="1">B2&amp;"."&amp;L2</f>
        <v>NUC_ELC.POM C&amp;E</v>
      </c>
    </row>
    <row r="3" spans="2:34">
      <c r="B3" t="s">
        <v>105</v>
      </c>
      <c r="D3" s="26">
        <f t="shared" si="0"/>
        <v>1390.1</v>
      </c>
      <c r="E3" s="26">
        <f t="shared" si="0"/>
        <v>1665.2918506448</v>
      </c>
      <c r="F3" s="26">
        <f t="shared" si="0"/>
        <v>2192.7428977140098</v>
      </c>
      <c r="G3" s="26">
        <f t="shared" si="0"/>
        <v>3259.1113189626299</v>
      </c>
      <c r="H3" s="26">
        <f t="shared" si="0"/>
        <v>6160.0920778432701</v>
      </c>
      <c r="I3" s="26">
        <f t="shared" si="0"/>
        <v>8797.3473131893006</v>
      </c>
      <c r="J3" s="26">
        <f t="shared" si="0"/>
        <v>11652.462763629101</v>
      </c>
      <c r="K3" s="26">
        <f t="shared" si="0"/>
        <v>13819.598587457</v>
      </c>
      <c r="L3" t="s">
        <v>296</v>
      </c>
      <c r="M3" t="str">
        <f t="shared" si="1"/>
        <v>SOL_PHO.POM C&amp;E</v>
      </c>
    </row>
    <row r="4" spans="2:34" ht="15">
      <c r="B4" t="s">
        <v>120</v>
      </c>
      <c r="D4" s="26">
        <f t="shared" si="0"/>
        <v>60.287999999999997</v>
      </c>
      <c r="E4" s="26">
        <f t="shared" si="0"/>
        <v>240.568875087078</v>
      </c>
      <c r="F4" s="26">
        <f t="shared" si="0"/>
        <v>432.48077437332302</v>
      </c>
      <c r="G4" s="26">
        <f t="shared" si="0"/>
        <v>705.80984305373204</v>
      </c>
      <c r="H4" s="26">
        <f t="shared" si="0"/>
        <v>880.27520604122697</v>
      </c>
      <c r="I4" s="26">
        <f t="shared" si="0"/>
        <v>1362.96271030663</v>
      </c>
      <c r="J4" s="26">
        <f t="shared" si="0"/>
        <v>1851.4657266716199</v>
      </c>
      <c r="K4" s="26">
        <f t="shared" si="0"/>
        <v>2334.15323093702</v>
      </c>
      <c r="L4" t="s">
        <v>296</v>
      </c>
      <c r="M4" t="str">
        <f t="shared" si="1"/>
        <v>WIN_ONS.POM C&amp;E</v>
      </c>
      <c r="Y4" s="92" t="s">
        <v>297</v>
      </c>
    </row>
    <row r="5" spans="2:34">
      <c r="B5" t="s">
        <v>80</v>
      </c>
      <c r="D5" s="26">
        <f t="shared" si="0"/>
        <v>4199.8690228328906</v>
      </c>
      <c r="E5" s="26">
        <f t="shared" si="0"/>
        <v>5334.3737928055307</v>
      </c>
      <c r="F5" s="26">
        <f t="shared" si="0"/>
        <v>5381.6403960329208</v>
      </c>
      <c r="G5" s="26">
        <f t="shared" si="0"/>
        <v>5408.6498835914281</v>
      </c>
      <c r="H5" s="26">
        <f t="shared" si="0"/>
        <v>5455.958689143129</v>
      </c>
      <c r="I5" s="26">
        <f t="shared" si="0"/>
        <v>5503.1830900462091</v>
      </c>
      <c r="J5" s="26">
        <f t="shared" si="0"/>
        <v>5577.4591808321111</v>
      </c>
      <c r="K5" s="26">
        <f t="shared" si="0"/>
        <v>5651.7352716180121</v>
      </c>
      <c r="L5" t="s">
        <v>296</v>
      </c>
      <c r="M5" t="str">
        <f t="shared" si="1"/>
        <v>HYD_ROR.POM C&amp;E</v>
      </c>
      <c r="Y5" s="93" t="s">
        <v>298</v>
      </c>
      <c r="Z5" s="4" t="s">
        <v>29</v>
      </c>
      <c r="AA5" s="5"/>
      <c r="AB5" s="5"/>
      <c r="AC5" s="5"/>
      <c r="AD5" s="5"/>
      <c r="AE5" s="5"/>
      <c r="AF5" s="5"/>
      <c r="AG5" s="5"/>
      <c r="AH5" s="6"/>
    </row>
    <row r="6" spans="2:34" ht="15">
      <c r="B6" t="s">
        <v>75</v>
      </c>
      <c r="D6" s="26">
        <f t="shared" si="0"/>
        <v>7635.7214468775128</v>
      </c>
      <c r="E6" s="26">
        <f t="shared" si="0"/>
        <v>9698.3482470394229</v>
      </c>
      <c r="F6" s="26">
        <f t="shared" si="0"/>
        <v>9784.2829783423022</v>
      </c>
      <c r="G6" s="26">
        <f t="shared" si="0"/>
        <v>9833.3885390868036</v>
      </c>
      <c r="H6" s="26">
        <f t="shared" si="0"/>
        <v>9919.3999978283482</v>
      </c>
      <c r="I6" s="26">
        <f t="shared" si="0"/>
        <v>10005.258001692564</v>
      </c>
      <c r="J6" s="26">
        <f t="shared" si="0"/>
        <v>10140.298293739952</v>
      </c>
      <c r="K6" s="26">
        <f t="shared" si="0"/>
        <v>10275.33858578734</v>
      </c>
      <c r="L6" t="s">
        <v>296</v>
      </c>
      <c r="M6" t="str">
        <f t="shared" si="1"/>
        <v>HYD_RES.POM C&amp;E</v>
      </c>
      <c r="Y6" s="7" t="s">
        <v>128</v>
      </c>
      <c r="Z6" s="9">
        <v>2015</v>
      </c>
      <c r="AA6" s="10">
        <v>2020</v>
      </c>
      <c r="AB6" s="10">
        <v>2025</v>
      </c>
      <c r="AC6" s="10">
        <v>2030</v>
      </c>
      <c r="AD6" s="10">
        <v>2035</v>
      </c>
      <c r="AE6" s="10">
        <v>2040</v>
      </c>
      <c r="AF6" s="10">
        <v>2045</v>
      </c>
      <c r="AG6" s="10">
        <v>2050</v>
      </c>
      <c r="AH6" s="18" t="s">
        <v>34</v>
      </c>
    </row>
    <row r="7" spans="2:34" ht="15">
      <c r="B7" t="s">
        <v>85</v>
      </c>
      <c r="D7" s="26">
        <f t="shared" si="0"/>
        <v>1917.516406842997</v>
      </c>
      <c r="E7" s="26">
        <f t="shared" si="0"/>
        <v>2435.4924432949165</v>
      </c>
      <c r="F7" s="26">
        <f t="shared" si="0"/>
        <v>2457.0727560836058</v>
      </c>
      <c r="G7" s="26">
        <f t="shared" si="0"/>
        <v>2469.4043633914275</v>
      </c>
      <c r="H7" s="26">
        <f t="shared" si="0"/>
        <v>2491.0039443165351</v>
      </c>
      <c r="I7" s="26">
        <f t="shared" si="0"/>
        <v>2512.5649889688052</v>
      </c>
      <c r="J7" s="26">
        <f t="shared" si="0"/>
        <v>2546.4769090653176</v>
      </c>
      <c r="K7" s="26">
        <f t="shared" si="0"/>
        <v>2580.38882916183</v>
      </c>
      <c r="L7" t="s">
        <v>296</v>
      </c>
      <c r="M7" t="str">
        <f t="shared" si="1"/>
        <v>HYD_STO.POM C&amp;E</v>
      </c>
      <c r="Y7" s="11" t="s">
        <v>299</v>
      </c>
      <c r="Z7" s="94">
        <v>354</v>
      </c>
      <c r="AA7" s="95">
        <v>277</v>
      </c>
      <c r="AB7" s="95">
        <v>175</v>
      </c>
      <c r="AC7" s="95">
        <v>118</v>
      </c>
      <c r="AD7" s="95">
        <v>60</v>
      </c>
      <c r="AE7" s="95">
        <v>0</v>
      </c>
      <c r="AF7" s="95">
        <v>0</v>
      </c>
      <c r="AG7" s="96">
        <v>0</v>
      </c>
      <c r="AH7" s="97">
        <v>984</v>
      </c>
    </row>
    <row r="8" spans="2:34" ht="15">
      <c r="Y8" s="13" t="s">
        <v>300</v>
      </c>
      <c r="Z8" s="15">
        <v>0</v>
      </c>
      <c r="AA8" s="98">
        <v>0</v>
      </c>
      <c r="AB8" s="98">
        <v>0</v>
      </c>
      <c r="AC8" s="98">
        <v>0</v>
      </c>
      <c r="AD8" s="98">
        <v>0</v>
      </c>
      <c r="AE8" s="98">
        <v>0</v>
      </c>
      <c r="AF8" s="98">
        <v>0</v>
      </c>
      <c r="AG8" s="99">
        <v>0</v>
      </c>
      <c r="AH8" s="100">
        <v>0</v>
      </c>
    </row>
    <row r="9" spans="2:34" ht="15">
      <c r="Y9" s="13" t="s">
        <v>145</v>
      </c>
      <c r="Z9" s="15">
        <v>13730</v>
      </c>
      <c r="AA9" s="98">
        <v>13730</v>
      </c>
      <c r="AB9" s="98">
        <v>13730</v>
      </c>
      <c r="AC9" s="98">
        <v>13730</v>
      </c>
      <c r="AD9" s="98">
        <v>13730</v>
      </c>
      <c r="AE9" s="98">
        <v>13730</v>
      </c>
      <c r="AF9" s="98">
        <v>13730</v>
      </c>
      <c r="AG9" s="99">
        <v>13730</v>
      </c>
      <c r="AH9" s="100">
        <v>109840</v>
      </c>
    </row>
    <row r="10" spans="2:34" ht="15">
      <c r="Y10" s="13" t="s">
        <v>95</v>
      </c>
      <c r="Z10" s="15">
        <v>3263</v>
      </c>
      <c r="AA10" s="98">
        <v>2898</v>
      </c>
      <c r="AB10" s="98">
        <v>2160</v>
      </c>
      <c r="AC10" s="98">
        <v>1190</v>
      </c>
      <c r="AD10" s="98">
        <v>0</v>
      </c>
      <c r="AE10" s="98">
        <v>0</v>
      </c>
      <c r="AF10" s="98">
        <v>0</v>
      </c>
      <c r="AG10" s="99">
        <v>0</v>
      </c>
      <c r="AH10" s="100">
        <v>9511</v>
      </c>
    </row>
    <row r="11" spans="2:34" ht="15">
      <c r="B11" t="s">
        <v>60</v>
      </c>
      <c r="D11" s="26">
        <f t="shared" ref="D11:K15" si="2">INDEX($D$67:$L$101,MATCH($M11,$M$67:$M$101,0),MATCH(D$1,$D$65:$L$65,0))</f>
        <v>266.98390957074196</v>
      </c>
      <c r="E11" s="26">
        <f t="shared" si="2"/>
        <v>267.20528926358645</v>
      </c>
      <c r="F11" s="26">
        <f t="shared" si="2"/>
        <v>124.58446611914741</v>
      </c>
      <c r="G11" s="26">
        <f t="shared" si="2"/>
        <v>71.143408266429944</v>
      </c>
      <c r="H11" s="26">
        <f t="shared" si="2"/>
        <v>71.032072729236802</v>
      </c>
      <c r="I11" s="26">
        <f t="shared" si="2"/>
        <v>0</v>
      </c>
      <c r="J11" s="26">
        <f t="shared" si="2"/>
        <v>0</v>
      </c>
      <c r="K11" s="26">
        <f t="shared" si="2"/>
        <v>0</v>
      </c>
      <c r="L11" t="s">
        <v>296</v>
      </c>
      <c r="M11" t="str">
        <f t="shared" ref="M11:M19" si="3">B11&amp;"."&amp;L11</f>
        <v>GAS_LIN.POM C&amp;E</v>
      </c>
      <c r="Y11" s="13" t="s">
        <v>301</v>
      </c>
      <c r="Z11" s="15">
        <v>77</v>
      </c>
      <c r="AA11" s="98">
        <v>60</v>
      </c>
      <c r="AB11" s="98">
        <v>55</v>
      </c>
      <c r="AC11" s="98">
        <v>28</v>
      </c>
      <c r="AD11" s="98">
        <v>2</v>
      </c>
      <c r="AE11" s="98">
        <v>2</v>
      </c>
      <c r="AF11" s="98">
        <v>0</v>
      </c>
      <c r="AG11" s="99">
        <v>0</v>
      </c>
      <c r="AH11" s="100">
        <v>224</v>
      </c>
    </row>
    <row r="12" spans="2:34" ht="15">
      <c r="B12" t="s">
        <v>441</v>
      </c>
      <c r="D12" s="26">
        <f t="shared" si="2"/>
        <v>154.51532725766401</v>
      </c>
      <c r="E12" s="26">
        <f t="shared" si="2"/>
        <v>331.67495854062997</v>
      </c>
      <c r="F12" s="26">
        <f t="shared" si="2"/>
        <v>1039.3864013267</v>
      </c>
      <c r="G12" s="26">
        <f t="shared" si="2"/>
        <v>1680.624654505247</v>
      </c>
      <c r="H12" s="26">
        <f t="shared" si="2"/>
        <v>3360.69651741294</v>
      </c>
      <c r="I12" s="26">
        <f t="shared" si="2"/>
        <v>3493.2283029297937</v>
      </c>
      <c r="J12" s="26">
        <f t="shared" si="2"/>
        <v>3516.0309563294659</v>
      </c>
      <c r="K12" s="26">
        <f t="shared" si="2"/>
        <v>3449.1431730237746</v>
      </c>
      <c r="L12" t="s">
        <v>296</v>
      </c>
      <c r="M12" t="str">
        <f t="shared" si="3"/>
        <v>GAS_NEW.POM C&amp;E</v>
      </c>
      <c r="Y12" s="13" t="s">
        <v>302</v>
      </c>
      <c r="Z12" s="15">
        <v>151</v>
      </c>
      <c r="AA12" s="98">
        <v>142</v>
      </c>
      <c r="AB12" s="98">
        <v>130</v>
      </c>
      <c r="AC12" s="98">
        <v>85</v>
      </c>
      <c r="AD12" s="98">
        <v>0</v>
      </c>
      <c r="AE12" s="98">
        <v>0</v>
      </c>
      <c r="AF12" s="98">
        <v>0</v>
      </c>
      <c r="AG12" s="99">
        <v>0</v>
      </c>
      <c r="AH12" s="100">
        <v>508</v>
      </c>
    </row>
    <row r="13" spans="2:34" ht="15">
      <c r="B13" t="s">
        <v>100</v>
      </c>
      <c r="D13" s="26">
        <f t="shared" si="2"/>
        <v>64.416256129340994</v>
      </c>
      <c r="E13" s="26">
        <f t="shared" si="2"/>
        <v>64.469669277043536</v>
      </c>
      <c r="F13" s="26">
        <f t="shared" si="2"/>
        <v>30.058983300421602</v>
      </c>
      <c r="G13" s="26">
        <f t="shared" si="2"/>
        <v>17.165049445012855</v>
      </c>
      <c r="H13" s="26">
        <f t="shared" si="2"/>
        <v>17.138187082814092</v>
      </c>
      <c r="I13" s="26">
        <f t="shared" si="2"/>
        <v>0</v>
      </c>
      <c r="J13" s="26">
        <f t="shared" si="2"/>
        <v>0</v>
      </c>
      <c r="K13" s="26">
        <f t="shared" si="2"/>
        <v>0</v>
      </c>
      <c r="L13" t="s">
        <v>296</v>
      </c>
      <c r="M13" t="str">
        <f t="shared" si="3"/>
        <v>OIL_LIN.POM C&amp;E</v>
      </c>
      <c r="Y13" s="13" t="s">
        <v>110</v>
      </c>
      <c r="Z13" s="101">
        <v>207</v>
      </c>
      <c r="AA13" s="102">
        <v>193</v>
      </c>
      <c r="AB13" s="102">
        <v>123</v>
      </c>
      <c r="AC13" s="102">
        <v>69</v>
      </c>
      <c r="AD13" s="102">
        <v>35</v>
      </c>
      <c r="AE13" s="102">
        <v>0</v>
      </c>
      <c r="AF13" s="102">
        <v>0</v>
      </c>
      <c r="AG13" s="103">
        <v>0</v>
      </c>
      <c r="AH13" s="104">
        <v>627</v>
      </c>
    </row>
    <row r="14" spans="2:34" ht="15">
      <c r="B14" t="s">
        <v>55</v>
      </c>
      <c r="D14" s="26">
        <f t="shared" si="2"/>
        <v>46.2</v>
      </c>
      <c r="E14" s="26">
        <f t="shared" si="2"/>
        <v>191.26334532998399</v>
      </c>
      <c r="F14" s="26">
        <f t="shared" si="2"/>
        <v>407.58587783961002</v>
      </c>
      <c r="G14" s="26">
        <f t="shared" si="2"/>
        <v>585.73384578871298</v>
      </c>
      <c r="H14" s="26">
        <f t="shared" si="2"/>
        <v>639.17823617344402</v>
      </c>
      <c r="I14" s="26">
        <f t="shared" si="2"/>
        <v>662.08297490975701</v>
      </c>
      <c r="J14" s="26">
        <f t="shared" si="2"/>
        <v>672.26285879256295</v>
      </c>
      <c r="K14" s="26">
        <f t="shared" si="2"/>
        <v>674.80782976326498</v>
      </c>
      <c r="L14" t="s">
        <v>296</v>
      </c>
      <c r="M14" t="str">
        <f t="shared" si="3"/>
        <v>BAL_ELC.POM C&amp;E</v>
      </c>
      <c r="Y14" s="105" t="s">
        <v>34</v>
      </c>
      <c r="Z14" s="106">
        <v>17782</v>
      </c>
      <c r="AA14" s="107">
        <v>17300</v>
      </c>
      <c r="AB14" s="107">
        <v>16373</v>
      </c>
      <c r="AC14" s="107">
        <v>15220</v>
      </c>
      <c r="AD14" s="107">
        <v>13827</v>
      </c>
      <c r="AE14" s="107">
        <v>13732</v>
      </c>
      <c r="AF14" s="107">
        <v>13730</v>
      </c>
      <c r="AG14" s="108">
        <v>13730</v>
      </c>
      <c r="AH14" s="109">
        <v>121694</v>
      </c>
    </row>
    <row r="15" spans="2:34">
      <c r="B15" t="s">
        <v>110</v>
      </c>
      <c r="D15" s="26">
        <f t="shared" si="2"/>
        <v>439.268492108766</v>
      </c>
      <c r="E15" s="26">
        <f t="shared" si="2"/>
        <v>470.22880300472502</v>
      </c>
      <c r="F15" s="26">
        <f t="shared" si="2"/>
        <v>506.81826133631301</v>
      </c>
      <c r="G15" s="26">
        <f t="shared" si="2"/>
        <v>532.14942479664398</v>
      </c>
      <c r="H15" s="26">
        <f t="shared" si="2"/>
        <v>532.14942479664398</v>
      </c>
      <c r="I15" s="26">
        <f t="shared" si="2"/>
        <v>534.96399851445801</v>
      </c>
      <c r="J15" s="26">
        <f t="shared" si="2"/>
        <v>534.96399851445801</v>
      </c>
      <c r="K15" s="26">
        <f t="shared" si="2"/>
        <v>534.96399851445801</v>
      </c>
      <c r="L15" t="s">
        <v>296</v>
      </c>
      <c r="M15" t="str">
        <f t="shared" si="3"/>
        <v>WAS_ELC.POM C&amp;E</v>
      </c>
    </row>
    <row r="16" spans="2:34">
      <c r="B16" t="s">
        <v>91</v>
      </c>
      <c r="D16" s="88"/>
      <c r="E16" s="88"/>
      <c r="F16" s="88"/>
      <c r="G16" s="88"/>
      <c r="H16" s="88"/>
      <c r="I16" s="88"/>
      <c r="J16" s="88"/>
      <c r="K16" s="88"/>
      <c r="L16" t="s">
        <v>296</v>
      </c>
      <c r="M16" t="str">
        <f t="shared" si="3"/>
        <v>LIG_LIN.POM C&amp;E</v>
      </c>
    </row>
    <row r="17" spans="2:47">
      <c r="B17" t="s">
        <v>70</v>
      </c>
      <c r="D17" s="88"/>
      <c r="E17" s="88"/>
      <c r="F17" s="88"/>
      <c r="G17" s="88"/>
      <c r="H17" s="88"/>
      <c r="I17" s="88"/>
      <c r="J17" s="88"/>
      <c r="K17" s="88"/>
      <c r="L17" t="s">
        <v>296</v>
      </c>
      <c r="M17" t="str">
        <f t="shared" si="3"/>
        <v>HCO_LIN.POM C&amp;E</v>
      </c>
    </row>
    <row r="18" spans="2:47" ht="15">
      <c r="B18" t="s">
        <v>65</v>
      </c>
      <c r="D18" s="26">
        <f t="shared" ref="D18:K18" si="4">INDEX($D$67:$L$101,MATCH($M18,$M$67:$M$101,0),MATCH(D$1,$D$65:$L$65,0))</f>
        <v>0</v>
      </c>
      <c r="E18" s="26">
        <f t="shared" si="4"/>
        <v>12.9795791896249</v>
      </c>
      <c r="F18" s="26">
        <f t="shared" si="4"/>
        <v>37.640779649912098</v>
      </c>
      <c r="G18" s="26">
        <f t="shared" si="4"/>
        <v>88.261138489448996</v>
      </c>
      <c r="H18" s="26">
        <f t="shared" si="4"/>
        <v>172.628403222011</v>
      </c>
      <c r="I18" s="26">
        <f t="shared" si="4"/>
        <v>299.82827928033402</v>
      </c>
      <c r="J18" s="26">
        <f t="shared" si="4"/>
        <v>438.70977660931999</v>
      </c>
      <c r="K18" s="26">
        <f t="shared" si="4"/>
        <v>556.82394723490597</v>
      </c>
      <c r="L18" t="s">
        <v>296</v>
      </c>
      <c r="M18" t="str">
        <f t="shared" si="3"/>
        <v>GEO_ELC.POM C&amp;E</v>
      </c>
      <c r="Y18" s="92" t="s">
        <v>303</v>
      </c>
      <c r="AK18" s="92" t="s">
        <v>304</v>
      </c>
    </row>
    <row r="19" spans="2:47">
      <c r="B19" t="s">
        <v>115</v>
      </c>
      <c r="D19" s="88"/>
      <c r="E19" s="88"/>
      <c r="F19" s="88"/>
      <c r="G19" s="88"/>
      <c r="H19" s="88"/>
      <c r="I19" s="88"/>
      <c r="J19" s="88"/>
      <c r="K19" s="88"/>
      <c r="L19" t="s">
        <v>296</v>
      </c>
      <c r="M19" t="str">
        <f t="shared" si="3"/>
        <v>WIN_OFF.POM C&amp;E</v>
      </c>
      <c r="Y19" s="2" t="s">
        <v>305</v>
      </c>
      <c r="Z19" s="3"/>
      <c r="AA19" s="4" t="s">
        <v>29</v>
      </c>
      <c r="AB19" s="5"/>
      <c r="AC19" s="5"/>
      <c r="AD19" s="5"/>
      <c r="AE19" s="5"/>
      <c r="AF19" s="5"/>
      <c r="AG19" s="5"/>
      <c r="AH19" s="5"/>
      <c r="AI19" s="6"/>
      <c r="AK19" s="2" t="s">
        <v>306</v>
      </c>
      <c r="AL19" s="3"/>
      <c r="AM19" s="4" t="s">
        <v>29</v>
      </c>
      <c r="AN19" s="5"/>
      <c r="AO19" s="5"/>
      <c r="AP19" s="5"/>
      <c r="AQ19" s="5"/>
      <c r="AR19" s="5"/>
      <c r="AS19" s="5"/>
      <c r="AT19" s="5"/>
      <c r="AU19" s="6"/>
    </row>
    <row r="20" spans="2:47" ht="15">
      <c r="D20">
        <f t="shared" ref="D20:K20" si="5">SUM(D2:D19)</f>
        <v>19507.87886161992</v>
      </c>
      <c r="E20">
        <f t="shared" si="5"/>
        <v>23586.41316082947</v>
      </c>
      <c r="F20">
        <f t="shared" si="5"/>
        <v>24561.237634583722</v>
      </c>
      <c r="G20">
        <f t="shared" si="5"/>
        <v>25845.471320123779</v>
      </c>
      <c r="H20">
        <f t="shared" si="5"/>
        <v>29699.552756589601</v>
      </c>
      <c r="I20">
        <f t="shared" si="5"/>
        <v>33171.419659837855</v>
      </c>
      <c r="J20">
        <f t="shared" si="5"/>
        <v>36930.130464183916</v>
      </c>
      <c r="K20">
        <f t="shared" si="5"/>
        <v>39876.953453497612</v>
      </c>
      <c r="Y20" s="7" t="s">
        <v>30</v>
      </c>
      <c r="Z20" s="8" t="s">
        <v>128</v>
      </c>
      <c r="AA20" s="9">
        <v>2015</v>
      </c>
      <c r="AB20" s="10">
        <v>2020</v>
      </c>
      <c r="AC20" s="10">
        <v>2025</v>
      </c>
      <c r="AD20" s="10">
        <v>2030</v>
      </c>
      <c r="AE20" s="10">
        <v>2035</v>
      </c>
      <c r="AF20" s="10">
        <v>2040</v>
      </c>
      <c r="AG20" s="10">
        <v>2045</v>
      </c>
      <c r="AH20" s="10">
        <v>2050</v>
      </c>
      <c r="AI20" s="18" t="s">
        <v>34</v>
      </c>
      <c r="AK20" s="7" t="s">
        <v>128</v>
      </c>
      <c r="AL20" s="8" t="s">
        <v>30</v>
      </c>
      <c r="AM20" s="9">
        <v>2015</v>
      </c>
      <c r="AN20" s="10">
        <v>2020</v>
      </c>
      <c r="AO20" s="10">
        <v>2025</v>
      </c>
      <c r="AP20" s="10">
        <v>2030</v>
      </c>
      <c r="AQ20" s="10">
        <v>2035</v>
      </c>
      <c r="AR20" s="10">
        <v>2040</v>
      </c>
      <c r="AS20" s="10">
        <v>2045</v>
      </c>
      <c r="AT20" s="10">
        <v>2050</v>
      </c>
      <c r="AU20" s="18" t="s">
        <v>34</v>
      </c>
    </row>
    <row r="21" spans="2:47" ht="15">
      <c r="Y21" s="11" t="s">
        <v>299</v>
      </c>
      <c r="Z21" s="12" t="s">
        <v>307</v>
      </c>
      <c r="AA21" s="94">
        <v>309.51064418025999</v>
      </c>
      <c r="AB21" s="95">
        <v>243.433784904617</v>
      </c>
      <c r="AC21" s="95">
        <v>154.824440143766</v>
      </c>
      <c r="AD21" s="95">
        <v>88.471108653580302</v>
      </c>
      <c r="AE21" s="95">
        <v>154.96267625103701</v>
      </c>
      <c r="AF21" s="95">
        <v>0</v>
      </c>
      <c r="AG21" s="95">
        <v>0</v>
      </c>
      <c r="AH21" s="96">
        <v>0</v>
      </c>
      <c r="AI21" s="97">
        <v>951.20265413326001</v>
      </c>
      <c r="AK21" s="11" t="s">
        <v>55</v>
      </c>
      <c r="AL21" s="12" t="s">
        <v>307</v>
      </c>
      <c r="AM21" s="110">
        <v>46.2</v>
      </c>
      <c r="AN21" s="111">
        <v>126.737463241436</v>
      </c>
      <c r="AO21" s="111">
        <v>225.17214053652401</v>
      </c>
      <c r="AP21" s="111">
        <v>305.70960377796001</v>
      </c>
      <c r="AQ21" s="111">
        <v>308.69247278690199</v>
      </c>
      <c r="AR21" s="111">
        <v>317.64107981372803</v>
      </c>
      <c r="AS21" s="111">
        <v>326.58968684055401</v>
      </c>
      <c r="AT21" s="112">
        <v>326.58968684055401</v>
      </c>
      <c r="AU21" s="113">
        <v>1983.33213383766</v>
      </c>
    </row>
    <row r="22" spans="2:47" ht="15">
      <c r="Y22" s="13"/>
      <c r="Z22" s="14" t="s">
        <v>308</v>
      </c>
      <c r="AA22" s="15">
        <v>309.64888028753097</v>
      </c>
      <c r="AB22" s="98">
        <v>331.766657450926</v>
      </c>
      <c r="AC22" s="98">
        <v>154.824440143766</v>
      </c>
      <c r="AD22" s="98">
        <v>88.609344760851499</v>
      </c>
      <c r="AE22" s="98">
        <v>88.471108653580302</v>
      </c>
      <c r="AF22" s="98">
        <v>0</v>
      </c>
      <c r="AG22" s="98">
        <v>0</v>
      </c>
      <c r="AH22" s="99">
        <v>0</v>
      </c>
      <c r="AI22" s="100">
        <v>973.32043129665499</v>
      </c>
      <c r="AK22" s="13"/>
      <c r="AL22" s="14" t="s">
        <v>308</v>
      </c>
      <c r="AM22" s="114">
        <v>46.2</v>
      </c>
      <c r="AN22" s="115">
        <v>191.26334532998399</v>
      </c>
      <c r="AO22" s="115">
        <v>407.58587783961002</v>
      </c>
      <c r="AP22" s="115">
        <v>585.73384578871298</v>
      </c>
      <c r="AQ22" s="115">
        <v>639.17823617344402</v>
      </c>
      <c r="AR22" s="115">
        <v>662.08297490975701</v>
      </c>
      <c r="AS22" s="115">
        <v>672.26285879256295</v>
      </c>
      <c r="AT22" s="116">
        <v>674.80782976326498</v>
      </c>
      <c r="AU22" s="117">
        <v>3879.1149685973401</v>
      </c>
    </row>
    <row r="23" spans="2:47" ht="15">
      <c r="Y23" s="13"/>
      <c r="Z23" s="14" t="s">
        <v>309</v>
      </c>
      <c r="AA23" s="15">
        <v>331.766657450926</v>
      </c>
      <c r="AB23" s="98">
        <v>309.64888028753097</v>
      </c>
      <c r="AC23" s="98">
        <v>154.96267625103701</v>
      </c>
      <c r="AD23" s="98">
        <v>88.471108653580302</v>
      </c>
      <c r="AE23" s="98">
        <v>88.609344760851499</v>
      </c>
      <c r="AF23" s="98">
        <v>0</v>
      </c>
      <c r="AG23" s="98">
        <v>0</v>
      </c>
      <c r="AH23" s="99">
        <v>0</v>
      </c>
      <c r="AI23" s="100">
        <v>973.45866740392603</v>
      </c>
      <c r="AK23" s="13"/>
      <c r="AL23" s="14" t="s">
        <v>309</v>
      </c>
      <c r="AM23" s="114">
        <v>46.2</v>
      </c>
      <c r="AN23" s="115">
        <v>191.26334532998399</v>
      </c>
      <c r="AO23" s="115">
        <v>407.58587783961002</v>
      </c>
      <c r="AP23" s="115">
        <v>585.73384578871298</v>
      </c>
      <c r="AQ23" s="115">
        <v>639.17823617344402</v>
      </c>
      <c r="AR23" s="115">
        <v>662.08297490975701</v>
      </c>
      <c r="AS23" s="115">
        <v>672.26285879256295</v>
      </c>
      <c r="AT23" s="116">
        <v>674.80782976326498</v>
      </c>
      <c r="AU23" s="117">
        <v>3879.1149685973401</v>
      </c>
    </row>
    <row r="24" spans="2:47" ht="15">
      <c r="Y24" s="13"/>
      <c r="Z24" s="14" t="s">
        <v>142</v>
      </c>
      <c r="AA24" s="15">
        <v>309.56329463792201</v>
      </c>
      <c r="AB24" s="98">
        <v>243.090105030404</v>
      </c>
      <c r="AC24" s="98">
        <v>154.919845218353</v>
      </c>
      <c r="AD24" s="98">
        <v>88.446655610834696</v>
      </c>
      <c r="AE24" s="98">
        <v>88.446655610834696</v>
      </c>
      <c r="AF24" s="98">
        <v>0</v>
      </c>
      <c r="AG24" s="98">
        <v>0</v>
      </c>
      <c r="AH24" s="99">
        <v>0</v>
      </c>
      <c r="AI24" s="100">
        <v>884.46655610834705</v>
      </c>
      <c r="AK24" s="13"/>
      <c r="AL24" s="14" t="s">
        <v>142</v>
      </c>
      <c r="AM24" s="114">
        <v>46.2</v>
      </c>
      <c r="AN24" s="115">
        <v>126.737463241436</v>
      </c>
      <c r="AO24" s="115">
        <v>225.17214053652401</v>
      </c>
      <c r="AP24" s="115">
        <v>305.70960377796001</v>
      </c>
      <c r="AQ24" s="115">
        <v>308.69247278690199</v>
      </c>
      <c r="AR24" s="115">
        <v>317.64107981372803</v>
      </c>
      <c r="AS24" s="115">
        <v>326.58968684055401</v>
      </c>
      <c r="AT24" s="116">
        <v>326.58968684055401</v>
      </c>
      <c r="AU24" s="117">
        <v>1983.33213383766</v>
      </c>
    </row>
    <row r="25" spans="2:47" ht="15">
      <c r="Y25" s="13"/>
      <c r="Z25" s="14" t="s">
        <v>296</v>
      </c>
      <c r="AA25" s="15">
        <v>331.40016570008299</v>
      </c>
      <c r="AB25" s="98">
        <v>331.67495854062997</v>
      </c>
      <c r="AC25" s="98">
        <v>154.64344941956901</v>
      </c>
      <c r="AD25" s="98">
        <v>88.308457711442799</v>
      </c>
      <c r="AE25" s="98">
        <v>88.170259812050901</v>
      </c>
      <c r="AF25" s="98">
        <v>0</v>
      </c>
      <c r="AG25" s="98">
        <v>0</v>
      </c>
      <c r="AH25" s="99">
        <v>0</v>
      </c>
      <c r="AI25" s="100">
        <v>994.19729118377495</v>
      </c>
      <c r="AK25" s="13"/>
      <c r="AL25" s="14" t="s">
        <v>296</v>
      </c>
      <c r="AM25" s="114">
        <v>46.2</v>
      </c>
      <c r="AN25" s="115">
        <v>191.26334532998399</v>
      </c>
      <c r="AO25" s="115">
        <v>407.58587783961002</v>
      </c>
      <c r="AP25" s="115">
        <v>585.73384578871298</v>
      </c>
      <c r="AQ25" s="115">
        <v>639.17823617344402</v>
      </c>
      <c r="AR25" s="115">
        <v>662.08297490975701</v>
      </c>
      <c r="AS25" s="115">
        <v>672.26285879256295</v>
      </c>
      <c r="AT25" s="116">
        <v>674.80782976326498</v>
      </c>
      <c r="AU25" s="117">
        <v>3879.1149685973401</v>
      </c>
    </row>
    <row r="26" spans="2:47" ht="15">
      <c r="D26">
        <v>2015</v>
      </c>
      <c r="E26">
        <v>2020</v>
      </c>
      <c r="F26">
        <v>2025</v>
      </c>
      <c r="G26">
        <v>2030</v>
      </c>
      <c r="H26">
        <v>2035</v>
      </c>
      <c r="I26">
        <v>2040</v>
      </c>
      <c r="J26">
        <v>2045</v>
      </c>
      <c r="K26">
        <v>2050</v>
      </c>
      <c r="Y26" s="13"/>
      <c r="Z26" s="14" t="s">
        <v>143</v>
      </c>
      <c r="AA26" s="15">
        <v>309.78711639480201</v>
      </c>
      <c r="AB26" s="98">
        <v>331.766657450926</v>
      </c>
      <c r="AC26" s="98">
        <v>154.68620403649399</v>
      </c>
      <c r="AD26" s="98">
        <v>88.332872546309105</v>
      </c>
      <c r="AE26" s="98">
        <v>66.353331490185198</v>
      </c>
      <c r="AF26" s="98">
        <v>0</v>
      </c>
      <c r="AG26" s="98">
        <v>0</v>
      </c>
      <c r="AH26" s="99">
        <v>0</v>
      </c>
      <c r="AI26" s="100">
        <v>950.92618191871702</v>
      </c>
      <c r="AK26" s="13"/>
      <c r="AL26" s="14" t="s">
        <v>143</v>
      </c>
      <c r="AM26" s="114">
        <v>46.2</v>
      </c>
      <c r="AN26" s="115">
        <v>191.26334532998399</v>
      </c>
      <c r="AO26" s="115">
        <v>407.58587783961002</v>
      </c>
      <c r="AP26" s="115">
        <v>585.73384578871298</v>
      </c>
      <c r="AQ26" s="115">
        <v>639.17823617344402</v>
      </c>
      <c r="AR26" s="115">
        <v>662.08297490975701</v>
      </c>
      <c r="AS26" s="115">
        <v>672.26285879256295</v>
      </c>
      <c r="AT26" s="116">
        <v>674.80782976326498</v>
      </c>
      <c r="AU26" s="117">
        <v>3879.1149685973401</v>
      </c>
    </row>
    <row r="27" spans="2:47" ht="15">
      <c r="B27" t="s">
        <v>105</v>
      </c>
      <c r="D27" s="26">
        <f t="shared" ref="D27:K31" si="6">INDEX($D$67:$L$101,MATCH($M27,$M$67:$M$101,0),MATCH(D$1,$D$65:$L$65,0))</f>
        <v>1390.1</v>
      </c>
      <c r="E27" s="26">
        <f t="shared" si="6"/>
        <v>1525.95333242366</v>
      </c>
      <c r="F27" s="26">
        <f t="shared" si="6"/>
        <v>1745.40871556958</v>
      </c>
      <c r="G27" s="26">
        <f t="shared" si="6"/>
        <v>2173.8692255211199</v>
      </c>
      <c r="H27" s="26">
        <f t="shared" si="6"/>
        <v>3804.1092146050701</v>
      </c>
      <c r="I27" s="26">
        <f t="shared" si="6"/>
        <v>4807.3338232721098</v>
      </c>
      <c r="J27" s="26">
        <f t="shared" si="6"/>
        <v>6113.61586580732</v>
      </c>
      <c r="K27" s="26">
        <f t="shared" si="6"/>
        <v>7357.1963703008296</v>
      </c>
      <c r="L27" t="s">
        <v>142</v>
      </c>
      <c r="M27" t="str">
        <f>B27&amp;"."&amp;L27</f>
        <v>SOL_PHO.POM C</v>
      </c>
      <c r="Y27" s="13"/>
      <c r="Z27" s="14" t="s">
        <v>310</v>
      </c>
      <c r="AA27" s="15">
        <v>331.766657450926</v>
      </c>
      <c r="AB27" s="98">
        <v>243.157312690075</v>
      </c>
      <c r="AC27" s="98">
        <v>154.96267625103701</v>
      </c>
      <c r="AD27" s="98">
        <v>88.471108653580302</v>
      </c>
      <c r="AE27" s="98">
        <v>66.353331490185198</v>
      </c>
      <c r="AF27" s="98">
        <v>0</v>
      </c>
      <c r="AG27" s="98">
        <v>0</v>
      </c>
      <c r="AH27" s="99">
        <v>0</v>
      </c>
      <c r="AI27" s="100">
        <v>884.71108653580302</v>
      </c>
      <c r="AK27" s="13"/>
      <c r="AL27" s="14" t="s">
        <v>310</v>
      </c>
      <c r="AM27" s="114">
        <v>46.2</v>
      </c>
      <c r="AN27" s="115">
        <v>126.737463241436</v>
      </c>
      <c r="AO27" s="115">
        <v>225.17214053652401</v>
      </c>
      <c r="AP27" s="115">
        <v>305.70960377796001</v>
      </c>
      <c r="AQ27" s="115">
        <v>308.69247278690199</v>
      </c>
      <c r="AR27" s="115">
        <v>317.64107981372803</v>
      </c>
      <c r="AS27" s="115">
        <v>326.58968684055401</v>
      </c>
      <c r="AT27" s="116">
        <v>326.58968684055401</v>
      </c>
      <c r="AU27" s="117">
        <v>1983.33213383766</v>
      </c>
    </row>
    <row r="28" spans="2:47" ht="15">
      <c r="B28" t="s">
        <v>120</v>
      </c>
      <c r="D28" s="26">
        <f t="shared" si="6"/>
        <v>60.287999999999997</v>
      </c>
      <c r="E28" s="26">
        <f t="shared" si="6"/>
        <v>87.268448637974799</v>
      </c>
      <c r="F28" s="26">
        <f t="shared" si="6"/>
        <v>146.625435641519</v>
      </c>
      <c r="G28" s="26">
        <f t="shared" si="6"/>
        <v>319.30030692455801</v>
      </c>
      <c r="H28" s="26">
        <f t="shared" si="6"/>
        <v>427.222101476457</v>
      </c>
      <c r="I28" s="26">
        <f t="shared" si="6"/>
        <v>562.12434466633101</v>
      </c>
      <c r="J28" s="26">
        <f t="shared" si="6"/>
        <v>686.234408401015</v>
      </c>
      <c r="K28" s="26">
        <f t="shared" si="6"/>
        <v>772.57184404253496</v>
      </c>
      <c r="L28" t="s">
        <v>142</v>
      </c>
      <c r="M28" t="str">
        <f>B28&amp;"."&amp;L28</f>
        <v>WIN_ONS.POM C</v>
      </c>
      <c r="Y28" s="16"/>
      <c r="Z28" s="17" t="s">
        <v>311</v>
      </c>
      <c r="AA28" s="101">
        <v>309.51064418025999</v>
      </c>
      <c r="AB28" s="102">
        <v>309.51064418025999</v>
      </c>
      <c r="AC28" s="102">
        <v>154.68620403649399</v>
      </c>
      <c r="AD28" s="102">
        <v>66.215095382914001</v>
      </c>
      <c r="AE28" s="102">
        <v>66.353331490185198</v>
      </c>
      <c r="AF28" s="102">
        <v>0</v>
      </c>
      <c r="AG28" s="102">
        <v>0</v>
      </c>
      <c r="AH28" s="103">
        <v>0</v>
      </c>
      <c r="AI28" s="104">
        <v>906.27591927011304</v>
      </c>
      <c r="AK28" s="16"/>
      <c r="AL28" s="17" t="s">
        <v>311</v>
      </c>
      <c r="AM28" s="118">
        <v>46.2</v>
      </c>
      <c r="AN28" s="119">
        <v>191.26334532998399</v>
      </c>
      <c r="AO28" s="119">
        <v>407.58587783961002</v>
      </c>
      <c r="AP28" s="119">
        <v>585.73384578871298</v>
      </c>
      <c r="AQ28" s="119">
        <v>639.17823617344402</v>
      </c>
      <c r="AR28" s="119">
        <v>662.08297490975701</v>
      </c>
      <c r="AS28" s="119">
        <v>672.26285879256295</v>
      </c>
      <c r="AT28" s="120">
        <v>674.80782976326498</v>
      </c>
      <c r="AU28" s="121">
        <v>3879.1149685973401</v>
      </c>
    </row>
    <row r="29" spans="2:47" ht="15">
      <c r="B29" t="s">
        <v>65</v>
      </c>
      <c r="D29" s="26">
        <f t="shared" si="6"/>
        <v>0</v>
      </c>
      <c r="E29" s="26">
        <f t="shared" si="6"/>
        <v>9.5617218904890091</v>
      </c>
      <c r="F29" s="26">
        <f t="shared" si="6"/>
        <v>23.221324591187599</v>
      </c>
      <c r="G29" s="26">
        <f t="shared" si="6"/>
        <v>40.978808102095797</v>
      </c>
      <c r="H29" s="26">
        <f t="shared" si="6"/>
        <v>49.174569722514903</v>
      </c>
      <c r="I29" s="26">
        <f t="shared" si="6"/>
        <v>49.174569722514903</v>
      </c>
      <c r="J29" s="26">
        <f t="shared" si="6"/>
        <v>53.272450532724498</v>
      </c>
      <c r="K29" s="26">
        <f t="shared" si="6"/>
        <v>53.272450532724498</v>
      </c>
      <c r="L29" t="s">
        <v>142</v>
      </c>
      <c r="M29" t="str">
        <f>B29&amp;"."&amp;L29</f>
        <v>GEO_ELC.POM C</v>
      </c>
      <c r="Q29" t="s">
        <v>127</v>
      </c>
      <c r="R29" t="s">
        <v>128</v>
      </c>
      <c r="S29" t="s">
        <v>33</v>
      </c>
      <c r="T29" t="s">
        <v>32</v>
      </c>
      <c r="U29" t="s">
        <v>8</v>
      </c>
      <c r="V29" t="s">
        <v>51</v>
      </c>
      <c r="W29" t="s">
        <v>129</v>
      </c>
      <c r="Y29" s="11" t="s">
        <v>312</v>
      </c>
      <c r="Z29" s="12" t="s">
        <v>307</v>
      </c>
      <c r="AA29" s="95">
        <v>154.824440143766</v>
      </c>
      <c r="AB29" s="95">
        <v>398.11998894111099</v>
      </c>
      <c r="AC29" s="95">
        <v>464.473320431297</v>
      </c>
      <c r="AD29" s="95">
        <v>552.94442908487702</v>
      </c>
      <c r="AE29" s="95">
        <v>641.41553773845703</v>
      </c>
      <c r="AF29" s="95">
        <v>641.55377384572898</v>
      </c>
      <c r="AG29" s="95">
        <v>729.74841028476601</v>
      </c>
      <c r="AH29" s="95">
        <v>707.76886922864298</v>
      </c>
      <c r="AI29" s="97">
        <v>4290.8487696986504</v>
      </c>
      <c r="AK29" s="11" t="s">
        <v>65</v>
      </c>
      <c r="AL29" s="12" t="s">
        <v>307</v>
      </c>
      <c r="AM29" s="111">
        <v>0</v>
      </c>
      <c r="AN29" s="111">
        <v>9.5617218904890091</v>
      </c>
      <c r="AO29" s="111">
        <v>23.221324591187599</v>
      </c>
      <c r="AP29" s="111">
        <v>40.978808102095797</v>
      </c>
      <c r="AQ29" s="111">
        <v>49.174569722514903</v>
      </c>
      <c r="AR29" s="111">
        <v>49.174569722514903</v>
      </c>
      <c r="AS29" s="111">
        <v>53.272450532724498</v>
      </c>
      <c r="AT29" s="111">
        <v>53.272450532724498</v>
      </c>
      <c r="AU29" s="113">
        <v>278.65589509425098</v>
      </c>
    </row>
    <row r="30" spans="2:47" ht="15">
      <c r="B30" t="s">
        <v>441</v>
      </c>
      <c r="D30" s="26">
        <f t="shared" si="6"/>
        <v>154.919845218353</v>
      </c>
      <c r="E30" s="26">
        <f t="shared" si="6"/>
        <v>398.00995024875601</v>
      </c>
      <c r="F30" s="26">
        <f t="shared" si="6"/>
        <v>1614.2896627971231</v>
      </c>
      <c r="G30" s="26">
        <f t="shared" si="6"/>
        <v>2211.3045881702569</v>
      </c>
      <c r="H30" s="26">
        <f t="shared" si="6"/>
        <v>3980.2377003869578</v>
      </c>
      <c r="I30" s="26">
        <f t="shared" si="6"/>
        <v>4002.349364289666</v>
      </c>
      <c r="J30" s="26">
        <f t="shared" si="6"/>
        <v>4002.2111663902751</v>
      </c>
      <c r="K30" s="26">
        <f t="shared" si="6"/>
        <v>3979.9613045881661</v>
      </c>
      <c r="L30" t="s">
        <v>142</v>
      </c>
      <c r="M30" t="str">
        <f>B30&amp;"."&amp;L30</f>
        <v>GAS_NEW.POM C</v>
      </c>
      <c r="Q30" t="s">
        <v>54</v>
      </c>
      <c r="R30" t="s">
        <v>55</v>
      </c>
      <c r="S30" t="s">
        <v>11</v>
      </c>
      <c r="T30" t="s">
        <v>14</v>
      </c>
      <c r="U30">
        <v>213607.48</v>
      </c>
      <c r="V30">
        <v>46.2</v>
      </c>
      <c r="W30">
        <v>4623.5385281385297</v>
      </c>
      <c r="Y30" s="13"/>
      <c r="Z30" s="14" t="s">
        <v>308</v>
      </c>
      <c r="AA30" s="98">
        <v>154.824440143766</v>
      </c>
      <c r="AB30" s="98">
        <v>309.64888028753097</v>
      </c>
      <c r="AC30" s="98">
        <v>486.72933370196301</v>
      </c>
      <c r="AD30" s="98">
        <v>552.94442908487702</v>
      </c>
      <c r="AE30" s="98">
        <v>552.94442908487702</v>
      </c>
      <c r="AF30" s="98">
        <v>641.41553773845703</v>
      </c>
      <c r="AG30" s="98">
        <v>730.024882499309</v>
      </c>
      <c r="AH30" s="98">
        <v>729.88664639203796</v>
      </c>
      <c r="AI30" s="100">
        <v>4158.4185789328203</v>
      </c>
      <c r="AK30" s="13"/>
      <c r="AL30" s="14" t="s">
        <v>308</v>
      </c>
      <c r="AM30" s="115">
        <v>0</v>
      </c>
      <c r="AN30" s="115">
        <v>12.9795791896249</v>
      </c>
      <c r="AO30" s="115">
        <v>37.640779649912098</v>
      </c>
      <c r="AP30" s="115">
        <v>88.261138489448996</v>
      </c>
      <c r="AQ30" s="115">
        <v>172.628403222011</v>
      </c>
      <c r="AR30" s="115">
        <v>299.82827928033402</v>
      </c>
      <c r="AS30" s="115">
        <v>438.70977660931999</v>
      </c>
      <c r="AT30" s="115">
        <v>556.82394723490597</v>
      </c>
      <c r="AU30" s="117">
        <v>1606.8719036755599</v>
      </c>
    </row>
    <row r="31" spans="2:47" ht="15">
      <c r="B31" t="s">
        <v>55</v>
      </c>
      <c r="D31" s="26">
        <f t="shared" si="6"/>
        <v>46.2</v>
      </c>
      <c r="E31" s="26">
        <f t="shared" si="6"/>
        <v>126.737463241436</v>
      </c>
      <c r="F31" s="26">
        <f t="shared" si="6"/>
        <v>225.17214053652401</v>
      </c>
      <c r="G31" s="26">
        <f t="shared" si="6"/>
        <v>305.70960377796001</v>
      </c>
      <c r="H31" s="26">
        <f t="shared" si="6"/>
        <v>308.69247278690199</v>
      </c>
      <c r="I31" s="26">
        <f t="shared" si="6"/>
        <v>317.64107981372803</v>
      </c>
      <c r="J31" s="26">
        <f t="shared" si="6"/>
        <v>326.58968684055401</v>
      </c>
      <c r="K31" s="26">
        <f t="shared" si="6"/>
        <v>326.58968684055401</v>
      </c>
      <c r="L31" t="s">
        <v>142</v>
      </c>
      <c r="M31" t="str">
        <f>B31&amp;"."&amp;L31</f>
        <v>BAL_ELC.POM C</v>
      </c>
      <c r="Q31" t="s">
        <v>98</v>
      </c>
      <c r="R31" t="s">
        <v>100</v>
      </c>
      <c r="S31" t="s">
        <v>20</v>
      </c>
      <c r="T31" t="s">
        <v>14</v>
      </c>
      <c r="U31">
        <v>32397.443837237799</v>
      </c>
      <c r="V31">
        <v>75</v>
      </c>
      <c r="W31">
        <v>431.96591782983802</v>
      </c>
      <c r="Y31" s="13"/>
      <c r="Z31" s="14" t="s">
        <v>309</v>
      </c>
      <c r="AA31" s="98">
        <v>176.80398119988899</v>
      </c>
      <c r="AB31" s="98">
        <v>331.766657450926</v>
      </c>
      <c r="AC31" s="98">
        <v>232.098424108377</v>
      </c>
      <c r="AD31" s="98">
        <v>552.94442908487702</v>
      </c>
      <c r="AE31" s="98">
        <v>575.06220624827199</v>
      </c>
      <c r="AF31" s="98">
        <v>641.41553773845703</v>
      </c>
      <c r="AG31" s="98">
        <v>729.88664639203796</v>
      </c>
      <c r="AH31" s="98">
        <v>707.63063312137103</v>
      </c>
      <c r="AI31" s="100">
        <v>3947.60851534421</v>
      </c>
      <c r="AK31" s="13"/>
      <c r="AL31" s="14" t="s">
        <v>309</v>
      </c>
      <c r="AM31" s="115">
        <v>0</v>
      </c>
      <c r="AN31" s="115">
        <v>12.9795791896249</v>
      </c>
      <c r="AO31" s="115">
        <v>37.640779649912098</v>
      </c>
      <c r="AP31" s="115">
        <v>88.261138489448996</v>
      </c>
      <c r="AQ31" s="115">
        <v>172.628403222011</v>
      </c>
      <c r="AR31" s="115">
        <v>299.82827928033402</v>
      </c>
      <c r="AS31" s="115">
        <v>438.70977660931999</v>
      </c>
      <c r="AT31" s="115">
        <v>556.82394723490597</v>
      </c>
      <c r="AU31" s="117">
        <v>1606.8719036755599</v>
      </c>
    </row>
    <row r="32" spans="2:47" ht="15">
      <c r="Q32" t="s">
        <v>61</v>
      </c>
      <c r="R32" t="s">
        <v>60</v>
      </c>
      <c r="S32" t="s">
        <v>21</v>
      </c>
      <c r="T32" t="s">
        <v>14</v>
      </c>
      <c r="U32">
        <v>597103.01553705905</v>
      </c>
      <c r="V32">
        <v>310.85000000000002</v>
      </c>
      <c r="W32">
        <v>1920.8718531029699</v>
      </c>
      <c r="Y32" s="13"/>
      <c r="Z32" s="14" t="s">
        <v>142</v>
      </c>
      <c r="AA32" s="98">
        <v>154.919845218353</v>
      </c>
      <c r="AB32" s="98">
        <v>398.00995024875601</v>
      </c>
      <c r="AC32" s="98">
        <v>486.59480375898301</v>
      </c>
      <c r="AD32" s="98">
        <v>552.79159756771696</v>
      </c>
      <c r="AE32" s="98">
        <v>707.57324488667803</v>
      </c>
      <c r="AF32" s="98">
        <v>729.68490878938599</v>
      </c>
      <c r="AG32" s="98">
        <v>729.54671088999498</v>
      </c>
      <c r="AH32" s="98">
        <v>707.435046987286</v>
      </c>
      <c r="AI32" s="100">
        <v>4466.5561083471503</v>
      </c>
      <c r="AK32" s="13"/>
      <c r="AL32" s="14" t="s">
        <v>142</v>
      </c>
      <c r="AM32" s="115">
        <v>0</v>
      </c>
      <c r="AN32" s="115">
        <v>9.5617218904890091</v>
      </c>
      <c r="AO32" s="115">
        <v>23.221324591187599</v>
      </c>
      <c r="AP32" s="115">
        <v>40.978808102095797</v>
      </c>
      <c r="AQ32" s="115">
        <v>49.174569722514903</v>
      </c>
      <c r="AR32" s="115">
        <v>49.174569722514903</v>
      </c>
      <c r="AS32" s="115">
        <v>53.272450532724498</v>
      </c>
      <c r="AT32" s="115">
        <v>53.272450532724498</v>
      </c>
      <c r="AU32" s="117">
        <v>278.65589509425098</v>
      </c>
    </row>
    <row r="33" spans="2:47" ht="15">
      <c r="B33" t="s">
        <v>105</v>
      </c>
      <c r="D33" s="26">
        <f t="shared" ref="D33:K37" si="7">INDEX($D$67:$L$101,MATCH($M33,$M$67:$M$101,0),MATCH(D$1,$D$65:$L$65,0))</f>
        <v>1390.1</v>
      </c>
      <c r="E33" s="26">
        <f t="shared" si="7"/>
        <v>1665.2918506448</v>
      </c>
      <c r="F33" s="26">
        <f t="shared" si="7"/>
        <v>2192.7428977140098</v>
      </c>
      <c r="G33" s="26">
        <f t="shared" si="7"/>
        <v>3259.1113189626299</v>
      </c>
      <c r="H33" s="26">
        <f t="shared" si="7"/>
        <v>6160.0920778432701</v>
      </c>
      <c r="I33" s="26">
        <f t="shared" si="7"/>
        <v>8797.3473131893006</v>
      </c>
      <c r="J33" s="26">
        <f t="shared" si="7"/>
        <v>11652.462763629101</v>
      </c>
      <c r="K33" s="26">
        <f t="shared" si="7"/>
        <v>13819.598587457</v>
      </c>
      <c r="L33" t="s">
        <v>143</v>
      </c>
      <c r="M33" t="str">
        <f>B33&amp;"."&amp;L33</f>
        <v>SOL_PHO.POM E</v>
      </c>
      <c r="Q33" t="s">
        <v>93</v>
      </c>
      <c r="R33" t="s">
        <v>95</v>
      </c>
      <c r="S33" t="s">
        <v>22</v>
      </c>
      <c r="T33" t="s">
        <v>14</v>
      </c>
      <c r="U33">
        <v>22095000</v>
      </c>
      <c r="V33">
        <v>3333</v>
      </c>
      <c r="W33">
        <v>6629.1629162916297</v>
      </c>
      <c r="Y33" s="13"/>
      <c r="Z33" s="14" t="s">
        <v>296</v>
      </c>
      <c r="AA33" s="98">
        <v>154.51532725766401</v>
      </c>
      <c r="AB33" s="98">
        <v>331.67495854062997</v>
      </c>
      <c r="AC33" s="98">
        <v>486.45660585959098</v>
      </c>
      <c r="AD33" s="98">
        <v>552.79159756771696</v>
      </c>
      <c r="AE33" s="98">
        <v>641.10005527915996</v>
      </c>
      <c r="AF33" s="98">
        <v>707.29684908789397</v>
      </c>
      <c r="AG33" s="98">
        <v>729.68490878938599</v>
      </c>
      <c r="AH33" s="98">
        <v>729.54671088999498</v>
      </c>
      <c r="AI33" s="100">
        <v>4333.0670132720397</v>
      </c>
      <c r="AK33" s="13"/>
      <c r="AL33" s="14" t="s">
        <v>296</v>
      </c>
      <c r="AM33" s="115">
        <v>0</v>
      </c>
      <c r="AN33" s="115">
        <v>12.9795791896249</v>
      </c>
      <c r="AO33" s="115">
        <v>37.640779649912098</v>
      </c>
      <c r="AP33" s="115">
        <v>88.261138489448996</v>
      </c>
      <c r="AQ33" s="115">
        <v>172.628403222011</v>
      </c>
      <c r="AR33" s="115">
        <v>299.82827928033402</v>
      </c>
      <c r="AS33" s="115">
        <v>438.70977660931999</v>
      </c>
      <c r="AT33" s="115">
        <v>556.82394723490597</v>
      </c>
      <c r="AU33" s="117">
        <v>1606.8719036755599</v>
      </c>
    </row>
    <row r="34" spans="2:47" ht="15">
      <c r="B34" t="s">
        <v>120</v>
      </c>
      <c r="D34" s="26">
        <f t="shared" si="7"/>
        <v>60.287999999999997</v>
      </c>
      <c r="E34" s="26">
        <f t="shared" si="7"/>
        <v>240.568875087078</v>
      </c>
      <c r="F34" s="26">
        <f t="shared" si="7"/>
        <v>432.48077437332302</v>
      </c>
      <c r="G34" s="26">
        <f t="shared" si="7"/>
        <v>705.80984305373204</v>
      </c>
      <c r="H34" s="26">
        <f t="shared" si="7"/>
        <v>880.27520604122697</v>
      </c>
      <c r="I34" s="26">
        <f t="shared" si="7"/>
        <v>1362.96271030663</v>
      </c>
      <c r="J34" s="26">
        <f t="shared" si="7"/>
        <v>1851.4657266716199</v>
      </c>
      <c r="K34" s="26">
        <f t="shared" si="7"/>
        <v>2334.15323093702</v>
      </c>
      <c r="L34" t="s">
        <v>143</v>
      </c>
      <c r="M34" t="str">
        <f>B34&amp;"."&amp;L34</f>
        <v>WIN_ONS.POM E</v>
      </c>
      <c r="Q34" t="s">
        <v>104</v>
      </c>
      <c r="R34" t="s">
        <v>105</v>
      </c>
      <c r="S34" t="s">
        <v>131</v>
      </c>
      <c r="T34" t="s">
        <v>14</v>
      </c>
      <c r="U34">
        <v>1118550</v>
      </c>
      <c r="V34">
        <v>1390.1</v>
      </c>
      <c r="W34">
        <v>804.65434141428705</v>
      </c>
      <c r="Y34" s="13"/>
      <c r="Z34" s="14" t="s">
        <v>143</v>
      </c>
      <c r="AA34" s="98">
        <v>154.96267625103701</v>
      </c>
      <c r="AB34" s="98">
        <v>309.78711639480201</v>
      </c>
      <c r="AC34" s="98">
        <v>486.59109759469197</v>
      </c>
      <c r="AD34" s="98">
        <v>552.94442908487702</v>
      </c>
      <c r="AE34" s="98">
        <v>552.94442908487702</v>
      </c>
      <c r="AF34" s="98">
        <v>619.43599668233401</v>
      </c>
      <c r="AG34" s="98">
        <v>707.76886922864298</v>
      </c>
      <c r="AH34" s="98">
        <v>730.024882499309</v>
      </c>
      <c r="AI34" s="100">
        <v>4114.4594968205702</v>
      </c>
      <c r="AK34" s="13"/>
      <c r="AL34" s="14" t="s">
        <v>143</v>
      </c>
      <c r="AM34" s="115">
        <v>0</v>
      </c>
      <c r="AN34" s="115">
        <v>12.9795791896249</v>
      </c>
      <c r="AO34" s="115">
        <v>37.640779649912098</v>
      </c>
      <c r="AP34" s="115">
        <v>88.261138489448996</v>
      </c>
      <c r="AQ34" s="115">
        <v>172.628403222011</v>
      </c>
      <c r="AR34" s="115">
        <v>299.82827928033402</v>
      </c>
      <c r="AS34" s="115">
        <v>438.70977660931999</v>
      </c>
      <c r="AT34" s="115">
        <v>556.82394723490597</v>
      </c>
      <c r="AU34" s="117">
        <v>1606.8719036755599</v>
      </c>
    </row>
    <row r="35" spans="2:47" ht="15">
      <c r="B35" t="s">
        <v>65</v>
      </c>
      <c r="D35" s="26">
        <f t="shared" si="7"/>
        <v>0</v>
      </c>
      <c r="E35" s="26">
        <f t="shared" si="7"/>
        <v>12.9795791896249</v>
      </c>
      <c r="F35" s="26">
        <f t="shared" si="7"/>
        <v>37.640779649912098</v>
      </c>
      <c r="G35" s="26">
        <f t="shared" si="7"/>
        <v>88.261138489448996</v>
      </c>
      <c r="H35" s="26">
        <f t="shared" si="7"/>
        <v>172.628403222011</v>
      </c>
      <c r="I35" s="26">
        <f t="shared" si="7"/>
        <v>299.82827928033402</v>
      </c>
      <c r="J35" s="26">
        <f t="shared" si="7"/>
        <v>438.70977660931999</v>
      </c>
      <c r="K35" s="26">
        <f t="shared" si="7"/>
        <v>556.82394723490597</v>
      </c>
      <c r="L35" t="s">
        <v>143</v>
      </c>
      <c r="M35" t="str">
        <f>B35&amp;"."&amp;L35</f>
        <v>GEO_ELC.POM E</v>
      </c>
      <c r="Q35" t="s">
        <v>87</v>
      </c>
      <c r="R35" t="s">
        <v>85</v>
      </c>
      <c r="S35" t="s">
        <v>132</v>
      </c>
      <c r="T35" t="s">
        <v>14</v>
      </c>
      <c r="U35">
        <v>1722000</v>
      </c>
      <c r="V35">
        <v>1898.3</v>
      </c>
      <c r="W35">
        <v>907.12742980561598</v>
      </c>
      <c r="Y35" s="13"/>
      <c r="Z35" s="14" t="s">
        <v>310</v>
      </c>
      <c r="AA35" s="98">
        <v>154.96267625103701</v>
      </c>
      <c r="AB35" s="98">
        <v>398.258225048383</v>
      </c>
      <c r="AC35" s="98">
        <v>464.61155653856798</v>
      </c>
      <c r="AD35" s="98">
        <v>552.94442908487702</v>
      </c>
      <c r="AE35" s="98">
        <v>641.41553773845703</v>
      </c>
      <c r="AF35" s="98">
        <v>641.41553773845703</v>
      </c>
      <c r="AG35" s="98">
        <v>707.76886922864298</v>
      </c>
      <c r="AH35" s="98">
        <v>729.88664639203796</v>
      </c>
      <c r="AI35" s="100">
        <v>4291.2634780204598</v>
      </c>
      <c r="AK35" s="13"/>
      <c r="AL35" s="14" t="s">
        <v>310</v>
      </c>
      <c r="AM35" s="115">
        <v>0</v>
      </c>
      <c r="AN35" s="115">
        <v>9.5617218904890091</v>
      </c>
      <c r="AO35" s="115">
        <v>23.221324591187599</v>
      </c>
      <c r="AP35" s="115">
        <v>40.978808102095797</v>
      </c>
      <c r="AQ35" s="115">
        <v>49.174569722514903</v>
      </c>
      <c r="AR35" s="115">
        <v>49.174569722514903</v>
      </c>
      <c r="AS35" s="115">
        <v>53.272450532724498</v>
      </c>
      <c r="AT35" s="115">
        <v>53.272450532724498</v>
      </c>
      <c r="AU35" s="117">
        <v>278.65589509425098</v>
      </c>
    </row>
    <row r="36" spans="2:47" ht="15">
      <c r="B36" t="s">
        <v>441</v>
      </c>
      <c r="D36" s="26">
        <f t="shared" si="7"/>
        <v>154.96267625103701</v>
      </c>
      <c r="E36" s="26">
        <f t="shared" si="7"/>
        <v>309.78711639480201</v>
      </c>
      <c r="F36" s="26">
        <f t="shared" si="7"/>
        <v>486.59109759469197</v>
      </c>
      <c r="G36" s="26">
        <f t="shared" si="7"/>
        <v>552.94442908487702</v>
      </c>
      <c r="H36" s="26">
        <f t="shared" si="7"/>
        <v>552.94442908487702</v>
      </c>
      <c r="I36" s="26">
        <f t="shared" si="7"/>
        <v>619.43599668233401</v>
      </c>
      <c r="J36" s="26">
        <f t="shared" si="7"/>
        <v>707.76886922864298</v>
      </c>
      <c r="K36" s="26">
        <f t="shared" si="7"/>
        <v>730.024882499309</v>
      </c>
      <c r="L36" t="s">
        <v>143</v>
      </c>
      <c r="M36" t="str">
        <f>B36&amp;"."&amp;L36</f>
        <v>GAS_NEW.POM E</v>
      </c>
      <c r="Q36" t="s">
        <v>74</v>
      </c>
      <c r="R36" t="s">
        <v>75</v>
      </c>
      <c r="S36" t="s">
        <v>25</v>
      </c>
      <c r="T36" t="s">
        <v>14</v>
      </c>
      <c r="U36">
        <v>21169000</v>
      </c>
      <c r="V36">
        <v>7559.2</v>
      </c>
      <c r="W36">
        <v>2800.42861678485</v>
      </c>
      <c r="Y36" s="16"/>
      <c r="Z36" s="17" t="s">
        <v>311</v>
      </c>
      <c r="AA36" s="102">
        <v>177.08045341443199</v>
      </c>
      <c r="AB36" s="102">
        <v>331.766657450926</v>
      </c>
      <c r="AC36" s="102">
        <v>486.59109759469197</v>
      </c>
      <c r="AD36" s="102">
        <v>575.06220624827199</v>
      </c>
      <c r="AE36" s="102">
        <v>552.94442908487702</v>
      </c>
      <c r="AF36" s="102">
        <v>641.55377384572898</v>
      </c>
      <c r="AG36" s="102">
        <v>707.76886922864298</v>
      </c>
      <c r="AH36" s="102">
        <v>707.76886922864298</v>
      </c>
      <c r="AI36" s="104">
        <v>4180.5363560962096</v>
      </c>
      <c r="AK36" s="16"/>
      <c r="AL36" s="17" t="s">
        <v>311</v>
      </c>
      <c r="AM36" s="119">
        <v>0</v>
      </c>
      <c r="AN36" s="119">
        <v>12.9795791896249</v>
      </c>
      <c r="AO36" s="119">
        <v>37.640779649912098</v>
      </c>
      <c r="AP36" s="119">
        <v>88.261138489448996</v>
      </c>
      <c r="AQ36" s="119">
        <v>172.628403222011</v>
      </c>
      <c r="AR36" s="119">
        <v>299.82827928033402</v>
      </c>
      <c r="AS36" s="119">
        <v>438.70977660931999</v>
      </c>
      <c r="AT36" s="119">
        <v>556.82394723490597</v>
      </c>
      <c r="AU36" s="121">
        <v>1606.8719036755599</v>
      </c>
    </row>
    <row r="37" spans="2:47" ht="15">
      <c r="B37" t="s">
        <v>55</v>
      </c>
      <c r="D37" s="26">
        <f t="shared" si="7"/>
        <v>46.2</v>
      </c>
      <c r="E37" s="26">
        <f t="shared" si="7"/>
        <v>191.26334532998399</v>
      </c>
      <c r="F37" s="26">
        <f t="shared" si="7"/>
        <v>407.58587783961002</v>
      </c>
      <c r="G37" s="26">
        <f t="shared" si="7"/>
        <v>585.73384578871298</v>
      </c>
      <c r="H37" s="26">
        <f t="shared" si="7"/>
        <v>639.17823617344402</v>
      </c>
      <c r="I37" s="26">
        <f t="shared" si="7"/>
        <v>662.08297490975701</v>
      </c>
      <c r="J37" s="26">
        <f t="shared" si="7"/>
        <v>672.26285879256295</v>
      </c>
      <c r="K37" s="26">
        <f t="shared" si="7"/>
        <v>674.80782976326498</v>
      </c>
      <c r="L37" t="s">
        <v>143</v>
      </c>
      <c r="M37" t="str">
        <f>B37&amp;"."&amp;L37</f>
        <v>BAL_ELC.POM E</v>
      </c>
      <c r="Q37" t="s">
        <v>81</v>
      </c>
      <c r="R37" t="s">
        <v>80</v>
      </c>
      <c r="S37" t="s">
        <v>26</v>
      </c>
      <c r="T37" t="s">
        <v>14</v>
      </c>
      <c r="U37">
        <v>16595000</v>
      </c>
      <c r="V37">
        <v>4157.78</v>
      </c>
      <c r="W37">
        <v>3991.31267166613</v>
      </c>
      <c r="Y37" s="11" t="s">
        <v>300</v>
      </c>
      <c r="Z37" s="12" t="s">
        <v>307</v>
      </c>
      <c r="AA37" s="94">
        <v>0</v>
      </c>
      <c r="AB37" s="95">
        <v>0</v>
      </c>
      <c r="AC37" s="95">
        <v>0</v>
      </c>
      <c r="AD37" s="95">
        <v>0</v>
      </c>
      <c r="AE37" s="95">
        <v>0</v>
      </c>
      <c r="AF37" s="95">
        <v>0</v>
      </c>
      <c r="AG37" s="95">
        <v>0</v>
      </c>
      <c r="AH37" s="96">
        <v>0</v>
      </c>
      <c r="AI37" s="97">
        <v>0</v>
      </c>
      <c r="AK37" s="11" t="s">
        <v>105</v>
      </c>
      <c r="AL37" s="12" t="s">
        <v>307</v>
      </c>
      <c r="AM37" s="110">
        <v>1390.1</v>
      </c>
      <c r="AN37" s="111">
        <v>1525.95333242366</v>
      </c>
      <c r="AO37" s="111">
        <v>1745.40871556958</v>
      </c>
      <c r="AP37" s="111">
        <v>2173.8692255211199</v>
      </c>
      <c r="AQ37" s="111">
        <v>3804.1092146050701</v>
      </c>
      <c r="AR37" s="111">
        <v>4807.3338232721098</v>
      </c>
      <c r="AS37" s="111">
        <v>6113.61586580732</v>
      </c>
      <c r="AT37" s="112">
        <v>7357.1963703008296</v>
      </c>
      <c r="AU37" s="113">
        <v>28917.586547499701</v>
      </c>
    </row>
    <row r="38" spans="2:47" ht="15">
      <c r="Q38" t="s">
        <v>136</v>
      </c>
      <c r="R38" t="s">
        <v>134</v>
      </c>
      <c r="S38" t="s">
        <v>135</v>
      </c>
      <c r="T38" t="s">
        <v>14</v>
      </c>
      <c r="U38">
        <v>0</v>
      </c>
      <c r="V38">
        <v>1</v>
      </c>
      <c r="W38">
        <v>0</v>
      </c>
      <c r="Y38" s="13"/>
      <c r="Z38" s="14" t="s">
        <v>308</v>
      </c>
      <c r="AA38" s="15">
        <v>0</v>
      </c>
      <c r="AB38" s="98">
        <v>0</v>
      </c>
      <c r="AC38" s="98">
        <v>0</v>
      </c>
      <c r="AD38" s="98">
        <v>0</v>
      </c>
      <c r="AE38" s="98">
        <v>0</v>
      </c>
      <c r="AF38" s="98">
        <v>0</v>
      </c>
      <c r="AG38" s="98">
        <v>0</v>
      </c>
      <c r="AH38" s="99">
        <v>0</v>
      </c>
      <c r="AI38" s="100">
        <v>0</v>
      </c>
      <c r="AK38" s="13"/>
      <c r="AL38" s="14" t="s">
        <v>308</v>
      </c>
      <c r="AM38" s="114">
        <v>1390.1</v>
      </c>
      <c r="AN38" s="115">
        <v>1665.2918506448</v>
      </c>
      <c r="AO38" s="115">
        <v>2192.7428977140098</v>
      </c>
      <c r="AP38" s="115">
        <v>3259.1113189626299</v>
      </c>
      <c r="AQ38" s="115">
        <v>6160.0920778432701</v>
      </c>
      <c r="AR38" s="115">
        <v>8797.3473131893006</v>
      </c>
      <c r="AS38" s="115">
        <v>11652.462763629101</v>
      </c>
      <c r="AT38" s="116">
        <v>13819.598587457</v>
      </c>
      <c r="AU38" s="117">
        <v>48936.746809440097</v>
      </c>
    </row>
    <row r="39" spans="2:47" ht="15">
      <c r="Q39" t="s">
        <v>111</v>
      </c>
      <c r="R39" t="s">
        <v>110</v>
      </c>
      <c r="S39" t="s">
        <v>24</v>
      </c>
      <c r="T39" t="s">
        <v>14</v>
      </c>
      <c r="U39">
        <v>2184173.5</v>
      </c>
      <c r="V39">
        <v>439.268492108766</v>
      </c>
      <c r="W39">
        <v>4972.2972151145796</v>
      </c>
      <c r="Y39" s="13"/>
      <c r="Z39" s="14" t="s">
        <v>309</v>
      </c>
      <c r="AA39" s="15">
        <v>0</v>
      </c>
      <c r="AB39" s="98">
        <v>0</v>
      </c>
      <c r="AC39" s="98">
        <v>0</v>
      </c>
      <c r="AD39" s="98">
        <v>0</v>
      </c>
      <c r="AE39" s="98">
        <v>0</v>
      </c>
      <c r="AF39" s="98">
        <v>0</v>
      </c>
      <c r="AG39" s="98">
        <v>0</v>
      </c>
      <c r="AH39" s="99">
        <v>0</v>
      </c>
      <c r="AI39" s="100">
        <v>0</v>
      </c>
      <c r="AK39" s="13"/>
      <c r="AL39" s="14" t="s">
        <v>309</v>
      </c>
      <c r="AM39" s="114">
        <v>1390.1</v>
      </c>
      <c r="AN39" s="115">
        <v>1665.2918506448</v>
      </c>
      <c r="AO39" s="115">
        <v>2192.7428977140098</v>
      </c>
      <c r="AP39" s="115">
        <v>3259.1113189626299</v>
      </c>
      <c r="AQ39" s="115">
        <v>6160.0920778432701</v>
      </c>
      <c r="AR39" s="115">
        <v>8797.3473131893006</v>
      </c>
      <c r="AS39" s="115">
        <v>11652.462763629101</v>
      </c>
      <c r="AT39" s="116">
        <v>13819.598587457</v>
      </c>
      <c r="AU39" s="117">
        <v>48936.746809440097</v>
      </c>
    </row>
    <row r="40" spans="2:47" ht="15">
      <c r="Q40" t="s">
        <v>119</v>
      </c>
      <c r="R40" t="s">
        <v>120</v>
      </c>
      <c r="S40" t="s">
        <v>141</v>
      </c>
      <c r="T40" t="s">
        <v>14</v>
      </c>
      <c r="U40">
        <v>110030</v>
      </c>
      <c r="V40">
        <v>60.287999999999997</v>
      </c>
      <c r="W40">
        <v>1825.07298301486</v>
      </c>
      <c r="Y40" s="13"/>
      <c r="Z40" s="14" t="s">
        <v>142</v>
      </c>
      <c r="AA40" s="15">
        <v>0</v>
      </c>
      <c r="AB40" s="98">
        <v>0</v>
      </c>
      <c r="AC40" s="98">
        <v>0</v>
      </c>
      <c r="AD40" s="98">
        <v>0</v>
      </c>
      <c r="AE40" s="98">
        <v>0</v>
      </c>
      <c r="AF40" s="98">
        <v>0</v>
      </c>
      <c r="AG40" s="98">
        <v>0</v>
      </c>
      <c r="AH40" s="99">
        <v>0</v>
      </c>
      <c r="AI40" s="100">
        <v>0</v>
      </c>
      <c r="AK40" s="13"/>
      <c r="AL40" s="14" t="s">
        <v>142</v>
      </c>
      <c r="AM40" s="114">
        <v>1390.1</v>
      </c>
      <c r="AN40" s="115">
        <v>1525.95333242366</v>
      </c>
      <c r="AO40" s="115">
        <v>1745.40871556958</v>
      </c>
      <c r="AP40" s="115">
        <v>2173.8692255211199</v>
      </c>
      <c r="AQ40" s="115">
        <v>3804.1092146050701</v>
      </c>
      <c r="AR40" s="115">
        <v>4807.3338232721098</v>
      </c>
      <c r="AS40" s="115">
        <v>6113.61586580732</v>
      </c>
      <c r="AT40" s="116">
        <v>7357.1963703008296</v>
      </c>
      <c r="AU40" s="117">
        <v>28917.586547499701</v>
      </c>
    </row>
    <row r="41" spans="2:47" ht="15">
      <c r="Y41" s="13"/>
      <c r="Z41" s="14" t="s">
        <v>296</v>
      </c>
      <c r="AA41" s="15">
        <v>0</v>
      </c>
      <c r="AB41" s="98">
        <v>0</v>
      </c>
      <c r="AC41" s="98">
        <v>0</v>
      </c>
      <c r="AD41" s="98">
        <v>0</v>
      </c>
      <c r="AE41" s="98">
        <v>0</v>
      </c>
      <c r="AF41" s="98">
        <v>0</v>
      </c>
      <c r="AG41" s="98">
        <v>0</v>
      </c>
      <c r="AH41" s="99">
        <v>0</v>
      </c>
      <c r="AI41" s="100">
        <v>0</v>
      </c>
      <c r="AK41" s="13"/>
      <c r="AL41" s="14" t="s">
        <v>296</v>
      </c>
      <c r="AM41" s="114">
        <v>1390.1</v>
      </c>
      <c r="AN41" s="115">
        <v>1665.2918506448</v>
      </c>
      <c r="AO41" s="115">
        <v>2192.7428977140098</v>
      </c>
      <c r="AP41" s="115">
        <v>3259.1113189626299</v>
      </c>
      <c r="AQ41" s="115">
        <v>6160.0920778432701</v>
      </c>
      <c r="AR41" s="115">
        <v>8797.3473131893006</v>
      </c>
      <c r="AS41" s="115">
        <v>11652.462763629101</v>
      </c>
      <c r="AT41" s="116">
        <v>13819.598587457</v>
      </c>
      <c r="AU41" s="117">
        <v>48936.746809440097</v>
      </c>
    </row>
    <row r="42" spans="2:47" ht="15">
      <c r="R42" t="s">
        <v>145</v>
      </c>
      <c r="V42">
        <f>SUM(V35:V37)</f>
        <v>13615.279999999999</v>
      </c>
      <c r="Y42" s="13"/>
      <c r="Z42" s="14" t="s">
        <v>143</v>
      </c>
      <c r="AA42" s="15">
        <v>0</v>
      </c>
      <c r="AB42" s="98">
        <v>0</v>
      </c>
      <c r="AC42" s="98">
        <v>0</v>
      </c>
      <c r="AD42" s="98">
        <v>0</v>
      </c>
      <c r="AE42" s="98">
        <v>0</v>
      </c>
      <c r="AF42" s="98">
        <v>0</v>
      </c>
      <c r="AG42" s="98">
        <v>0</v>
      </c>
      <c r="AH42" s="99">
        <v>0</v>
      </c>
      <c r="AI42" s="100">
        <v>0</v>
      </c>
      <c r="AK42" s="13"/>
      <c r="AL42" s="14" t="s">
        <v>143</v>
      </c>
      <c r="AM42" s="114">
        <v>1390.1</v>
      </c>
      <c r="AN42" s="115">
        <v>1665.2918506448</v>
      </c>
      <c r="AO42" s="115">
        <v>2192.7428977140098</v>
      </c>
      <c r="AP42" s="115">
        <v>3259.1113189626299</v>
      </c>
      <c r="AQ42" s="115">
        <v>6160.0920778432701</v>
      </c>
      <c r="AR42" s="115">
        <v>8797.3473131893006</v>
      </c>
      <c r="AS42" s="115">
        <v>11652.462763629101</v>
      </c>
      <c r="AT42" s="116">
        <v>13819.598587457</v>
      </c>
      <c r="AU42" s="117">
        <v>48936.746809440097</v>
      </c>
    </row>
    <row r="43" spans="2:47" ht="15">
      <c r="Y43" s="13"/>
      <c r="Z43" s="14" t="s">
        <v>310</v>
      </c>
      <c r="AA43" s="15">
        <v>0</v>
      </c>
      <c r="AB43" s="98">
        <v>0</v>
      </c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9">
        <v>0</v>
      </c>
      <c r="AI43" s="100">
        <v>0</v>
      </c>
      <c r="AK43" s="13"/>
      <c r="AL43" s="14" t="s">
        <v>310</v>
      </c>
      <c r="AM43" s="114">
        <v>1390.1</v>
      </c>
      <c r="AN43" s="115">
        <v>1525.95333242366</v>
      </c>
      <c r="AO43" s="115">
        <v>1745.40871556958</v>
      </c>
      <c r="AP43" s="115">
        <v>2173.8692255211199</v>
      </c>
      <c r="AQ43" s="115">
        <v>3804.1092146050701</v>
      </c>
      <c r="AR43" s="115">
        <v>4807.3338232721098</v>
      </c>
      <c r="AS43" s="115">
        <v>6113.61586580732</v>
      </c>
      <c r="AT43" s="116">
        <v>7357.1963703008296</v>
      </c>
      <c r="AU43" s="117">
        <v>28917.586547499701</v>
      </c>
    </row>
    <row r="44" spans="2:47" ht="15">
      <c r="Y44" s="16"/>
      <c r="Z44" s="17" t="s">
        <v>311</v>
      </c>
      <c r="AA44" s="101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3">
        <v>0</v>
      </c>
      <c r="AI44" s="104">
        <v>0</v>
      </c>
      <c r="AK44" s="16"/>
      <c r="AL44" s="17" t="s">
        <v>311</v>
      </c>
      <c r="AM44" s="118">
        <v>1390.1</v>
      </c>
      <c r="AN44" s="119">
        <v>1665.2918506448</v>
      </c>
      <c r="AO44" s="119">
        <v>2192.7428977140098</v>
      </c>
      <c r="AP44" s="119">
        <v>3259.1113189626299</v>
      </c>
      <c r="AQ44" s="119">
        <v>6160.0920778432701</v>
      </c>
      <c r="AR44" s="119">
        <v>8797.3473131893006</v>
      </c>
      <c r="AS44" s="119">
        <v>11652.462763629101</v>
      </c>
      <c r="AT44" s="120">
        <v>13819.598587457</v>
      </c>
      <c r="AU44" s="121">
        <v>48936.746809440097</v>
      </c>
    </row>
    <row r="45" spans="2:47" ht="15">
      <c r="Y45" s="11" t="s">
        <v>313</v>
      </c>
      <c r="Z45" s="12" t="s">
        <v>307</v>
      </c>
      <c r="AA45" s="95">
        <v>0</v>
      </c>
      <c r="AB45" s="95">
        <v>0</v>
      </c>
      <c r="AC45" s="95">
        <v>574.92397014100095</v>
      </c>
      <c r="AD45" s="95">
        <v>1680.95106441803</v>
      </c>
      <c r="AE45" s="95">
        <v>2698.3688139341998</v>
      </c>
      <c r="AF45" s="95">
        <v>2720.48659109759</v>
      </c>
      <c r="AG45" s="95">
        <v>2720.3483549903199</v>
      </c>
      <c r="AH45" s="95">
        <v>2720.6248272048701</v>
      </c>
      <c r="AI45" s="97">
        <v>13115.703621786</v>
      </c>
      <c r="AK45" s="11" t="s">
        <v>110</v>
      </c>
      <c r="AL45" s="12" t="s">
        <v>307</v>
      </c>
      <c r="AM45" s="111">
        <v>439.268492108766</v>
      </c>
      <c r="AN45" s="111">
        <v>439.268492108766</v>
      </c>
      <c r="AO45" s="111">
        <v>414.63116760860999</v>
      </c>
      <c r="AP45" s="111">
        <v>406.41872610855802</v>
      </c>
      <c r="AQ45" s="111">
        <v>406.41872610855802</v>
      </c>
      <c r="AR45" s="111">
        <v>398.206284608506</v>
      </c>
      <c r="AS45" s="111">
        <v>398.206284608506</v>
      </c>
      <c r="AT45" s="111">
        <v>398.206284608506</v>
      </c>
      <c r="AU45" s="113">
        <v>3300.6244578687802</v>
      </c>
    </row>
    <row r="46" spans="2:47" ht="15">
      <c r="Y46" s="13"/>
      <c r="Z46" s="14" t="s">
        <v>308</v>
      </c>
      <c r="AA46" s="98">
        <v>0</v>
      </c>
      <c r="AB46" s="98">
        <v>0</v>
      </c>
      <c r="AC46" s="98">
        <v>552.94442908487702</v>
      </c>
      <c r="AD46" s="98">
        <v>552.94442908487702</v>
      </c>
      <c r="AE46" s="98">
        <v>2145.28614874205</v>
      </c>
      <c r="AF46" s="98">
        <v>2233.7572573956299</v>
      </c>
      <c r="AG46" s="98">
        <v>2234.0337296101702</v>
      </c>
      <c r="AH46" s="98">
        <v>2233.7572573956299</v>
      </c>
      <c r="AI46" s="100">
        <v>9952.7232513132403</v>
      </c>
      <c r="AK46" s="13"/>
      <c r="AL46" s="14" t="s">
        <v>308</v>
      </c>
      <c r="AM46" s="115">
        <v>439.268492108766</v>
      </c>
      <c r="AN46" s="115">
        <v>470.22880300472502</v>
      </c>
      <c r="AO46" s="115">
        <v>506.81826133631301</v>
      </c>
      <c r="AP46" s="115">
        <v>532.14942479664398</v>
      </c>
      <c r="AQ46" s="115">
        <v>532.14942479664398</v>
      </c>
      <c r="AR46" s="115">
        <v>534.96399851445801</v>
      </c>
      <c r="AS46" s="115">
        <v>534.96399851445801</v>
      </c>
      <c r="AT46" s="115">
        <v>534.96399851445801</v>
      </c>
      <c r="AU46" s="117">
        <v>4085.50640158647</v>
      </c>
    </row>
    <row r="47" spans="2:47" ht="15">
      <c r="Y47" s="13"/>
      <c r="Z47" s="14" t="s">
        <v>309</v>
      </c>
      <c r="AA47" s="98">
        <v>0</v>
      </c>
      <c r="AB47" s="98">
        <v>0</v>
      </c>
      <c r="AC47" s="98">
        <v>0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100">
        <v>0</v>
      </c>
      <c r="AK47" s="13"/>
      <c r="AL47" s="14" t="s">
        <v>309</v>
      </c>
      <c r="AM47" s="115">
        <v>439.268492108766</v>
      </c>
      <c r="AN47" s="115">
        <v>470.22880300472502</v>
      </c>
      <c r="AO47" s="115">
        <v>506.81826133631301</v>
      </c>
      <c r="AP47" s="115">
        <v>532.14942479664398</v>
      </c>
      <c r="AQ47" s="115">
        <v>532.14942479664398</v>
      </c>
      <c r="AR47" s="115">
        <v>534.96399851445801</v>
      </c>
      <c r="AS47" s="115">
        <v>534.96399851445801</v>
      </c>
      <c r="AT47" s="115">
        <v>534.96399851445801</v>
      </c>
      <c r="AU47" s="117">
        <v>4085.50640158647</v>
      </c>
    </row>
    <row r="48" spans="2:47" ht="15">
      <c r="Y48" s="13"/>
      <c r="Z48" s="14" t="s">
        <v>142</v>
      </c>
      <c r="AA48" s="98">
        <v>0</v>
      </c>
      <c r="AB48" s="98">
        <v>0</v>
      </c>
      <c r="AC48" s="98">
        <v>1127.6948590381401</v>
      </c>
      <c r="AD48" s="98">
        <v>1658.51299060254</v>
      </c>
      <c r="AE48" s="98">
        <v>3272.6644555002799</v>
      </c>
      <c r="AF48" s="98">
        <v>3272.6644555002799</v>
      </c>
      <c r="AG48" s="98">
        <v>3272.6644555002799</v>
      </c>
      <c r="AH48" s="98">
        <v>3272.5262576008799</v>
      </c>
      <c r="AI48" s="100">
        <v>15876.7274737424</v>
      </c>
      <c r="AK48" s="13"/>
      <c r="AL48" s="14" t="s">
        <v>142</v>
      </c>
      <c r="AM48" s="115">
        <v>439.268492108766</v>
      </c>
      <c r="AN48" s="115">
        <v>439.268492108766</v>
      </c>
      <c r="AO48" s="115">
        <v>414.63116760860999</v>
      </c>
      <c r="AP48" s="115">
        <v>406.41872610855802</v>
      </c>
      <c r="AQ48" s="115">
        <v>406.41872610855802</v>
      </c>
      <c r="AR48" s="115">
        <v>398.206284608506</v>
      </c>
      <c r="AS48" s="115">
        <v>398.206284608506</v>
      </c>
      <c r="AT48" s="115">
        <v>398.206284608506</v>
      </c>
      <c r="AU48" s="117">
        <v>3300.6244578687802</v>
      </c>
    </row>
    <row r="49" spans="25:47" ht="15">
      <c r="Y49" s="13"/>
      <c r="Z49" s="14" t="s">
        <v>296</v>
      </c>
      <c r="AA49" s="98">
        <v>0</v>
      </c>
      <c r="AB49" s="98">
        <v>0</v>
      </c>
      <c r="AC49" s="98">
        <v>552.92979546710899</v>
      </c>
      <c r="AD49" s="98">
        <v>1127.83305693753</v>
      </c>
      <c r="AE49" s="98">
        <v>2719.5964621337798</v>
      </c>
      <c r="AF49" s="98">
        <v>2785.9314538418998</v>
      </c>
      <c r="AG49" s="98">
        <v>2786.3460475400798</v>
      </c>
      <c r="AH49" s="98">
        <v>2719.5964621337798</v>
      </c>
      <c r="AI49" s="100">
        <v>12692.2332780542</v>
      </c>
      <c r="AK49" s="13"/>
      <c r="AL49" s="14" t="s">
        <v>296</v>
      </c>
      <c r="AM49" s="115">
        <v>439.268492108766</v>
      </c>
      <c r="AN49" s="115">
        <v>470.22880300472502</v>
      </c>
      <c r="AO49" s="115">
        <v>506.81826133631301</v>
      </c>
      <c r="AP49" s="115">
        <v>532.14942479664398</v>
      </c>
      <c r="AQ49" s="115">
        <v>532.14942479664398</v>
      </c>
      <c r="AR49" s="115">
        <v>534.96399851445801</v>
      </c>
      <c r="AS49" s="115">
        <v>534.96399851445801</v>
      </c>
      <c r="AT49" s="115">
        <v>534.96399851445801</v>
      </c>
      <c r="AU49" s="117">
        <v>4085.50640158647</v>
      </c>
    </row>
    <row r="50" spans="25:47" ht="15">
      <c r="Y50" s="13"/>
      <c r="Z50" s="14" t="s">
        <v>143</v>
      </c>
      <c r="AA50" s="98">
        <v>0</v>
      </c>
      <c r="AB50" s="98">
        <v>0</v>
      </c>
      <c r="AC50" s="98">
        <v>0</v>
      </c>
      <c r="AD50" s="98">
        <v>0</v>
      </c>
      <c r="AE50" s="98">
        <v>0</v>
      </c>
      <c r="AF50" s="98">
        <v>0</v>
      </c>
      <c r="AG50" s="98">
        <v>0</v>
      </c>
      <c r="AH50" s="98">
        <v>0</v>
      </c>
      <c r="AI50" s="100">
        <v>0</v>
      </c>
      <c r="AK50" s="13"/>
      <c r="AL50" s="14" t="s">
        <v>143</v>
      </c>
      <c r="AM50" s="115">
        <v>439.268492108766</v>
      </c>
      <c r="AN50" s="115">
        <v>470.22880300472502</v>
      </c>
      <c r="AO50" s="115">
        <v>506.81826133631301</v>
      </c>
      <c r="AP50" s="115">
        <v>532.14942479664398</v>
      </c>
      <c r="AQ50" s="115">
        <v>532.14942479664398</v>
      </c>
      <c r="AR50" s="115">
        <v>534.96399851445801</v>
      </c>
      <c r="AS50" s="115">
        <v>534.96399851445801</v>
      </c>
      <c r="AT50" s="115">
        <v>534.96399851445801</v>
      </c>
      <c r="AU50" s="117">
        <v>4085.50640158647</v>
      </c>
    </row>
    <row r="51" spans="25:47" ht="15">
      <c r="Y51" s="13"/>
      <c r="Z51" s="14" t="s">
        <v>310</v>
      </c>
      <c r="AA51" s="98">
        <v>0</v>
      </c>
      <c r="AB51" s="98">
        <v>575.06220624827199</v>
      </c>
      <c r="AC51" s="98">
        <v>1592.4799557644501</v>
      </c>
      <c r="AD51" s="98">
        <v>2233.8954935029001</v>
      </c>
      <c r="AE51" s="98">
        <v>4401.4376555156196</v>
      </c>
      <c r="AF51" s="98">
        <v>4401.4376555156196</v>
      </c>
      <c r="AG51" s="98">
        <v>4401.5758916228897</v>
      </c>
      <c r="AH51" s="98">
        <v>4401.4376555156196</v>
      </c>
      <c r="AI51" s="100">
        <v>22007.326513685399</v>
      </c>
      <c r="AK51" s="13"/>
      <c r="AL51" s="14" t="s">
        <v>310</v>
      </c>
      <c r="AM51" s="115">
        <v>439.268492108766</v>
      </c>
      <c r="AN51" s="115">
        <v>439.268492108766</v>
      </c>
      <c r="AO51" s="115">
        <v>414.63116760860999</v>
      </c>
      <c r="AP51" s="115">
        <v>406.41872610855802</v>
      </c>
      <c r="AQ51" s="115">
        <v>406.41872610855802</v>
      </c>
      <c r="AR51" s="115">
        <v>398.206284608506</v>
      </c>
      <c r="AS51" s="115">
        <v>398.206284608506</v>
      </c>
      <c r="AT51" s="115">
        <v>398.206284608506</v>
      </c>
      <c r="AU51" s="117">
        <v>3300.6244578687802</v>
      </c>
    </row>
    <row r="52" spans="25:47" ht="15">
      <c r="Y52" s="16"/>
      <c r="Z52" s="17" t="s">
        <v>311</v>
      </c>
      <c r="AA52" s="102">
        <v>0</v>
      </c>
      <c r="AB52" s="102">
        <v>574.92397014100095</v>
      </c>
      <c r="AC52" s="102">
        <v>1105.8888581697499</v>
      </c>
      <c r="AD52" s="102">
        <v>1592.4799557644501</v>
      </c>
      <c r="AE52" s="102">
        <v>3273.4310201824701</v>
      </c>
      <c r="AF52" s="102">
        <v>3362.0403649433201</v>
      </c>
      <c r="AG52" s="102">
        <v>3362.0403649433201</v>
      </c>
      <c r="AH52" s="102">
        <v>2720.48659109759</v>
      </c>
      <c r="AI52" s="104">
        <v>15991.2911252419</v>
      </c>
      <c r="AK52" s="16"/>
      <c r="AL52" s="17" t="s">
        <v>311</v>
      </c>
      <c r="AM52" s="119">
        <v>439.268492108766</v>
      </c>
      <c r="AN52" s="119">
        <v>470.22880300472502</v>
      </c>
      <c r="AO52" s="119">
        <v>506.81826133631301</v>
      </c>
      <c r="AP52" s="119">
        <v>532.14942479664398</v>
      </c>
      <c r="AQ52" s="119">
        <v>532.14942479664398</v>
      </c>
      <c r="AR52" s="119">
        <v>534.96399851445801</v>
      </c>
      <c r="AS52" s="119">
        <v>534.96399851445801</v>
      </c>
      <c r="AT52" s="119">
        <v>534.96399851445801</v>
      </c>
      <c r="AU52" s="121">
        <v>4085.50640158647</v>
      </c>
    </row>
    <row r="53" spans="25:47" ht="15">
      <c r="Y53" s="11" t="s">
        <v>145</v>
      </c>
      <c r="Z53" s="12" t="s">
        <v>307</v>
      </c>
      <c r="AA53" s="94">
        <v>13735.1396184683</v>
      </c>
      <c r="AB53" s="95">
        <v>13735.1396184683</v>
      </c>
      <c r="AC53" s="95">
        <v>13735.1396184683</v>
      </c>
      <c r="AD53" s="95">
        <v>13735.1396184683</v>
      </c>
      <c r="AE53" s="95">
        <v>13735.1396184683</v>
      </c>
      <c r="AF53" s="95">
        <v>13735.1396184683</v>
      </c>
      <c r="AG53" s="95">
        <v>13735.1396184683</v>
      </c>
      <c r="AH53" s="96">
        <v>13735.1396184683</v>
      </c>
      <c r="AI53" s="97">
        <v>109881.116947747</v>
      </c>
      <c r="AK53" s="11" t="s">
        <v>120</v>
      </c>
      <c r="AL53" s="12" t="s">
        <v>307</v>
      </c>
      <c r="AM53" s="110">
        <v>60.287999999999997</v>
      </c>
      <c r="AN53" s="111">
        <v>87.268448637974799</v>
      </c>
      <c r="AO53" s="111">
        <v>146.625435641519</v>
      </c>
      <c r="AP53" s="111">
        <v>319.30030692455801</v>
      </c>
      <c r="AQ53" s="111">
        <v>427.222101476457</v>
      </c>
      <c r="AR53" s="111">
        <v>562.12434466633101</v>
      </c>
      <c r="AS53" s="111">
        <v>686.234408401015</v>
      </c>
      <c r="AT53" s="112">
        <v>772.57184404253496</v>
      </c>
      <c r="AU53" s="113">
        <v>3061.6348897903899</v>
      </c>
    </row>
    <row r="54" spans="25:47" ht="15">
      <c r="Y54" s="13"/>
      <c r="Z54" s="14" t="s">
        <v>308</v>
      </c>
      <c r="AA54" s="15">
        <v>13735.1396184683</v>
      </c>
      <c r="AB54" s="98">
        <v>13735.1396184683</v>
      </c>
      <c r="AC54" s="98">
        <v>13735.1396184683</v>
      </c>
      <c r="AD54" s="98">
        <v>13735.1396184683</v>
      </c>
      <c r="AE54" s="98">
        <v>13735.1396184683</v>
      </c>
      <c r="AF54" s="98">
        <v>13735.1396184683</v>
      </c>
      <c r="AG54" s="98">
        <v>13735.1396184683</v>
      </c>
      <c r="AH54" s="99">
        <v>13735.1396184683</v>
      </c>
      <c r="AI54" s="100">
        <v>109881.116947747</v>
      </c>
      <c r="AK54" s="13"/>
      <c r="AL54" s="14" t="s">
        <v>308</v>
      </c>
      <c r="AM54" s="114">
        <v>60.287999999999997</v>
      </c>
      <c r="AN54" s="115">
        <v>240.568875087078</v>
      </c>
      <c r="AO54" s="115">
        <v>432.48077437332302</v>
      </c>
      <c r="AP54" s="115">
        <v>705.80984305373204</v>
      </c>
      <c r="AQ54" s="115">
        <v>880.27520604122697</v>
      </c>
      <c r="AR54" s="115">
        <v>1362.96271030663</v>
      </c>
      <c r="AS54" s="115">
        <v>1851.4657266716199</v>
      </c>
      <c r="AT54" s="116">
        <v>2334.15323093702</v>
      </c>
      <c r="AU54" s="117">
        <v>7868.00436647063</v>
      </c>
    </row>
    <row r="55" spans="25:47" ht="15">
      <c r="Y55" s="13"/>
      <c r="Z55" s="14" t="s">
        <v>309</v>
      </c>
      <c r="AA55" s="15">
        <v>13735.1396184683</v>
      </c>
      <c r="AB55" s="98">
        <v>13735.1396184683</v>
      </c>
      <c r="AC55" s="98">
        <v>13735.1396184683</v>
      </c>
      <c r="AD55" s="98">
        <v>13735.1396184683</v>
      </c>
      <c r="AE55" s="98">
        <v>13735.1396184683</v>
      </c>
      <c r="AF55" s="98">
        <v>13735.1396184683</v>
      </c>
      <c r="AG55" s="98">
        <v>13735.1396184683</v>
      </c>
      <c r="AH55" s="99">
        <v>13735.1396184683</v>
      </c>
      <c r="AI55" s="100">
        <v>109881.116947747</v>
      </c>
      <c r="AK55" s="13"/>
      <c r="AL55" s="14" t="s">
        <v>309</v>
      </c>
      <c r="AM55" s="114">
        <v>60.287999999999997</v>
      </c>
      <c r="AN55" s="115">
        <v>240.568875087078</v>
      </c>
      <c r="AO55" s="115">
        <v>432.48077437332302</v>
      </c>
      <c r="AP55" s="115">
        <v>705.80984305373204</v>
      </c>
      <c r="AQ55" s="115">
        <v>880.27520604122697</v>
      </c>
      <c r="AR55" s="115">
        <v>1362.96271030663</v>
      </c>
      <c r="AS55" s="115">
        <v>1851.4657266716199</v>
      </c>
      <c r="AT55" s="116">
        <v>2334.15323093702</v>
      </c>
      <c r="AU55" s="117">
        <v>7868.00436647063</v>
      </c>
    </row>
    <row r="56" spans="25:47" ht="15">
      <c r="Y56" s="13"/>
      <c r="Z56" s="14" t="s">
        <v>142</v>
      </c>
      <c r="AA56" s="15">
        <v>13709.2316196794</v>
      </c>
      <c r="AB56" s="98">
        <v>13709.2316196794</v>
      </c>
      <c r="AC56" s="98">
        <v>13709.2316196794</v>
      </c>
      <c r="AD56" s="98">
        <v>13709.2316196794</v>
      </c>
      <c r="AE56" s="98">
        <v>13709.2316196794</v>
      </c>
      <c r="AF56" s="98">
        <v>13709.2316196794</v>
      </c>
      <c r="AG56" s="98">
        <v>13709.2316196794</v>
      </c>
      <c r="AH56" s="99">
        <v>13709.2316196794</v>
      </c>
      <c r="AI56" s="100">
        <v>109673.852957435</v>
      </c>
      <c r="AK56" s="13"/>
      <c r="AL56" s="14" t="s">
        <v>142</v>
      </c>
      <c r="AM56" s="114">
        <v>60.287999999999997</v>
      </c>
      <c r="AN56" s="115">
        <v>87.268448637974799</v>
      </c>
      <c r="AO56" s="115">
        <v>146.625435641519</v>
      </c>
      <c r="AP56" s="115">
        <v>319.30030692455801</v>
      </c>
      <c r="AQ56" s="115">
        <v>427.222101476457</v>
      </c>
      <c r="AR56" s="115">
        <v>562.12434466633101</v>
      </c>
      <c r="AS56" s="115">
        <v>686.234408401015</v>
      </c>
      <c r="AT56" s="116">
        <v>772.57184404253496</v>
      </c>
      <c r="AU56" s="117">
        <v>3061.6348897903899</v>
      </c>
    </row>
    <row r="57" spans="25:47" ht="15">
      <c r="Y57" s="13"/>
      <c r="Z57" s="14" t="s">
        <v>296</v>
      </c>
      <c r="AA57" s="15">
        <v>13753.1068765534</v>
      </c>
      <c r="AB57" s="98">
        <v>13731.3432835821</v>
      </c>
      <c r="AC57" s="98">
        <v>13731.3432835821</v>
      </c>
      <c r="AD57" s="98">
        <v>13731.3432835821</v>
      </c>
      <c r="AE57" s="98">
        <v>13731.3432835821</v>
      </c>
      <c r="AF57" s="98">
        <v>13731.3432835821</v>
      </c>
      <c r="AG57" s="98">
        <v>13731.3432835821</v>
      </c>
      <c r="AH57" s="99">
        <v>13731.3432835821</v>
      </c>
      <c r="AI57" s="100">
        <v>109872.509861628</v>
      </c>
      <c r="AK57" s="13"/>
      <c r="AL57" s="14" t="s">
        <v>296</v>
      </c>
      <c r="AM57" s="114">
        <v>60.287999999999997</v>
      </c>
      <c r="AN57" s="115">
        <v>240.568875087078</v>
      </c>
      <c r="AO57" s="115">
        <v>432.48077437332302</v>
      </c>
      <c r="AP57" s="115">
        <v>705.80984305373204</v>
      </c>
      <c r="AQ57" s="115">
        <v>880.27520604122697</v>
      </c>
      <c r="AR57" s="115">
        <v>1362.96271030663</v>
      </c>
      <c r="AS57" s="115">
        <v>1851.4657266716199</v>
      </c>
      <c r="AT57" s="116">
        <v>2334.15323093702</v>
      </c>
      <c r="AU57" s="117">
        <v>7868.00436647063</v>
      </c>
    </row>
    <row r="58" spans="25:47" ht="15">
      <c r="Y58" s="13"/>
      <c r="Z58" s="14" t="s">
        <v>143</v>
      </c>
      <c r="AA58" s="15">
        <v>13713.021841304901</v>
      </c>
      <c r="AB58" s="98">
        <v>13713.021841304901</v>
      </c>
      <c r="AC58" s="98">
        <v>13713.021841304901</v>
      </c>
      <c r="AD58" s="98">
        <v>13713.021841304901</v>
      </c>
      <c r="AE58" s="98">
        <v>13713.021841304901</v>
      </c>
      <c r="AF58" s="98">
        <v>13713.021841304901</v>
      </c>
      <c r="AG58" s="98">
        <v>13713.021841304901</v>
      </c>
      <c r="AH58" s="99">
        <v>13713.021841304901</v>
      </c>
      <c r="AI58" s="100">
        <v>109704.17473044001</v>
      </c>
      <c r="AK58" s="13"/>
      <c r="AL58" s="14" t="s">
        <v>143</v>
      </c>
      <c r="AM58" s="114">
        <v>60.287999999999997</v>
      </c>
      <c r="AN58" s="115">
        <v>240.568875087078</v>
      </c>
      <c r="AO58" s="115">
        <v>432.48077437332302</v>
      </c>
      <c r="AP58" s="115">
        <v>705.80984305373204</v>
      </c>
      <c r="AQ58" s="115">
        <v>880.27520604122697</v>
      </c>
      <c r="AR58" s="115">
        <v>1362.96271030663</v>
      </c>
      <c r="AS58" s="115">
        <v>1851.4657266716199</v>
      </c>
      <c r="AT58" s="116">
        <v>2334.15323093702</v>
      </c>
      <c r="AU58" s="117">
        <v>7868.00436647063</v>
      </c>
    </row>
    <row r="59" spans="25:47" ht="15">
      <c r="Y59" s="13"/>
      <c r="Z59" s="14" t="s">
        <v>310</v>
      </c>
      <c r="AA59" s="15">
        <v>13779.3751727951</v>
      </c>
      <c r="AB59" s="98">
        <v>13779.3751727951</v>
      </c>
      <c r="AC59" s="98">
        <v>13779.3751727951</v>
      </c>
      <c r="AD59" s="98">
        <v>13779.3751727951</v>
      </c>
      <c r="AE59" s="98">
        <v>13779.3751727951</v>
      </c>
      <c r="AF59" s="98">
        <v>13779.3751727951</v>
      </c>
      <c r="AG59" s="98">
        <v>13779.3751727951</v>
      </c>
      <c r="AH59" s="99">
        <v>13779.3751727951</v>
      </c>
      <c r="AI59" s="100">
        <v>110235.00138236101</v>
      </c>
      <c r="AK59" s="13"/>
      <c r="AL59" s="14" t="s">
        <v>310</v>
      </c>
      <c r="AM59" s="114">
        <v>60.287999999999997</v>
      </c>
      <c r="AN59" s="115">
        <v>87.268448637974799</v>
      </c>
      <c r="AO59" s="115">
        <v>146.625435641519</v>
      </c>
      <c r="AP59" s="115">
        <v>319.30030692455801</v>
      </c>
      <c r="AQ59" s="115">
        <v>427.222101476457</v>
      </c>
      <c r="AR59" s="115">
        <v>562.12434466633101</v>
      </c>
      <c r="AS59" s="115">
        <v>686.234408401015</v>
      </c>
      <c r="AT59" s="116">
        <v>772.57184404253496</v>
      </c>
      <c r="AU59" s="117">
        <v>3061.6348897903899</v>
      </c>
    </row>
    <row r="60" spans="25:47" ht="15">
      <c r="Y60" s="16"/>
      <c r="Z60" s="17" t="s">
        <v>311</v>
      </c>
      <c r="AA60" s="101">
        <v>13757.395631739</v>
      </c>
      <c r="AB60" s="102">
        <v>13757.395631739</v>
      </c>
      <c r="AC60" s="102">
        <v>13757.395631739</v>
      </c>
      <c r="AD60" s="102">
        <v>13757.395631739</v>
      </c>
      <c r="AE60" s="102">
        <v>13757.395631739</v>
      </c>
      <c r="AF60" s="102">
        <v>13757.395631739</v>
      </c>
      <c r="AG60" s="102">
        <v>13757.395631739</v>
      </c>
      <c r="AH60" s="103">
        <v>13757.395631739</v>
      </c>
      <c r="AI60" s="104">
        <v>110059.165053912</v>
      </c>
      <c r="AK60" s="16"/>
      <c r="AL60" s="17" t="s">
        <v>311</v>
      </c>
      <c r="AM60" s="118">
        <v>60.287999999999997</v>
      </c>
      <c r="AN60" s="119">
        <v>240.568875087078</v>
      </c>
      <c r="AO60" s="119">
        <v>432.48077437332302</v>
      </c>
      <c r="AP60" s="119">
        <v>705.80984305373204</v>
      </c>
      <c r="AQ60" s="119">
        <v>880.27520604122697</v>
      </c>
      <c r="AR60" s="119">
        <v>1362.96271030663</v>
      </c>
      <c r="AS60" s="119">
        <v>1851.4657266716199</v>
      </c>
      <c r="AT60" s="120">
        <v>2334.15323093702</v>
      </c>
      <c r="AU60" s="121">
        <v>7868.00436647063</v>
      </c>
    </row>
    <row r="61" spans="25:47" ht="15.75" thickBot="1">
      <c r="Y61" s="11" t="s">
        <v>314</v>
      </c>
      <c r="Z61" s="12" t="s">
        <v>307</v>
      </c>
      <c r="AA61" s="95">
        <v>973.18219518938395</v>
      </c>
      <c r="AB61" s="95">
        <v>3671.5510091235801</v>
      </c>
      <c r="AC61" s="95">
        <v>3671.5510091235801</v>
      </c>
      <c r="AD61" s="95">
        <v>3760.02211777716</v>
      </c>
      <c r="AE61" s="95">
        <v>3760.02211777716</v>
      </c>
      <c r="AF61" s="95">
        <v>3848.4932264307399</v>
      </c>
      <c r="AG61" s="95">
        <v>3914.9847940282002</v>
      </c>
      <c r="AH61" s="95">
        <v>4003.31766657451</v>
      </c>
      <c r="AI61" s="97">
        <v>27603.1241360243</v>
      </c>
      <c r="AK61" s="19" t="s">
        <v>34</v>
      </c>
      <c r="AL61" s="20"/>
      <c r="AM61" s="122">
        <v>15486.8519368701</v>
      </c>
      <c r="AN61" s="123">
        <v>19468.030641188099</v>
      </c>
      <c r="AO61" s="123">
        <v>25551.5193064081</v>
      </c>
      <c r="AP61" s="123">
        <v>35594.157866758702</v>
      </c>
      <c r="AQ61" s="123">
        <v>56908.467994481398</v>
      </c>
      <c r="AR61" s="123">
        <v>76689.366687251997</v>
      </c>
      <c r="AS61" s="123">
        <v>98483.081709655802</v>
      </c>
      <c r="AT61" s="124">
        <v>116325.24787850901</v>
      </c>
      <c r="AU61" s="125">
        <v>444506.72402112302</v>
      </c>
    </row>
    <row r="62" spans="25:47" ht="15">
      <c r="Y62" s="13"/>
      <c r="Z62" s="14" t="s">
        <v>308</v>
      </c>
      <c r="AA62" s="98">
        <v>1039.53552667957</v>
      </c>
      <c r="AB62" s="98">
        <v>3737.9043406137698</v>
      </c>
      <c r="AC62" s="98">
        <v>3914.8465579209301</v>
      </c>
      <c r="AD62" s="98">
        <v>3981.1998894111098</v>
      </c>
      <c r="AE62" s="98">
        <v>4136.0243295548798</v>
      </c>
      <c r="AF62" s="98">
        <v>4312.9665468620396</v>
      </c>
      <c r="AG62" s="98">
        <v>4534.1443184959899</v>
      </c>
      <c r="AH62" s="98">
        <v>4777.4398672933403</v>
      </c>
      <c r="AI62" s="100">
        <v>30434.0613768316</v>
      </c>
    </row>
    <row r="63" spans="25:47" ht="15">
      <c r="Y63" s="13"/>
      <c r="Z63" s="14" t="s">
        <v>309</v>
      </c>
      <c r="AA63" s="98">
        <v>1039.6737627868399</v>
      </c>
      <c r="AB63" s="98">
        <v>3760.02211777716</v>
      </c>
      <c r="AC63" s="98">
        <v>3914.9847940282002</v>
      </c>
      <c r="AD63" s="98">
        <v>4003.31766657451</v>
      </c>
      <c r="AE63" s="98">
        <v>4158.14210671828</v>
      </c>
      <c r="AF63" s="98">
        <v>4312.9665468620396</v>
      </c>
      <c r="AG63" s="98">
        <v>4556.2620956593901</v>
      </c>
      <c r="AH63" s="98">
        <v>4799.6958805639997</v>
      </c>
      <c r="AI63" s="100">
        <v>30545.064970970401</v>
      </c>
    </row>
    <row r="64" spans="25:47" ht="15">
      <c r="Y64" s="13"/>
      <c r="Z64" s="14" t="s">
        <v>142</v>
      </c>
      <c r="AA64" s="98">
        <v>972.91321171918196</v>
      </c>
      <c r="AB64" s="98">
        <v>3637.3687119955798</v>
      </c>
      <c r="AC64" s="98">
        <v>3670.67440574903</v>
      </c>
      <c r="AD64" s="98">
        <v>3758.9828634604801</v>
      </c>
      <c r="AE64" s="98">
        <v>3758.9828634604801</v>
      </c>
      <c r="AF64" s="98">
        <v>3847.4295190713101</v>
      </c>
      <c r="AG64" s="98">
        <v>3913.7645107794401</v>
      </c>
      <c r="AH64" s="98">
        <v>4002.3493642896601</v>
      </c>
      <c r="AI64" s="100">
        <v>27562.465450525098</v>
      </c>
    </row>
    <row r="65" spans="1:35" ht="15">
      <c r="A65" s="212" t="s">
        <v>315</v>
      </c>
      <c r="B65" s="126" t="s">
        <v>316</v>
      </c>
      <c r="D65" t="s">
        <v>126</v>
      </c>
      <c r="E65">
        <v>2015</v>
      </c>
      <c r="F65">
        <v>2020</v>
      </c>
      <c r="G65">
        <v>2025</v>
      </c>
      <c r="H65">
        <v>2030</v>
      </c>
      <c r="I65">
        <v>2035</v>
      </c>
      <c r="J65">
        <v>2040</v>
      </c>
      <c r="K65">
        <v>2045</v>
      </c>
      <c r="L65">
        <v>2050</v>
      </c>
      <c r="Y65" s="13"/>
      <c r="Z65" s="14" t="s">
        <v>296</v>
      </c>
      <c r="AA65" s="98">
        <v>1038.52526926263</v>
      </c>
      <c r="AB65" s="98">
        <v>3736.8711995577701</v>
      </c>
      <c r="AC65" s="98">
        <v>3891.6528468767301</v>
      </c>
      <c r="AD65" s="98">
        <v>3980.0995024875601</v>
      </c>
      <c r="AE65" s="98">
        <v>4135.0193477059101</v>
      </c>
      <c r="AF65" s="98">
        <v>4289.6627971254802</v>
      </c>
      <c r="AG65" s="98">
        <v>4532.8911000552798</v>
      </c>
      <c r="AH65" s="98">
        <v>4776.1194029850803</v>
      </c>
      <c r="AI65" s="100">
        <v>30380.841466056401</v>
      </c>
    </row>
    <row r="66" spans="1:35" ht="15">
      <c r="A66" s="212"/>
      <c r="Y66" s="13"/>
      <c r="Z66" s="14" t="s">
        <v>143</v>
      </c>
      <c r="AA66" s="98">
        <v>1039.53552667957</v>
      </c>
      <c r="AB66" s="98">
        <v>3760.02211777716</v>
      </c>
      <c r="AC66" s="98">
        <v>3914.8465579209301</v>
      </c>
      <c r="AD66" s="98">
        <v>3981.1998894111098</v>
      </c>
      <c r="AE66" s="98">
        <v>4158.14210671828</v>
      </c>
      <c r="AF66" s="98">
        <v>4312.9665468620396</v>
      </c>
      <c r="AG66" s="98">
        <v>4556.2620956593901</v>
      </c>
      <c r="AH66" s="98">
        <v>4777.4398672933403</v>
      </c>
      <c r="AI66" s="100">
        <v>30500.414708321801</v>
      </c>
    </row>
    <row r="67" spans="1:35" ht="15">
      <c r="A67" s="212"/>
      <c r="B67" t="s">
        <v>317</v>
      </c>
      <c r="C67" t="s">
        <v>296</v>
      </c>
      <c r="D67" t="e">
        <f>INDEX($V$30:$V$42,MATCH(B67,$R$30:$R$42,0))</f>
        <v>#N/A</v>
      </c>
      <c r="E67" s="26">
        <f t="shared" ref="E67:L67" si="8">INDEX($C$112:$J$241,MATCH($M67,$K$112:$K$241,0),MATCH(E$65,$C$105:$J$105,0))</f>
        <v>331.40016570008299</v>
      </c>
      <c r="F67" s="26">
        <f t="shared" si="8"/>
        <v>331.67495854062997</v>
      </c>
      <c r="G67" s="26">
        <f t="shared" si="8"/>
        <v>154.64344941956901</v>
      </c>
      <c r="H67" s="26">
        <f t="shared" si="8"/>
        <v>88.308457711442799</v>
      </c>
      <c r="I67" s="26">
        <f t="shared" si="8"/>
        <v>88.170259812050901</v>
      </c>
      <c r="J67" s="26">
        <f t="shared" si="8"/>
        <v>0</v>
      </c>
      <c r="K67" s="26">
        <f t="shared" si="8"/>
        <v>0</v>
      </c>
      <c r="L67" s="26">
        <f t="shared" si="8"/>
        <v>0</v>
      </c>
      <c r="M67" t="str">
        <f>B67&amp;"."&amp;C67</f>
        <v>OIL_GAS.POM C&amp;E</v>
      </c>
      <c r="Y67" s="13"/>
      <c r="Z67" s="14" t="s">
        <v>310</v>
      </c>
      <c r="AA67" s="98">
        <v>951.06441802598795</v>
      </c>
      <c r="AB67" s="98">
        <v>3671.6892452308498</v>
      </c>
      <c r="AC67" s="98">
        <v>3671.6892452308498</v>
      </c>
      <c r="AD67" s="98">
        <v>3760.02211777716</v>
      </c>
      <c r="AE67" s="98">
        <v>3760.02211777716</v>
      </c>
      <c r="AF67" s="98">
        <v>3826.3754492673502</v>
      </c>
      <c r="AG67" s="98">
        <v>3914.8465579209301</v>
      </c>
      <c r="AH67" s="98">
        <v>3981.1998894111098</v>
      </c>
      <c r="AI67" s="100">
        <v>27536.9090406414</v>
      </c>
    </row>
    <row r="68" spans="1:35" ht="15">
      <c r="A68" s="212"/>
      <c r="B68" t="s">
        <v>60</v>
      </c>
      <c r="C68" t="s">
        <v>296</v>
      </c>
      <c r="D68">
        <f>INDEX($V$30:$V$42,MATCH(B68,$R$30:$R$42,0))</f>
        <v>310.85000000000002</v>
      </c>
      <c r="E68" s="26">
        <f t="shared" ref="E68:L69" si="9">E$67*$D68/SUM($D$68:$D$69)</f>
        <v>266.98390957074196</v>
      </c>
      <c r="F68" s="26">
        <f t="shared" si="9"/>
        <v>267.20528926358645</v>
      </c>
      <c r="G68" s="26">
        <f t="shared" si="9"/>
        <v>124.58446611914741</v>
      </c>
      <c r="H68" s="26">
        <f t="shared" si="9"/>
        <v>71.143408266429944</v>
      </c>
      <c r="I68" s="26">
        <f t="shared" si="9"/>
        <v>71.032072729236802</v>
      </c>
      <c r="J68" s="26">
        <f t="shared" si="9"/>
        <v>0</v>
      </c>
      <c r="K68" s="26">
        <f t="shared" si="9"/>
        <v>0</v>
      </c>
      <c r="L68" s="26">
        <f t="shared" si="9"/>
        <v>0</v>
      </c>
      <c r="M68" t="str">
        <f>B68&amp;"."&amp;C68</f>
        <v>GAS_LIN.POM C&amp;E</v>
      </c>
      <c r="Y68" s="16"/>
      <c r="Z68" s="17" t="s">
        <v>311</v>
      </c>
      <c r="AA68" s="102">
        <v>1039.3972905723001</v>
      </c>
      <c r="AB68" s="102">
        <v>3760.02211777716</v>
      </c>
      <c r="AC68" s="102">
        <v>3914.7083218136599</v>
      </c>
      <c r="AD68" s="102">
        <v>4003.1794304672399</v>
      </c>
      <c r="AE68" s="102">
        <v>4158.0038706109999</v>
      </c>
      <c r="AF68" s="102">
        <v>4312.9665468620396</v>
      </c>
      <c r="AG68" s="102">
        <v>4556.1238595521199</v>
      </c>
      <c r="AH68" s="102">
        <v>4799.4194083494604</v>
      </c>
      <c r="AI68" s="104">
        <v>30543.820846005001</v>
      </c>
    </row>
    <row r="69" spans="1:35" ht="15">
      <c r="A69" s="212"/>
      <c r="B69" t="s">
        <v>100</v>
      </c>
      <c r="C69" t="s">
        <v>296</v>
      </c>
      <c r="D69">
        <f>INDEX($V$30:$V$42,MATCH(B69,$R$30:$R$42,0))</f>
        <v>75</v>
      </c>
      <c r="E69" s="26">
        <f t="shared" si="9"/>
        <v>64.416256129340994</v>
      </c>
      <c r="F69" s="26">
        <f t="shared" si="9"/>
        <v>64.469669277043536</v>
      </c>
      <c r="G69" s="26">
        <f t="shared" si="9"/>
        <v>30.058983300421602</v>
      </c>
      <c r="H69" s="26">
        <f t="shared" si="9"/>
        <v>17.165049445012855</v>
      </c>
      <c r="I69" s="26">
        <f t="shared" si="9"/>
        <v>17.138187082814092</v>
      </c>
      <c r="J69" s="26">
        <f t="shared" si="9"/>
        <v>0</v>
      </c>
      <c r="K69" s="26">
        <f t="shared" si="9"/>
        <v>0</v>
      </c>
      <c r="L69" s="26">
        <f t="shared" si="9"/>
        <v>0</v>
      </c>
      <c r="M69" t="str">
        <f>B69&amp;"."&amp;C69</f>
        <v>OIL_LIN.POM C&amp;E</v>
      </c>
      <c r="Y69" s="11" t="s">
        <v>95</v>
      </c>
      <c r="Z69" s="12" t="s">
        <v>307</v>
      </c>
      <c r="AA69" s="94">
        <v>3273.5692562897402</v>
      </c>
      <c r="AB69" s="95">
        <v>2875.3110312413601</v>
      </c>
      <c r="AC69" s="95">
        <v>2167.5421620127199</v>
      </c>
      <c r="AD69" s="95">
        <v>1194.3599668233301</v>
      </c>
      <c r="AE69" s="95">
        <v>0</v>
      </c>
      <c r="AF69" s="95">
        <v>0</v>
      </c>
      <c r="AG69" s="95">
        <v>0</v>
      </c>
      <c r="AH69" s="96">
        <v>0</v>
      </c>
      <c r="AI69" s="97">
        <v>9510.7824163671594</v>
      </c>
    </row>
    <row r="70" spans="1:35" ht="15">
      <c r="A70" s="212"/>
      <c r="Y70" s="13"/>
      <c r="Z70" s="14" t="s">
        <v>308</v>
      </c>
      <c r="AA70" s="15">
        <v>3273.4310201824701</v>
      </c>
      <c r="AB70" s="98">
        <v>2875.3110312413601</v>
      </c>
      <c r="AC70" s="98">
        <v>2145.4243848493202</v>
      </c>
      <c r="AD70" s="98">
        <v>1194.3599668233301</v>
      </c>
      <c r="AE70" s="98">
        <v>0</v>
      </c>
      <c r="AF70" s="98">
        <v>0</v>
      </c>
      <c r="AG70" s="98">
        <v>0</v>
      </c>
      <c r="AH70" s="99">
        <v>0</v>
      </c>
      <c r="AI70" s="100">
        <v>9488.52640309649</v>
      </c>
    </row>
    <row r="71" spans="1:35" ht="15">
      <c r="A71" s="212"/>
      <c r="B71" t="s">
        <v>110</v>
      </c>
      <c r="C71" t="s">
        <v>296</v>
      </c>
      <c r="D71">
        <f>INDEX($V$30:$V$42,MATCH(B71,$R$30:$R$42,0))</f>
        <v>439.268492108766</v>
      </c>
      <c r="E71" s="26">
        <f t="shared" ref="E71:L71" si="10">INDEX($C$112:$J$241,MATCH($M71,$K$112:$K$241,0),MATCH(E$65,$C$105:$J$105,0))</f>
        <v>439.268492108766</v>
      </c>
      <c r="F71" s="26">
        <f t="shared" si="10"/>
        <v>470.22880300472502</v>
      </c>
      <c r="G71" s="26">
        <f t="shared" si="10"/>
        <v>506.81826133631301</v>
      </c>
      <c r="H71" s="26">
        <f t="shared" si="10"/>
        <v>532.14942479664398</v>
      </c>
      <c r="I71" s="26">
        <f t="shared" si="10"/>
        <v>532.14942479664398</v>
      </c>
      <c r="J71" s="26">
        <f t="shared" si="10"/>
        <v>534.96399851445801</v>
      </c>
      <c r="K71" s="26">
        <f t="shared" si="10"/>
        <v>534.96399851445801</v>
      </c>
      <c r="L71" s="26">
        <f t="shared" si="10"/>
        <v>534.96399851445801</v>
      </c>
      <c r="M71" t="str">
        <f>B71&amp;"."&amp;C71</f>
        <v>WAS_ELC.POM C&amp;E</v>
      </c>
      <c r="Y71" s="13"/>
      <c r="Z71" s="14" t="s">
        <v>309</v>
      </c>
      <c r="AA71" s="15">
        <v>3273.2927840752</v>
      </c>
      <c r="AB71" s="98">
        <v>2875.3110312413601</v>
      </c>
      <c r="AC71" s="98">
        <v>2167.4039259054498</v>
      </c>
      <c r="AD71" s="98">
        <v>1194.3599668233301</v>
      </c>
      <c r="AE71" s="98">
        <v>0</v>
      </c>
      <c r="AF71" s="98">
        <v>0</v>
      </c>
      <c r="AG71" s="98">
        <v>0</v>
      </c>
      <c r="AH71" s="99">
        <v>0</v>
      </c>
      <c r="AI71" s="100">
        <v>9510.3677080453399</v>
      </c>
    </row>
    <row r="72" spans="1:35" ht="15">
      <c r="A72" s="212"/>
      <c r="Y72" s="13"/>
      <c r="Z72" s="14" t="s">
        <v>142</v>
      </c>
      <c r="AA72" s="15">
        <v>3272.6644555002799</v>
      </c>
      <c r="AB72" s="98">
        <v>2907.8220011055801</v>
      </c>
      <c r="AC72" s="98">
        <v>2166.8048645660601</v>
      </c>
      <c r="AD72" s="98">
        <v>1194.0298507462701</v>
      </c>
      <c r="AE72" s="98">
        <v>0</v>
      </c>
      <c r="AF72" s="98">
        <v>0</v>
      </c>
      <c r="AG72" s="98">
        <v>0</v>
      </c>
      <c r="AH72" s="99">
        <v>0</v>
      </c>
      <c r="AI72" s="100">
        <v>9541.3211719181909</v>
      </c>
    </row>
    <row r="73" spans="1:35" ht="15">
      <c r="A73" s="212"/>
      <c r="B73" t="s">
        <v>91</v>
      </c>
      <c r="C73" t="s">
        <v>296</v>
      </c>
      <c r="D73" s="127"/>
      <c r="E73" s="128"/>
      <c r="F73" s="128"/>
      <c r="G73" s="128"/>
      <c r="H73" s="128"/>
      <c r="I73" s="128"/>
      <c r="J73" s="128"/>
      <c r="K73" s="128"/>
      <c r="L73" s="128"/>
      <c r="M73" t="str">
        <f>B73&amp;"."&amp;C73</f>
        <v>LIG_LIN.POM C&amp;E</v>
      </c>
      <c r="Y73" s="13"/>
      <c r="Z73" s="14" t="s">
        <v>296</v>
      </c>
      <c r="AA73" s="15">
        <v>3247.58354045844</v>
      </c>
      <c r="AB73" s="98">
        <v>2874.5163073521298</v>
      </c>
      <c r="AC73" s="98">
        <v>2166.9430624654501</v>
      </c>
      <c r="AD73" s="98">
        <v>1194.0298507462701</v>
      </c>
      <c r="AE73" s="98">
        <v>0</v>
      </c>
      <c r="AF73" s="98">
        <v>0</v>
      </c>
      <c r="AG73" s="98">
        <v>0</v>
      </c>
      <c r="AH73" s="99">
        <v>0</v>
      </c>
      <c r="AI73" s="100">
        <v>9483.0727610222802</v>
      </c>
    </row>
    <row r="74" spans="1:35" ht="15">
      <c r="A74" s="212"/>
      <c r="B74" t="s">
        <v>70</v>
      </c>
      <c r="C74" t="s">
        <v>296</v>
      </c>
      <c r="D74" s="127"/>
      <c r="E74" s="128"/>
      <c r="F74" s="128"/>
      <c r="G74" s="128"/>
      <c r="H74" s="128"/>
      <c r="I74" s="128"/>
      <c r="J74" s="128"/>
      <c r="K74" s="128"/>
      <c r="L74" s="128"/>
      <c r="M74" t="str">
        <f>B74&amp;"."&amp;C74</f>
        <v>HCO_LIN.POM C&amp;E</v>
      </c>
      <c r="Y74" s="13"/>
      <c r="Z74" s="14" t="s">
        <v>143</v>
      </c>
      <c r="AA74" s="15">
        <v>3273.4310201824701</v>
      </c>
      <c r="AB74" s="98">
        <v>2853.33149018524</v>
      </c>
      <c r="AC74" s="98">
        <v>2145.5626209565899</v>
      </c>
      <c r="AD74" s="98">
        <v>1194.49820293061</v>
      </c>
      <c r="AE74" s="98">
        <v>0</v>
      </c>
      <c r="AF74" s="98">
        <v>0</v>
      </c>
      <c r="AG74" s="98">
        <v>0</v>
      </c>
      <c r="AH74" s="99">
        <v>0</v>
      </c>
      <c r="AI74" s="100">
        <v>9466.8233342549102</v>
      </c>
    </row>
    <row r="75" spans="1:35" ht="15">
      <c r="A75" s="212"/>
      <c r="B75" t="s">
        <v>115</v>
      </c>
      <c r="C75" t="s">
        <v>296</v>
      </c>
      <c r="D75" s="127"/>
      <c r="E75" s="128"/>
      <c r="F75" s="128"/>
      <c r="G75" s="128"/>
      <c r="H75" s="128"/>
      <c r="I75" s="128"/>
      <c r="J75" s="128"/>
      <c r="K75" s="128"/>
      <c r="L75" s="128"/>
      <c r="M75" t="str">
        <f>B75&amp;"."&amp;C75</f>
        <v>WIN_OFF.POM C&amp;E</v>
      </c>
      <c r="Y75" s="13"/>
      <c r="Z75" s="14" t="s">
        <v>310</v>
      </c>
      <c r="AA75" s="15">
        <v>3273.5692562897402</v>
      </c>
      <c r="AB75" s="98">
        <v>2875.3110312413601</v>
      </c>
      <c r="AC75" s="98">
        <v>2167.4039259054498</v>
      </c>
      <c r="AD75" s="98">
        <v>1194.3599668233301</v>
      </c>
      <c r="AE75" s="98">
        <v>0</v>
      </c>
      <c r="AF75" s="98">
        <v>0</v>
      </c>
      <c r="AG75" s="98">
        <v>0</v>
      </c>
      <c r="AH75" s="99">
        <v>0</v>
      </c>
      <c r="AI75" s="100">
        <v>9510.6441802598802</v>
      </c>
    </row>
    <row r="76" spans="1:35" ht="15">
      <c r="A76" s="212"/>
      <c r="B76" t="s">
        <v>95</v>
      </c>
      <c r="C76" t="s">
        <v>296</v>
      </c>
      <c r="D76">
        <f>INDEX($V$30:$V$42,MATCH(B76,$R$30:$R$42,0))</f>
        <v>3333</v>
      </c>
      <c r="E76" s="129">
        <f>D76</f>
        <v>3333</v>
      </c>
      <c r="F76" s="26">
        <f t="shared" ref="F76:L76" si="11">INDEX($C$112:$J$241,MATCH($M76,$K$112:$K$241,0),MATCH(F$65,$C$105:$J$105,0))</f>
        <v>2874.5163073521298</v>
      </c>
      <c r="G76" s="26">
        <f t="shared" si="11"/>
        <v>2166.9430624654501</v>
      </c>
      <c r="H76" s="26">
        <f t="shared" si="11"/>
        <v>1194.0298507462701</v>
      </c>
      <c r="I76" s="26">
        <f t="shared" si="11"/>
        <v>0</v>
      </c>
      <c r="J76" s="26">
        <f t="shared" si="11"/>
        <v>0</v>
      </c>
      <c r="K76" s="26">
        <f t="shared" si="11"/>
        <v>0</v>
      </c>
      <c r="L76" s="26">
        <f t="shared" si="11"/>
        <v>0</v>
      </c>
      <c r="M76" t="str">
        <f>B76&amp;"."&amp;C76</f>
        <v>NUC_ELC.POM C&amp;E</v>
      </c>
      <c r="Y76" s="16"/>
      <c r="Z76" s="17" t="s">
        <v>311</v>
      </c>
      <c r="AA76" s="101">
        <v>3273.5692562897402</v>
      </c>
      <c r="AB76" s="102">
        <v>2875.3110312413601</v>
      </c>
      <c r="AC76" s="102">
        <v>2167.6803981199901</v>
      </c>
      <c r="AD76" s="102">
        <v>1194.49820293061</v>
      </c>
      <c r="AE76" s="102">
        <v>0</v>
      </c>
      <c r="AF76" s="102">
        <v>0</v>
      </c>
      <c r="AG76" s="102">
        <v>0</v>
      </c>
      <c r="AH76" s="103">
        <v>0</v>
      </c>
      <c r="AI76" s="104">
        <v>9511.0588885816996</v>
      </c>
    </row>
    <row r="77" spans="1:35" ht="15">
      <c r="A77" s="212"/>
      <c r="Y77" s="11" t="s">
        <v>318</v>
      </c>
      <c r="Z77" s="12" t="s">
        <v>307</v>
      </c>
      <c r="AA77" s="95">
        <v>243.29554879734599</v>
      </c>
      <c r="AB77" s="95">
        <v>154.824440143766</v>
      </c>
      <c r="AC77" s="95">
        <v>243.29554879734599</v>
      </c>
      <c r="AD77" s="95">
        <v>154.824440143766</v>
      </c>
      <c r="AE77" s="95">
        <v>66.215095382914001</v>
      </c>
      <c r="AF77" s="95">
        <v>88.471108653580302</v>
      </c>
      <c r="AG77" s="95">
        <v>0</v>
      </c>
      <c r="AH77" s="95">
        <v>0</v>
      </c>
      <c r="AI77" s="97">
        <v>950.92618191871702</v>
      </c>
    </row>
    <row r="78" spans="1:35" ht="15">
      <c r="A78" s="212"/>
      <c r="B78" t="s">
        <v>80</v>
      </c>
      <c r="C78" t="s">
        <v>296</v>
      </c>
      <c r="D78">
        <f>INDEX($V$30:$V$42,MATCH(B78,$R$30:$R$42,0))</f>
        <v>4157.78</v>
      </c>
      <c r="E78" s="26">
        <f t="shared" ref="E78:L80" si="12">$D78/SUM($D$78:$D$80)*E$82</f>
        <v>4199.8690228328906</v>
      </c>
      <c r="F78" s="26">
        <f t="shared" si="12"/>
        <v>5334.3737928055307</v>
      </c>
      <c r="G78" s="26">
        <f t="shared" si="12"/>
        <v>5381.6403960329208</v>
      </c>
      <c r="H78" s="26">
        <f t="shared" si="12"/>
        <v>5408.6498835914281</v>
      </c>
      <c r="I78" s="26">
        <f t="shared" si="12"/>
        <v>5455.958689143129</v>
      </c>
      <c r="J78" s="26">
        <f t="shared" si="12"/>
        <v>5503.1830900462091</v>
      </c>
      <c r="K78" s="26">
        <f t="shared" si="12"/>
        <v>5577.4591808321111</v>
      </c>
      <c r="L78" s="26">
        <f t="shared" si="12"/>
        <v>5651.7352716180121</v>
      </c>
      <c r="M78" t="str">
        <f>B78&amp;"."&amp;C78</f>
        <v>HYD_ROR.POM C&amp;E</v>
      </c>
      <c r="Y78" s="13"/>
      <c r="Z78" s="14" t="s">
        <v>308</v>
      </c>
      <c r="AA78" s="98">
        <v>243.29554879734599</v>
      </c>
      <c r="AB78" s="98">
        <v>243.29554879734599</v>
      </c>
      <c r="AC78" s="98">
        <v>154.824440143766</v>
      </c>
      <c r="AD78" s="98">
        <v>154.96267625103701</v>
      </c>
      <c r="AE78" s="98">
        <v>88.609344760851499</v>
      </c>
      <c r="AF78" s="98">
        <v>66.353331490185198</v>
      </c>
      <c r="AG78" s="98">
        <v>0</v>
      </c>
      <c r="AH78" s="98">
        <v>0</v>
      </c>
      <c r="AI78" s="100">
        <v>951.34089024053105</v>
      </c>
    </row>
    <row r="79" spans="1:35" ht="15">
      <c r="A79" s="212"/>
      <c r="B79" t="s">
        <v>75</v>
      </c>
      <c r="C79" t="s">
        <v>296</v>
      </c>
      <c r="D79">
        <f>INDEX($V$30:$V$42,MATCH(B79,$R$30:$R$42,0))</f>
        <v>7559.2</v>
      </c>
      <c r="E79" s="26">
        <f t="shared" si="12"/>
        <v>7635.7214468775128</v>
      </c>
      <c r="F79" s="26">
        <f t="shared" si="12"/>
        <v>9698.3482470394229</v>
      </c>
      <c r="G79" s="26">
        <f t="shared" si="12"/>
        <v>9784.2829783423022</v>
      </c>
      <c r="H79" s="26">
        <f t="shared" si="12"/>
        <v>9833.3885390868036</v>
      </c>
      <c r="I79" s="26">
        <f t="shared" si="12"/>
        <v>9919.3999978283482</v>
      </c>
      <c r="J79" s="26">
        <f t="shared" si="12"/>
        <v>10005.258001692564</v>
      </c>
      <c r="K79" s="26">
        <f t="shared" si="12"/>
        <v>10140.298293739952</v>
      </c>
      <c r="L79" s="26">
        <f t="shared" si="12"/>
        <v>10275.33858578734</v>
      </c>
      <c r="M79" t="str">
        <f>B79&amp;"."&amp;C79</f>
        <v>HYD_RES.POM C&amp;E</v>
      </c>
      <c r="Y79" s="13"/>
      <c r="Z79" s="14" t="s">
        <v>309</v>
      </c>
      <c r="AA79" s="98">
        <v>221.17777163395101</v>
      </c>
      <c r="AB79" s="98">
        <v>243.29554879734599</v>
      </c>
      <c r="AC79" s="98">
        <v>154.96267625103701</v>
      </c>
      <c r="AD79" s="98">
        <v>176.942217307161</v>
      </c>
      <c r="AE79" s="98">
        <v>66.353331490185198</v>
      </c>
      <c r="AF79" s="98">
        <v>88.332872546309105</v>
      </c>
      <c r="AG79" s="98">
        <v>0</v>
      </c>
      <c r="AH79" s="98">
        <v>0</v>
      </c>
      <c r="AI79" s="100">
        <v>951.06441802598795</v>
      </c>
    </row>
    <row r="80" spans="1:35" ht="15">
      <c r="A80" s="212"/>
      <c r="B80" t="s">
        <v>85</v>
      </c>
      <c r="C80" t="s">
        <v>296</v>
      </c>
      <c r="D80">
        <f>INDEX($V$30:$V$42,MATCH(B80,$R$30:$R$42,0))</f>
        <v>1898.3</v>
      </c>
      <c r="E80" s="26">
        <f t="shared" si="12"/>
        <v>1917.516406842997</v>
      </c>
      <c r="F80" s="26">
        <f t="shared" si="12"/>
        <v>2435.4924432949165</v>
      </c>
      <c r="G80" s="26">
        <f t="shared" si="12"/>
        <v>2457.0727560836058</v>
      </c>
      <c r="H80" s="26">
        <f t="shared" si="12"/>
        <v>2469.4043633914275</v>
      </c>
      <c r="I80" s="26">
        <f t="shared" si="12"/>
        <v>2491.0039443165351</v>
      </c>
      <c r="J80" s="26">
        <f t="shared" si="12"/>
        <v>2512.5649889688052</v>
      </c>
      <c r="K80" s="26">
        <f t="shared" si="12"/>
        <v>2546.4769090653176</v>
      </c>
      <c r="L80" s="26">
        <f t="shared" si="12"/>
        <v>2580.38882916183</v>
      </c>
      <c r="M80" t="str">
        <f>B80&amp;"."&amp;C80</f>
        <v>HYD_STO.POM C&amp;E</v>
      </c>
      <c r="Y80" s="13"/>
      <c r="Z80" s="14" t="s">
        <v>142</v>
      </c>
      <c r="AA80" s="98">
        <v>243.22830292979501</v>
      </c>
      <c r="AB80" s="98">
        <v>154.78164731896101</v>
      </c>
      <c r="AC80" s="98">
        <v>221.11663902708699</v>
      </c>
      <c r="AD80" s="98">
        <v>176.89331122166899</v>
      </c>
      <c r="AE80" s="98">
        <v>0</v>
      </c>
      <c r="AF80" s="98">
        <v>0</v>
      </c>
      <c r="AG80" s="98">
        <v>0</v>
      </c>
      <c r="AH80" s="98">
        <v>0</v>
      </c>
      <c r="AI80" s="100">
        <v>796.01990049751203</v>
      </c>
    </row>
    <row r="81" spans="1:35" ht="15">
      <c r="A81" s="212"/>
      <c r="Y81" s="13"/>
      <c r="Z81" s="14" t="s">
        <v>296</v>
      </c>
      <c r="AA81" s="98">
        <v>243.16487158243601</v>
      </c>
      <c r="AB81" s="98">
        <v>243.22830292979501</v>
      </c>
      <c r="AC81" s="98">
        <v>154.78164731896101</v>
      </c>
      <c r="AD81" s="98">
        <v>176.89331122166899</v>
      </c>
      <c r="AE81" s="98">
        <v>0</v>
      </c>
      <c r="AF81" s="98">
        <v>0</v>
      </c>
      <c r="AG81" s="98">
        <v>0</v>
      </c>
      <c r="AH81" s="98">
        <v>0</v>
      </c>
      <c r="AI81" s="100">
        <v>818.06813305286096</v>
      </c>
    </row>
    <row r="82" spans="1:35" ht="15">
      <c r="A82" s="212"/>
      <c r="B82" t="s">
        <v>145</v>
      </c>
      <c r="C82" t="s">
        <v>296</v>
      </c>
      <c r="D82">
        <f>INDEX($V$30:$V$42,MATCH(B82,$R$30:$R$42,0))</f>
        <v>13615.279999999999</v>
      </c>
      <c r="E82" s="26">
        <f t="shared" ref="E82:L82" si="13">INDEX($C$112:$J$241,MATCH($M82,$K$112:$K$241,0),MATCH(E$65,$C$105:$J$105,0))</f>
        <v>13753.1068765534</v>
      </c>
      <c r="F82" s="26">
        <f t="shared" si="13"/>
        <v>17468.214483139869</v>
      </c>
      <c r="G82" s="26">
        <f t="shared" si="13"/>
        <v>17622.996130458829</v>
      </c>
      <c r="H82" s="26">
        <f t="shared" si="13"/>
        <v>17711.44278606966</v>
      </c>
      <c r="I82" s="26">
        <f t="shared" si="13"/>
        <v>17866.362631288011</v>
      </c>
      <c r="J82" s="26">
        <f t="shared" si="13"/>
        <v>18021.006080707579</v>
      </c>
      <c r="K82" s="26">
        <f t="shared" si="13"/>
        <v>18264.23438363738</v>
      </c>
      <c r="L82" s="26">
        <f t="shared" si="13"/>
        <v>18507.462686567182</v>
      </c>
      <c r="M82" t="str">
        <f>B82&amp;"."&amp;C82</f>
        <v>HYD_TOT.POM C&amp;E</v>
      </c>
      <c r="Y82" s="13"/>
      <c r="Z82" s="14" t="s">
        <v>143</v>
      </c>
      <c r="AA82" s="98">
        <v>243.29554879734599</v>
      </c>
      <c r="AB82" s="98">
        <v>243.157312690075</v>
      </c>
      <c r="AC82" s="98">
        <v>154.68620403649399</v>
      </c>
      <c r="AD82" s="98">
        <v>154.824440143766</v>
      </c>
      <c r="AE82" s="98">
        <v>88.332872546309105</v>
      </c>
      <c r="AF82" s="98">
        <v>88.471108653580302</v>
      </c>
      <c r="AG82" s="98">
        <v>0</v>
      </c>
      <c r="AH82" s="98">
        <v>0</v>
      </c>
      <c r="AI82" s="100">
        <v>972.76748686757003</v>
      </c>
    </row>
    <row r="83" spans="1:35" ht="15">
      <c r="A83" s="212"/>
      <c r="Y83" s="13"/>
      <c r="Z83" s="14" t="s">
        <v>310</v>
      </c>
      <c r="AA83" s="98">
        <v>243.29554879734599</v>
      </c>
      <c r="AB83" s="98">
        <v>154.68620403649399</v>
      </c>
      <c r="AC83" s="98">
        <v>243.29554879734599</v>
      </c>
      <c r="AD83" s="98">
        <v>176.942217307161</v>
      </c>
      <c r="AE83" s="98">
        <v>88.332872546309105</v>
      </c>
      <c r="AF83" s="98">
        <v>88.471108653580302</v>
      </c>
      <c r="AG83" s="98">
        <v>0</v>
      </c>
      <c r="AH83" s="98">
        <v>0</v>
      </c>
      <c r="AI83" s="100">
        <v>995.02350013823605</v>
      </c>
    </row>
    <row r="84" spans="1:35" ht="15">
      <c r="A84" s="212"/>
      <c r="B84" s="126" t="s">
        <v>319</v>
      </c>
      <c r="Y84" s="16"/>
      <c r="Z84" s="17" t="s">
        <v>311</v>
      </c>
      <c r="AA84" s="102">
        <v>1470.8321813657701</v>
      </c>
      <c r="AB84" s="102">
        <v>243.433784904617</v>
      </c>
      <c r="AC84" s="102">
        <v>154.68620403649399</v>
      </c>
      <c r="AD84" s="102">
        <v>154.824440143766</v>
      </c>
      <c r="AE84" s="102">
        <v>88.471108653580302</v>
      </c>
      <c r="AF84" s="102">
        <v>88.471108653580302</v>
      </c>
      <c r="AG84" s="102">
        <v>0</v>
      </c>
      <c r="AH84" s="102">
        <v>0</v>
      </c>
      <c r="AI84" s="104">
        <v>2200.7188277578098</v>
      </c>
    </row>
    <row r="85" spans="1:35" ht="15">
      <c r="A85" s="212"/>
      <c r="B85" t="s">
        <v>105</v>
      </c>
      <c r="C85" t="s">
        <v>296</v>
      </c>
      <c r="D85">
        <f>INDEX($V$30:$V$42,MATCH(B85,$R$30:$R$42,0))</f>
        <v>1390.1</v>
      </c>
      <c r="E85" s="26">
        <f t="shared" ref="E85:L89" si="14">INDEX($C$112:$J$241,MATCH($M85,$K$112:$K$241,0),MATCH(E$65,$C$105:$J$105,0))</f>
        <v>1390.1</v>
      </c>
      <c r="F85" s="26">
        <f t="shared" si="14"/>
        <v>1665.2918506448</v>
      </c>
      <c r="G85" s="26">
        <f t="shared" si="14"/>
        <v>2192.7428977140098</v>
      </c>
      <c r="H85" s="26">
        <f t="shared" si="14"/>
        <v>3259.1113189626299</v>
      </c>
      <c r="I85" s="26">
        <f t="shared" si="14"/>
        <v>6160.0920778432701</v>
      </c>
      <c r="J85" s="26">
        <f t="shared" si="14"/>
        <v>8797.3473131893006</v>
      </c>
      <c r="K85" s="26">
        <f t="shared" si="14"/>
        <v>11652.462763629101</v>
      </c>
      <c r="L85" s="26">
        <f t="shared" si="14"/>
        <v>13819.598587457</v>
      </c>
      <c r="M85" t="str">
        <f>B85&amp;"."&amp;C85</f>
        <v>SOL_PHO.POM C&amp;E</v>
      </c>
      <c r="Y85" s="11" t="s">
        <v>320</v>
      </c>
      <c r="Z85" s="12" t="s">
        <v>307</v>
      </c>
      <c r="AA85" s="94">
        <v>154.824440143766</v>
      </c>
      <c r="AB85" s="95">
        <v>398.11998894111099</v>
      </c>
      <c r="AC85" s="95">
        <v>796.37821398949404</v>
      </c>
      <c r="AD85" s="95">
        <v>1437.65551562068</v>
      </c>
      <c r="AE85" s="95">
        <v>2963.78213989494</v>
      </c>
      <c r="AF85" s="95">
        <v>3826.23721316008</v>
      </c>
      <c r="AG85" s="95">
        <v>5020.8736521979499</v>
      </c>
      <c r="AH85" s="96">
        <v>5993.9176112800697</v>
      </c>
      <c r="AI85" s="97">
        <v>20591.788775228099</v>
      </c>
    </row>
    <row r="86" spans="1:35" ht="15">
      <c r="A86" s="212"/>
      <c r="B86" t="s">
        <v>120</v>
      </c>
      <c r="C86" t="s">
        <v>296</v>
      </c>
      <c r="D86">
        <f>INDEX($V$30:$V$42,MATCH(B86,$R$30:$R$42,0))</f>
        <v>60.287999999999997</v>
      </c>
      <c r="E86" s="26">
        <f t="shared" si="14"/>
        <v>60.287999999999997</v>
      </c>
      <c r="F86" s="26">
        <f t="shared" si="14"/>
        <v>240.568875087078</v>
      </c>
      <c r="G86" s="26">
        <f t="shared" si="14"/>
        <v>432.48077437332302</v>
      </c>
      <c r="H86" s="26">
        <f t="shared" si="14"/>
        <v>705.80984305373204</v>
      </c>
      <c r="I86" s="26">
        <f t="shared" si="14"/>
        <v>880.27520604122697</v>
      </c>
      <c r="J86" s="26">
        <f t="shared" si="14"/>
        <v>1362.96271030663</v>
      </c>
      <c r="K86" s="26">
        <f t="shared" si="14"/>
        <v>1851.4657266716199</v>
      </c>
      <c r="L86" s="26">
        <f t="shared" si="14"/>
        <v>2334.15323093702</v>
      </c>
      <c r="M86" t="str">
        <f>B86&amp;"."&amp;C86</f>
        <v>WIN_ONS.POM C&amp;E</v>
      </c>
      <c r="Y86" s="13"/>
      <c r="Z86" s="14" t="s">
        <v>308</v>
      </c>
      <c r="AA86" s="15">
        <v>486.59109759469197</v>
      </c>
      <c r="AB86" s="98">
        <v>1128.0066353331499</v>
      </c>
      <c r="AC86" s="98">
        <v>1990.5999447055599</v>
      </c>
      <c r="AD86" s="98">
        <v>3361.7638927287799</v>
      </c>
      <c r="AE86" s="98">
        <v>5750.6220624827201</v>
      </c>
      <c r="AF86" s="98">
        <v>8161.5980094000597</v>
      </c>
      <c r="AG86" s="98">
        <v>10704.865910975899</v>
      </c>
      <c r="AH86" s="99">
        <v>12695.742327896</v>
      </c>
      <c r="AI86" s="100">
        <v>44279.789881117002</v>
      </c>
    </row>
    <row r="87" spans="1:35" ht="15">
      <c r="A87" s="212"/>
      <c r="B87" t="s">
        <v>65</v>
      </c>
      <c r="C87" t="s">
        <v>296</v>
      </c>
      <c r="D87" t="e">
        <f>INDEX($V$30:$V$42,MATCH(B87,$R$30:$R$42,0))</f>
        <v>#N/A</v>
      </c>
      <c r="E87" s="26">
        <f t="shared" si="14"/>
        <v>0</v>
      </c>
      <c r="F87" s="26">
        <f t="shared" si="14"/>
        <v>12.9795791896249</v>
      </c>
      <c r="G87" s="26">
        <f t="shared" si="14"/>
        <v>37.640779649912098</v>
      </c>
      <c r="H87" s="26">
        <f t="shared" si="14"/>
        <v>88.261138489448996</v>
      </c>
      <c r="I87" s="26">
        <f t="shared" si="14"/>
        <v>172.628403222011</v>
      </c>
      <c r="J87" s="26">
        <f t="shared" si="14"/>
        <v>299.82827928033402</v>
      </c>
      <c r="K87" s="26">
        <f t="shared" si="14"/>
        <v>438.70977660931999</v>
      </c>
      <c r="L87" s="26">
        <f t="shared" si="14"/>
        <v>556.82394723490597</v>
      </c>
      <c r="M87" t="str">
        <f>B87&amp;"."&amp;C87</f>
        <v>GEO_ELC.POM C&amp;E</v>
      </c>
      <c r="Y87" s="13"/>
      <c r="Z87" s="14" t="s">
        <v>309</v>
      </c>
      <c r="AA87" s="15">
        <v>464.473320431297</v>
      </c>
      <c r="AB87" s="98">
        <v>1105.8888581697499</v>
      </c>
      <c r="AC87" s="98">
        <v>2244.9543820846002</v>
      </c>
      <c r="AD87" s="98">
        <v>3339.7843516726598</v>
      </c>
      <c r="AE87" s="98">
        <v>5728.5042853193299</v>
      </c>
      <c r="AF87" s="98">
        <v>8139.3419961293903</v>
      </c>
      <c r="AG87" s="98">
        <v>10683.0246060271</v>
      </c>
      <c r="AH87" s="99">
        <v>12695.6040917888</v>
      </c>
      <c r="AI87" s="100">
        <v>44401.575891622902</v>
      </c>
    </row>
    <row r="88" spans="1:35" ht="15">
      <c r="A88" s="212"/>
      <c r="B88" t="s">
        <v>441</v>
      </c>
      <c r="C88" t="s">
        <v>296</v>
      </c>
      <c r="D88" t="e">
        <f>INDEX($V$30:$V$42,MATCH(B88,$R$30:$R$42,0))</f>
        <v>#N/A</v>
      </c>
      <c r="E88" s="26">
        <f t="shared" si="14"/>
        <v>154.51532725766401</v>
      </c>
      <c r="F88" s="26">
        <f t="shared" si="14"/>
        <v>331.67495854062997</v>
      </c>
      <c r="G88" s="26">
        <f t="shared" si="14"/>
        <v>1039.3864013267</v>
      </c>
      <c r="H88" s="26">
        <f t="shared" si="14"/>
        <v>1680.624654505247</v>
      </c>
      <c r="I88" s="26">
        <f t="shared" si="14"/>
        <v>3360.69651741294</v>
      </c>
      <c r="J88" s="26">
        <f t="shared" si="14"/>
        <v>3493.2283029297937</v>
      </c>
      <c r="K88" s="26">
        <f t="shared" si="14"/>
        <v>3516.0309563294659</v>
      </c>
      <c r="L88" s="26">
        <f t="shared" si="14"/>
        <v>3449.1431730237746</v>
      </c>
      <c r="M88" t="str">
        <f>B88&amp;"."&amp;C88</f>
        <v>GAS_NEW.POM C&amp;E</v>
      </c>
      <c r="Y88" s="13"/>
      <c r="Z88" s="14" t="s">
        <v>142</v>
      </c>
      <c r="AA88" s="15">
        <v>154.64344941956901</v>
      </c>
      <c r="AB88" s="98">
        <v>397.87175234936399</v>
      </c>
      <c r="AC88" s="98">
        <v>795.88170259812</v>
      </c>
      <c r="AD88" s="98">
        <v>1437.1199557766699</v>
      </c>
      <c r="AE88" s="98">
        <v>2940.7131011608599</v>
      </c>
      <c r="AF88" s="98">
        <v>3825.1796572692101</v>
      </c>
      <c r="AG88" s="98">
        <v>5019.3477059148699</v>
      </c>
      <c r="AH88" s="99">
        <v>5992.2609176340502</v>
      </c>
      <c r="AI88" s="100">
        <v>20563.0182421227</v>
      </c>
    </row>
    <row r="89" spans="1:35" ht="15">
      <c r="A89" s="212"/>
      <c r="B89" t="s">
        <v>55</v>
      </c>
      <c r="C89" t="s">
        <v>296</v>
      </c>
      <c r="D89">
        <f>INDEX($V$30:$V$42,MATCH(B89,$R$30:$R$42,0))</f>
        <v>46.2</v>
      </c>
      <c r="E89" s="26">
        <f t="shared" si="14"/>
        <v>46.2</v>
      </c>
      <c r="F89" s="26">
        <f t="shared" si="14"/>
        <v>191.26334532998399</v>
      </c>
      <c r="G89" s="26">
        <f t="shared" si="14"/>
        <v>407.58587783961002</v>
      </c>
      <c r="H89" s="26">
        <f t="shared" si="14"/>
        <v>585.73384578871298</v>
      </c>
      <c r="I89" s="26">
        <f t="shared" si="14"/>
        <v>639.17823617344402</v>
      </c>
      <c r="J89" s="26">
        <f t="shared" si="14"/>
        <v>662.08297490975701</v>
      </c>
      <c r="K89" s="26">
        <f t="shared" si="14"/>
        <v>672.26285879256295</v>
      </c>
      <c r="L89" s="26">
        <f t="shared" si="14"/>
        <v>674.80782976326498</v>
      </c>
      <c r="M89" t="str">
        <f>B89&amp;"."&amp;C89</f>
        <v>BAL_ELC.POM C&amp;E</v>
      </c>
      <c r="Y89" s="13"/>
      <c r="Z89" s="14" t="s">
        <v>296</v>
      </c>
      <c r="AA89" s="15">
        <v>463.96023198011602</v>
      </c>
      <c r="AB89" s="98">
        <v>1105.5831951354301</v>
      </c>
      <c r="AC89" s="98">
        <v>1989.9115533443901</v>
      </c>
      <c r="AD89" s="98">
        <v>3338.72305140962</v>
      </c>
      <c r="AE89" s="98">
        <v>5727.1973466003301</v>
      </c>
      <c r="AF89" s="98">
        <v>8137.3687119955803</v>
      </c>
      <c r="AG89" s="98">
        <v>10679.795467108899</v>
      </c>
      <c r="AH89" s="99">
        <v>12670.259812050899</v>
      </c>
      <c r="AI89" s="100">
        <v>44112.799369625202</v>
      </c>
    </row>
    <row r="90" spans="1:35" ht="15">
      <c r="Y90" s="13"/>
      <c r="Z90" s="14" t="s">
        <v>143</v>
      </c>
      <c r="AA90" s="15">
        <v>486.45286148742099</v>
      </c>
      <c r="AB90" s="98">
        <v>1105.8888581697499</v>
      </c>
      <c r="AC90" s="98">
        <v>1990.5999447055599</v>
      </c>
      <c r="AD90" s="98">
        <v>3361.90212883605</v>
      </c>
      <c r="AE90" s="98">
        <v>5750.6220624827201</v>
      </c>
      <c r="AF90" s="98">
        <v>8139.2037600221202</v>
      </c>
      <c r="AG90" s="98">
        <v>10682.886369919799</v>
      </c>
      <c r="AH90" s="99">
        <v>12673.3480785181</v>
      </c>
      <c r="AI90" s="100">
        <v>44190.904064141498</v>
      </c>
    </row>
    <row r="91" spans="1:35" ht="15">
      <c r="A91" s="213" t="s">
        <v>321</v>
      </c>
      <c r="B91" t="s">
        <v>105</v>
      </c>
      <c r="C91" t="s">
        <v>142</v>
      </c>
      <c r="D91">
        <f>INDEX($V$30:$V$42,MATCH(B91,$R$30:$R$42,0))</f>
        <v>1390.1</v>
      </c>
      <c r="E91" s="26">
        <f t="shared" ref="E91:L95" si="15">INDEX($C$112:$J$241,MATCH($M91,$K$112:$K$241,0),MATCH(E$65,$C$105:$J$105,0))</f>
        <v>1390.1</v>
      </c>
      <c r="F91" s="26">
        <f t="shared" si="15"/>
        <v>1525.95333242366</v>
      </c>
      <c r="G91" s="26">
        <f t="shared" si="15"/>
        <v>1745.40871556958</v>
      </c>
      <c r="H91" s="26">
        <f t="shared" si="15"/>
        <v>2173.8692255211199</v>
      </c>
      <c r="I91" s="26">
        <f t="shared" si="15"/>
        <v>3804.1092146050701</v>
      </c>
      <c r="J91" s="26">
        <f t="shared" si="15"/>
        <v>4807.3338232721098</v>
      </c>
      <c r="K91" s="26">
        <f t="shared" si="15"/>
        <v>6113.61586580732</v>
      </c>
      <c r="L91" s="26">
        <f t="shared" si="15"/>
        <v>7357.1963703008296</v>
      </c>
      <c r="M91" t="str">
        <f>B91&amp;"."&amp;C91</f>
        <v>SOL_PHO.POM C</v>
      </c>
      <c r="Y91" s="13"/>
      <c r="Z91" s="14" t="s">
        <v>310</v>
      </c>
      <c r="AA91" s="15">
        <v>154.68620403649399</v>
      </c>
      <c r="AB91" s="98">
        <v>397.98175283384001</v>
      </c>
      <c r="AC91" s="98">
        <v>818.21951893834705</v>
      </c>
      <c r="AD91" s="98">
        <v>1437.65551562068</v>
      </c>
      <c r="AE91" s="98">
        <v>2963.78213989494</v>
      </c>
      <c r="AF91" s="98">
        <v>3826.3754492673502</v>
      </c>
      <c r="AG91" s="98">
        <v>5042.85319325408</v>
      </c>
      <c r="AH91" s="99">
        <v>5993.9176112800697</v>
      </c>
      <c r="AI91" s="100">
        <v>20635.471385125798</v>
      </c>
    </row>
    <row r="92" spans="1:35" ht="15">
      <c r="A92" s="213"/>
      <c r="B92" t="s">
        <v>120</v>
      </c>
      <c r="C92" t="s">
        <v>142</v>
      </c>
      <c r="D92">
        <f>INDEX($V$30:$V$42,MATCH(B92,$R$30:$R$42,0))</f>
        <v>60.287999999999997</v>
      </c>
      <c r="E92" s="26">
        <f t="shared" si="15"/>
        <v>60.287999999999997</v>
      </c>
      <c r="F92" s="26">
        <f t="shared" si="15"/>
        <v>87.268448637974799</v>
      </c>
      <c r="G92" s="26">
        <f t="shared" si="15"/>
        <v>146.625435641519</v>
      </c>
      <c r="H92" s="26">
        <f t="shared" si="15"/>
        <v>319.30030692455801</v>
      </c>
      <c r="I92" s="26">
        <f t="shared" si="15"/>
        <v>427.222101476457</v>
      </c>
      <c r="J92" s="26">
        <f t="shared" si="15"/>
        <v>562.12434466633101</v>
      </c>
      <c r="K92" s="26">
        <f t="shared" si="15"/>
        <v>686.234408401015</v>
      </c>
      <c r="L92" s="26">
        <f t="shared" si="15"/>
        <v>772.57184404253496</v>
      </c>
      <c r="M92" t="str">
        <f>B92&amp;"."&amp;C92</f>
        <v>WIN_ONS.POM C</v>
      </c>
      <c r="Y92" s="16"/>
      <c r="Z92" s="17" t="s">
        <v>311</v>
      </c>
      <c r="AA92" s="101">
        <v>464.33508432402499</v>
      </c>
      <c r="AB92" s="102">
        <v>1105.8888581697499</v>
      </c>
      <c r="AC92" s="102">
        <v>1990.5999447055599</v>
      </c>
      <c r="AD92" s="102">
        <v>3361.90212883605</v>
      </c>
      <c r="AE92" s="102">
        <v>5772.7398396461203</v>
      </c>
      <c r="AF92" s="102">
        <v>8139.2037600221202</v>
      </c>
      <c r="AG92" s="102">
        <v>10727.1219242466</v>
      </c>
      <c r="AH92" s="103">
        <v>12717.7218689522</v>
      </c>
      <c r="AI92" s="104">
        <v>44279.5134089024</v>
      </c>
    </row>
    <row r="93" spans="1:35" ht="15.75" thickBot="1">
      <c r="A93" s="213"/>
      <c r="B93" t="s">
        <v>65</v>
      </c>
      <c r="C93" t="s">
        <v>142</v>
      </c>
      <c r="D93" t="e">
        <f>INDEX($V$30:$V$42,MATCH(B93,$R$30:$R$42,0))</f>
        <v>#N/A</v>
      </c>
      <c r="E93" s="26">
        <f t="shared" si="15"/>
        <v>0</v>
      </c>
      <c r="F93" s="26">
        <f t="shared" si="15"/>
        <v>9.5617218904890091</v>
      </c>
      <c r="G93" s="26">
        <f t="shared" si="15"/>
        <v>23.221324591187599</v>
      </c>
      <c r="H93" s="26">
        <f t="shared" si="15"/>
        <v>40.978808102095797</v>
      </c>
      <c r="I93" s="26">
        <f t="shared" si="15"/>
        <v>49.174569722514903</v>
      </c>
      <c r="J93" s="26">
        <f t="shared" si="15"/>
        <v>49.174569722514903</v>
      </c>
      <c r="K93" s="26">
        <f t="shared" si="15"/>
        <v>53.272450532724498</v>
      </c>
      <c r="L93" s="26">
        <f t="shared" si="15"/>
        <v>53.272450532724498</v>
      </c>
      <c r="M93" t="str">
        <f>B93&amp;"."&amp;C93</f>
        <v>GEO_ELC.POM C</v>
      </c>
      <c r="Y93" s="19" t="s">
        <v>34</v>
      </c>
      <c r="Z93" s="20"/>
      <c r="AA93" s="106">
        <v>153979.88769994199</v>
      </c>
      <c r="AB93" s="107">
        <v>177372.46251921699</v>
      </c>
      <c r="AC93" s="107">
        <v>182193.81764418501</v>
      </c>
      <c r="AD93" s="107">
        <v>187059.22973985199</v>
      </c>
      <c r="AE93" s="107">
        <v>204088.32733240401</v>
      </c>
      <c r="AF93" s="107">
        <v>219702.78247352599</v>
      </c>
      <c r="AG93" s="107">
        <v>237485.04157705</v>
      </c>
      <c r="AH93" s="108">
        <v>251063.91742635399</v>
      </c>
      <c r="AI93" s="109">
        <v>1612945.46641253</v>
      </c>
    </row>
    <row r="94" spans="1:35">
      <c r="A94" s="213"/>
      <c r="B94" t="s">
        <v>441</v>
      </c>
      <c r="C94" t="s">
        <v>142</v>
      </c>
      <c r="D94" t="e">
        <f>INDEX($V$30:$V$42,MATCH(B94,$R$30:$R$42,0))</f>
        <v>#N/A</v>
      </c>
      <c r="E94" s="26">
        <f t="shared" si="15"/>
        <v>154.919845218353</v>
      </c>
      <c r="F94" s="26">
        <f t="shared" si="15"/>
        <v>398.00995024875601</v>
      </c>
      <c r="G94" s="26">
        <f t="shared" si="15"/>
        <v>1614.2896627971231</v>
      </c>
      <c r="H94" s="26">
        <f t="shared" si="15"/>
        <v>2211.3045881702569</v>
      </c>
      <c r="I94" s="26">
        <f t="shared" si="15"/>
        <v>3980.2377003869578</v>
      </c>
      <c r="J94" s="26">
        <f t="shared" si="15"/>
        <v>4002.349364289666</v>
      </c>
      <c r="K94" s="26">
        <f t="shared" si="15"/>
        <v>4002.2111663902751</v>
      </c>
      <c r="L94" s="26">
        <f t="shared" si="15"/>
        <v>3979.9613045881661</v>
      </c>
      <c r="M94" t="str">
        <f>B94&amp;"."&amp;C94</f>
        <v>GAS_NEW.POM C</v>
      </c>
    </row>
    <row r="95" spans="1:35">
      <c r="A95" s="213"/>
      <c r="B95" t="s">
        <v>55</v>
      </c>
      <c r="C95" t="s">
        <v>142</v>
      </c>
      <c r="D95">
        <f>INDEX($V$30:$V$42,MATCH(B95,$R$30:$R$42,0))</f>
        <v>46.2</v>
      </c>
      <c r="E95" s="26">
        <f t="shared" si="15"/>
        <v>46.2</v>
      </c>
      <c r="F95" s="26">
        <f t="shared" si="15"/>
        <v>126.737463241436</v>
      </c>
      <c r="G95" s="26">
        <f t="shared" si="15"/>
        <v>225.17214053652401</v>
      </c>
      <c r="H95" s="26">
        <f t="shared" si="15"/>
        <v>305.70960377796001</v>
      </c>
      <c r="I95" s="26">
        <f t="shared" si="15"/>
        <v>308.69247278690199</v>
      </c>
      <c r="J95" s="26">
        <f t="shared" si="15"/>
        <v>317.64107981372803</v>
      </c>
      <c r="K95" s="26">
        <f t="shared" si="15"/>
        <v>326.58968684055401</v>
      </c>
      <c r="L95" s="26">
        <f t="shared" si="15"/>
        <v>326.58968684055401</v>
      </c>
      <c r="M95" t="str">
        <f>B95&amp;"."&amp;C95</f>
        <v>BAL_ELC.POM C</v>
      </c>
    </row>
    <row r="96" spans="1:35">
      <c r="A96" s="213"/>
    </row>
    <row r="97" spans="1:20">
      <c r="A97" s="213"/>
      <c r="B97" t="s">
        <v>105</v>
      </c>
      <c r="C97" t="s">
        <v>143</v>
      </c>
      <c r="D97">
        <f>INDEX($V$30:$V$42,MATCH(B97,$R$30:$R$42,0))</f>
        <v>1390.1</v>
      </c>
      <c r="E97" s="26">
        <f t="shared" ref="E97:L101" si="16">INDEX($C$112:$J$241,MATCH($M97,$K$112:$K$241,0),MATCH(E$65,$C$105:$J$105,0))</f>
        <v>1390.1</v>
      </c>
      <c r="F97" s="26">
        <f t="shared" si="16"/>
        <v>1665.2918506448</v>
      </c>
      <c r="G97" s="26">
        <f t="shared" si="16"/>
        <v>2192.7428977140098</v>
      </c>
      <c r="H97" s="26">
        <f t="shared" si="16"/>
        <v>3259.1113189626299</v>
      </c>
      <c r="I97" s="26">
        <f t="shared" si="16"/>
        <v>6160.0920778432701</v>
      </c>
      <c r="J97" s="26">
        <f t="shared" si="16"/>
        <v>8797.3473131893006</v>
      </c>
      <c r="K97" s="26">
        <f t="shared" si="16"/>
        <v>11652.462763629101</v>
      </c>
      <c r="L97" s="26">
        <f t="shared" si="16"/>
        <v>13819.598587457</v>
      </c>
      <c r="M97" t="str">
        <f>B97&amp;"."&amp;C97</f>
        <v>SOL_PHO.POM E</v>
      </c>
    </row>
    <row r="98" spans="1:20">
      <c r="A98" s="213"/>
      <c r="B98" t="s">
        <v>120</v>
      </c>
      <c r="C98" t="s">
        <v>143</v>
      </c>
      <c r="D98">
        <f>INDEX($V$30:$V$42,MATCH(B98,$R$30:$R$42,0))</f>
        <v>60.287999999999997</v>
      </c>
      <c r="E98" s="26">
        <f t="shared" si="16"/>
        <v>60.287999999999997</v>
      </c>
      <c r="F98" s="26">
        <f t="shared" si="16"/>
        <v>240.568875087078</v>
      </c>
      <c r="G98" s="26">
        <f t="shared" si="16"/>
        <v>432.48077437332302</v>
      </c>
      <c r="H98" s="26">
        <f t="shared" si="16"/>
        <v>705.80984305373204</v>
      </c>
      <c r="I98" s="26">
        <f t="shared" si="16"/>
        <v>880.27520604122697</v>
      </c>
      <c r="J98" s="26">
        <f t="shared" si="16"/>
        <v>1362.96271030663</v>
      </c>
      <c r="K98" s="26">
        <f t="shared" si="16"/>
        <v>1851.4657266716199</v>
      </c>
      <c r="L98" s="26">
        <f t="shared" si="16"/>
        <v>2334.15323093702</v>
      </c>
      <c r="M98" t="str">
        <f>B98&amp;"."&amp;C98</f>
        <v>WIN_ONS.POM E</v>
      </c>
    </row>
    <row r="99" spans="1:20">
      <c r="A99" s="213"/>
      <c r="B99" t="s">
        <v>65</v>
      </c>
      <c r="C99" t="s">
        <v>143</v>
      </c>
      <c r="D99" t="e">
        <f>INDEX($V$30:$V$42,MATCH(B99,$R$30:$R$42,0))</f>
        <v>#N/A</v>
      </c>
      <c r="E99" s="26">
        <f t="shared" si="16"/>
        <v>0</v>
      </c>
      <c r="F99" s="26">
        <f t="shared" si="16"/>
        <v>12.9795791896249</v>
      </c>
      <c r="G99" s="26">
        <f t="shared" si="16"/>
        <v>37.640779649912098</v>
      </c>
      <c r="H99" s="26">
        <f t="shared" si="16"/>
        <v>88.261138489448996</v>
      </c>
      <c r="I99" s="26">
        <f t="shared" si="16"/>
        <v>172.628403222011</v>
      </c>
      <c r="J99" s="26">
        <f t="shared" si="16"/>
        <v>299.82827928033402</v>
      </c>
      <c r="K99" s="26">
        <f t="shared" si="16"/>
        <v>438.70977660931999</v>
      </c>
      <c r="L99" s="26">
        <f t="shared" si="16"/>
        <v>556.82394723490597</v>
      </c>
      <c r="M99" t="str">
        <f>B99&amp;"."&amp;C99</f>
        <v>GEO_ELC.POM E</v>
      </c>
    </row>
    <row r="100" spans="1:20">
      <c r="A100" s="213"/>
      <c r="B100" t="s">
        <v>441</v>
      </c>
      <c r="C100" t="s">
        <v>143</v>
      </c>
      <c r="D100" t="e">
        <f>INDEX($V$30:$V$42,MATCH(B100,$R$30:$R$42,0))</f>
        <v>#N/A</v>
      </c>
      <c r="E100" s="26">
        <f t="shared" si="16"/>
        <v>154.96267625103701</v>
      </c>
      <c r="F100" s="26">
        <f t="shared" si="16"/>
        <v>309.78711639480201</v>
      </c>
      <c r="G100" s="26">
        <f t="shared" si="16"/>
        <v>486.59109759469197</v>
      </c>
      <c r="H100" s="26">
        <f t="shared" si="16"/>
        <v>552.94442908487702</v>
      </c>
      <c r="I100" s="26">
        <f t="shared" si="16"/>
        <v>552.94442908487702</v>
      </c>
      <c r="J100" s="26">
        <f t="shared" si="16"/>
        <v>619.43599668233401</v>
      </c>
      <c r="K100" s="26">
        <f t="shared" si="16"/>
        <v>707.76886922864298</v>
      </c>
      <c r="L100" s="26">
        <f t="shared" si="16"/>
        <v>730.024882499309</v>
      </c>
      <c r="M100" t="str">
        <f>B100&amp;"."&amp;C100</f>
        <v>GAS_NEW.POM E</v>
      </c>
    </row>
    <row r="101" spans="1:20">
      <c r="A101" s="213"/>
      <c r="B101" t="s">
        <v>55</v>
      </c>
      <c r="C101" t="s">
        <v>143</v>
      </c>
      <c r="D101">
        <f>INDEX($V$30:$V$42,MATCH(B101,$R$30:$R$42,0))</f>
        <v>46.2</v>
      </c>
      <c r="E101" s="26">
        <f t="shared" si="16"/>
        <v>46.2</v>
      </c>
      <c r="F101" s="26">
        <f t="shared" si="16"/>
        <v>191.26334532998399</v>
      </c>
      <c r="G101" s="26">
        <f t="shared" si="16"/>
        <v>407.58587783961002</v>
      </c>
      <c r="H101" s="26">
        <f t="shared" si="16"/>
        <v>585.73384578871298</v>
      </c>
      <c r="I101" s="26">
        <f t="shared" si="16"/>
        <v>639.17823617344402</v>
      </c>
      <c r="J101" s="26">
        <f t="shared" si="16"/>
        <v>662.08297490975701</v>
      </c>
      <c r="K101" s="26">
        <f t="shared" si="16"/>
        <v>672.26285879256295</v>
      </c>
      <c r="L101" s="26">
        <f t="shared" si="16"/>
        <v>674.80782976326498</v>
      </c>
      <c r="M101" t="str">
        <f>B101&amp;"."&amp;C101</f>
        <v>BAL_ELC.POM E</v>
      </c>
    </row>
    <row r="103" spans="1:20">
      <c r="E103">
        <v>280000</v>
      </c>
      <c r="F103">
        <v>520000</v>
      </c>
      <c r="G103">
        <v>980000</v>
      </c>
      <c r="H103">
        <v>1910000</v>
      </c>
      <c r="I103">
        <v>4440000</v>
      </c>
      <c r="J103">
        <v>6740000</v>
      </c>
      <c r="K103">
        <v>9230000</v>
      </c>
      <c r="L103">
        <v>11120000</v>
      </c>
    </row>
    <row r="104" spans="1:20">
      <c r="E104">
        <f>E103/E85</f>
        <v>201.42435795985901</v>
      </c>
      <c r="F104">
        <f t="shared" ref="F104:K104" si="17">F103/F85</f>
        <v>312.25757803273723</v>
      </c>
      <c r="G104">
        <f t="shared" si="17"/>
        <v>446.92882189775867</v>
      </c>
      <c r="H104">
        <f t="shared" si="17"/>
        <v>586.04932850466435</v>
      </c>
      <c r="I104">
        <f t="shared" si="17"/>
        <v>720.7684469473877</v>
      </c>
      <c r="J104">
        <f t="shared" si="17"/>
        <v>766.14003745141997</v>
      </c>
      <c r="K104">
        <f t="shared" si="17"/>
        <v>792.10722979606101</v>
      </c>
    </row>
    <row r="105" spans="1:20">
      <c r="C105">
        <v>2015</v>
      </c>
      <c r="D105">
        <v>2020</v>
      </c>
      <c r="E105">
        <v>2025</v>
      </c>
      <c r="F105">
        <v>2030</v>
      </c>
      <c r="G105">
        <v>2035</v>
      </c>
      <c r="H105">
        <v>2040</v>
      </c>
      <c r="I105">
        <v>2045</v>
      </c>
      <c r="J105">
        <v>2050</v>
      </c>
      <c r="L105" t="s">
        <v>322</v>
      </c>
    </row>
    <row r="106" spans="1:20">
      <c r="M106" t="s">
        <v>307</v>
      </c>
      <c r="N106" t="s">
        <v>308</v>
      </c>
      <c r="O106" t="s">
        <v>309</v>
      </c>
      <c r="P106" t="s">
        <v>142</v>
      </c>
      <c r="Q106" t="s">
        <v>296</v>
      </c>
      <c r="R106" t="s">
        <v>143</v>
      </c>
      <c r="S106" t="s">
        <v>310</v>
      </c>
      <c r="T106" t="s">
        <v>311</v>
      </c>
    </row>
    <row r="107" spans="1:20">
      <c r="A107" t="s">
        <v>80</v>
      </c>
      <c r="B107" s="211" t="s">
        <v>323</v>
      </c>
      <c r="C107" s="211"/>
      <c r="D107" s="211"/>
      <c r="E107" s="211"/>
      <c r="F107" s="211"/>
      <c r="L107" s="130" t="s">
        <v>317</v>
      </c>
      <c r="M107" s="26">
        <f t="shared" ref="M107:T107" si="18">SUMIFS($J$112:$J$241,$B$112:$B$241,M$106,$A$112:$A$241,$L107)</f>
        <v>0</v>
      </c>
      <c r="N107" s="26">
        <f t="shared" si="18"/>
        <v>0</v>
      </c>
      <c r="O107" s="26">
        <f t="shared" si="18"/>
        <v>0</v>
      </c>
      <c r="P107" s="26">
        <f t="shared" si="18"/>
        <v>0</v>
      </c>
      <c r="Q107" s="26">
        <f t="shared" si="18"/>
        <v>0</v>
      </c>
      <c r="R107" s="26">
        <f t="shared" si="18"/>
        <v>0</v>
      </c>
      <c r="S107" s="26">
        <f t="shared" si="18"/>
        <v>0</v>
      </c>
      <c r="T107" s="26">
        <f t="shared" si="18"/>
        <v>0</v>
      </c>
    </row>
    <row r="108" spans="1:20">
      <c r="A108" t="s">
        <v>75</v>
      </c>
      <c r="B108" s="211"/>
      <c r="C108" s="211"/>
      <c r="D108" s="211"/>
      <c r="E108" s="211"/>
      <c r="F108" s="211"/>
      <c r="L108" s="130" t="s">
        <v>441</v>
      </c>
      <c r="M108" s="26">
        <v>2700</v>
      </c>
      <c r="N108" s="26">
        <v>2200</v>
      </c>
      <c r="O108" s="26">
        <f>SUMIFS(J$112:J$241,B$112:B$241,$O106,A$112:A$241,L108)</f>
        <v>707.63063312137103</v>
      </c>
      <c r="P108" s="26">
        <v>3300</v>
      </c>
      <c r="Q108" s="26">
        <v>2700</v>
      </c>
      <c r="R108" s="26">
        <f>SUMIFS(J$112:J$241,B$112:B$241,$R106,A$112:A$241,L108)</f>
        <v>730.024882499309</v>
      </c>
      <c r="S108" s="26">
        <v>4400</v>
      </c>
      <c r="T108" s="26">
        <v>2700</v>
      </c>
    </row>
    <row r="109" spans="1:20">
      <c r="A109" t="s">
        <v>85</v>
      </c>
      <c r="B109" s="211"/>
      <c r="C109" s="211"/>
      <c r="D109" s="211"/>
      <c r="E109" s="211"/>
      <c r="F109" s="211"/>
      <c r="L109" s="130" t="s">
        <v>110</v>
      </c>
      <c r="M109" s="26">
        <v>400</v>
      </c>
      <c r="N109" s="26">
        <v>530</v>
      </c>
      <c r="O109" s="26">
        <v>530</v>
      </c>
      <c r="P109" s="26">
        <v>400</v>
      </c>
      <c r="Q109" s="26">
        <v>530</v>
      </c>
      <c r="R109" s="26">
        <v>530</v>
      </c>
      <c r="S109" s="26">
        <v>400</v>
      </c>
      <c r="T109" s="26">
        <v>530</v>
      </c>
    </row>
    <row r="110" spans="1:20">
      <c r="L110" s="130" t="s">
        <v>65</v>
      </c>
      <c r="M110" s="26">
        <v>50</v>
      </c>
      <c r="N110" s="26">
        <v>550</v>
      </c>
      <c r="O110" s="26">
        <v>550</v>
      </c>
      <c r="P110" s="26">
        <v>50</v>
      </c>
      <c r="Q110" s="26">
        <v>550</v>
      </c>
      <c r="R110" s="26">
        <v>550</v>
      </c>
      <c r="S110" s="26">
        <v>50</v>
      </c>
      <c r="T110" s="26">
        <v>550</v>
      </c>
    </row>
    <row r="111" spans="1:20">
      <c r="L111" s="130" t="s">
        <v>120</v>
      </c>
      <c r="M111" s="26">
        <v>780</v>
      </c>
      <c r="N111" s="26">
        <v>2300</v>
      </c>
      <c r="O111" s="26">
        <v>2300</v>
      </c>
      <c r="P111" s="26">
        <v>780</v>
      </c>
      <c r="Q111" s="26">
        <v>2300</v>
      </c>
      <c r="R111" s="26">
        <v>2300</v>
      </c>
      <c r="S111" s="26">
        <v>780</v>
      </c>
      <c r="T111" s="26">
        <v>2300</v>
      </c>
    </row>
    <row r="112" spans="1:20">
      <c r="A112" t="s">
        <v>145</v>
      </c>
      <c r="B112" s="12" t="s">
        <v>307</v>
      </c>
      <c r="C112">
        <f t="shared" ref="C112:E119" si="19">C124+C137</f>
        <v>13735.1396184683</v>
      </c>
      <c r="D112">
        <f t="shared" si="19"/>
        <v>17406.690627591881</v>
      </c>
      <c r="E112">
        <f t="shared" si="19"/>
        <v>17406.690627591881</v>
      </c>
      <c r="G112">
        <f t="shared" ref="G112:J119" si="20">G124+G137</f>
        <v>17495.16173624546</v>
      </c>
      <c r="H112">
        <f t="shared" si="20"/>
        <v>17583.632844899039</v>
      </c>
      <c r="I112">
        <f t="shared" si="20"/>
        <v>17650.124412496501</v>
      </c>
      <c r="J112">
        <f t="shared" si="20"/>
        <v>17738.457285042809</v>
      </c>
      <c r="K112" t="str">
        <f t="shared" ref="K112:K119" si="21">A112&amp;"."&amp;B112</f>
        <v>HYD_TOT.NEP C</v>
      </c>
      <c r="L112" s="130" t="s">
        <v>55</v>
      </c>
      <c r="M112" s="26">
        <v>330</v>
      </c>
      <c r="N112" s="26">
        <v>680</v>
      </c>
      <c r="O112" s="26">
        <v>680</v>
      </c>
      <c r="P112" s="26">
        <v>330</v>
      </c>
      <c r="Q112" s="26">
        <v>680</v>
      </c>
      <c r="R112" s="26">
        <v>680</v>
      </c>
      <c r="S112" s="26">
        <v>330</v>
      </c>
      <c r="T112" s="26">
        <v>680</v>
      </c>
    </row>
    <row r="113" spans="1:20">
      <c r="A113" t="s">
        <v>145</v>
      </c>
      <c r="B113" s="14" t="s">
        <v>308</v>
      </c>
      <c r="C113">
        <f t="shared" si="19"/>
        <v>13735.1396184683</v>
      </c>
      <c r="D113">
        <f t="shared" si="19"/>
        <v>17473.043959082068</v>
      </c>
      <c r="E113">
        <f t="shared" si="19"/>
        <v>17649.98617638923</v>
      </c>
      <c r="F113">
        <f t="shared" ref="F113:F119" si="22">F125+F138</f>
        <v>17716.339507879409</v>
      </c>
      <c r="G113">
        <f t="shared" si="20"/>
        <v>17871.163948023179</v>
      </c>
      <c r="H113">
        <f t="shared" si="20"/>
        <v>18048.10616533034</v>
      </c>
      <c r="I113">
        <f t="shared" si="20"/>
        <v>18269.28393696429</v>
      </c>
      <c r="J113">
        <f t="shared" si="20"/>
        <v>18512.579485761642</v>
      </c>
      <c r="K113" t="str">
        <f t="shared" si="21"/>
        <v>HYD_TOT.NEP C&amp;E</v>
      </c>
      <c r="L113" s="130" t="s">
        <v>105</v>
      </c>
      <c r="M113" s="26">
        <v>7400</v>
      </c>
      <c r="N113" s="26">
        <v>13800</v>
      </c>
      <c r="O113" s="26">
        <v>13800</v>
      </c>
      <c r="P113" s="26">
        <v>7400</v>
      </c>
      <c r="Q113" s="26">
        <v>13800</v>
      </c>
      <c r="R113" s="26">
        <v>13800</v>
      </c>
      <c r="S113" s="26">
        <v>7400</v>
      </c>
      <c r="T113" s="26">
        <v>13800</v>
      </c>
    </row>
    <row r="114" spans="1:20">
      <c r="A114" t="s">
        <v>145</v>
      </c>
      <c r="B114" s="14" t="s">
        <v>309</v>
      </c>
      <c r="C114">
        <f t="shared" si="19"/>
        <v>13735.1396184683</v>
      </c>
      <c r="D114">
        <f t="shared" si="19"/>
        <v>17495.16173624546</v>
      </c>
      <c r="E114">
        <f t="shared" si="19"/>
        <v>17650.124412496501</v>
      </c>
      <c r="F114">
        <f t="shared" si="22"/>
        <v>17738.457285042809</v>
      </c>
      <c r="G114">
        <f t="shared" si="20"/>
        <v>17893.281725186578</v>
      </c>
      <c r="H114">
        <f t="shared" si="20"/>
        <v>18048.10616533034</v>
      </c>
      <c r="I114">
        <f t="shared" si="20"/>
        <v>18291.401714127689</v>
      </c>
      <c r="J114">
        <f t="shared" si="20"/>
        <v>18534.835499032299</v>
      </c>
      <c r="K114" t="str">
        <f t="shared" si="21"/>
        <v>HYD_TOT.NEP E</v>
      </c>
      <c r="L114" s="130" t="s">
        <v>145</v>
      </c>
      <c r="M114" s="26">
        <v>17700</v>
      </c>
      <c r="N114" s="26">
        <v>18500</v>
      </c>
      <c r="O114" s="26">
        <v>18500</v>
      </c>
      <c r="P114" s="26">
        <v>17700</v>
      </c>
      <c r="Q114" s="26">
        <v>18500</v>
      </c>
      <c r="R114" s="26">
        <v>18500</v>
      </c>
      <c r="S114" s="26">
        <v>17700</v>
      </c>
      <c r="T114" s="26">
        <v>18500</v>
      </c>
    </row>
    <row r="115" spans="1:20">
      <c r="A115" t="s">
        <v>145</v>
      </c>
      <c r="B115" s="14" t="s">
        <v>142</v>
      </c>
      <c r="C115">
        <f t="shared" si="19"/>
        <v>13709.2316196794</v>
      </c>
      <c r="D115">
        <f t="shared" si="19"/>
        <v>17346.600331674981</v>
      </c>
      <c r="E115">
        <f t="shared" si="19"/>
        <v>17379.90602542843</v>
      </c>
      <c r="F115">
        <f t="shared" si="22"/>
        <v>17468.21448313988</v>
      </c>
      <c r="G115">
        <f t="shared" si="20"/>
        <v>17468.21448313988</v>
      </c>
      <c r="H115">
        <f t="shared" si="20"/>
        <v>17556.661138750711</v>
      </c>
      <c r="I115">
        <f t="shared" si="20"/>
        <v>17622.99613045884</v>
      </c>
      <c r="J115">
        <f t="shared" si="20"/>
        <v>17711.580983969059</v>
      </c>
      <c r="K115" t="str">
        <f t="shared" si="21"/>
        <v>HYD_TOT.POM C</v>
      </c>
      <c r="L115" s="130"/>
    </row>
    <row r="116" spans="1:20">
      <c r="A116" t="s">
        <v>145</v>
      </c>
      <c r="B116" s="14" t="s">
        <v>296</v>
      </c>
      <c r="C116">
        <f t="shared" si="19"/>
        <v>13753.1068765534</v>
      </c>
      <c r="D116">
        <f t="shared" si="19"/>
        <v>17468.214483139869</v>
      </c>
      <c r="E116">
        <f t="shared" si="19"/>
        <v>17622.996130458829</v>
      </c>
      <c r="F116">
        <f t="shared" si="22"/>
        <v>17711.44278606966</v>
      </c>
      <c r="G116">
        <f t="shared" si="20"/>
        <v>17866.362631288011</v>
      </c>
      <c r="H116">
        <f t="shared" si="20"/>
        <v>18021.006080707579</v>
      </c>
      <c r="I116">
        <f t="shared" si="20"/>
        <v>18264.23438363738</v>
      </c>
      <c r="J116">
        <f t="shared" si="20"/>
        <v>18507.462686567182</v>
      </c>
      <c r="K116" t="str">
        <f t="shared" si="21"/>
        <v>HYD_TOT.POM C&amp;E</v>
      </c>
      <c r="L116" s="130" t="s">
        <v>317</v>
      </c>
      <c r="M116" s="26" t="e">
        <f t="shared" ref="M116:T116" si="23">(M107-MIN($M107:$T107))/(MAX($M107:$T107)-MIN($M107:$T107))</f>
        <v>#DIV/0!</v>
      </c>
      <c r="N116" s="26" t="e">
        <f t="shared" si="23"/>
        <v>#DIV/0!</v>
      </c>
      <c r="O116" s="26" t="e">
        <f t="shared" si="23"/>
        <v>#DIV/0!</v>
      </c>
      <c r="P116" s="26" t="e">
        <f t="shared" si="23"/>
        <v>#DIV/0!</v>
      </c>
      <c r="Q116" s="26" t="e">
        <f t="shared" si="23"/>
        <v>#DIV/0!</v>
      </c>
      <c r="R116" s="26" t="e">
        <f t="shared" si="23"/>
        <v>#DIV/0!</v>
      </c>
      <c r="S116" s="26" t="e">
        <f t="shared" si="23"/>
        <v>#DIV/0!</v>
      </c>
      <c r="T116" s="26" t="e">
        <f t="shared" si="23"/>
        <v>#DIV/0!</v>
      </c>
    </row>
    <row r="117" spans="1:20">
      <c r="A117" t="s">
        <v>145</v>
      </c>
      <c r="B117" s="14" t="s">
        <v>143</v>
      </c>
      <c r="C117">
        <f t="shared" si="19"/>
        <v>13713.021841304901</v>
      </c>
      <c r="D117">
        <f t="shared" si="19"/>
        <v>17473.043959082061</v>
      </c>
      <c r="E117">
        <f t="shared" si="19"/>
        <v>17627.86839922583</v>
      </c>
      <c r="F117">
        <f t="shared" si="22"/>
        <v>17694.22173071601</v>
      </c>
      <c r="G117">
        <f t="shared" si="20"/>
        <v>17871.163948023182</v>
      </c>
      <c r="H117">
        <f t="shared" si="20"/>
        <v>18025.988388166941</v>
      </c>
      <c r="I117">
        <f t="shared" si="20"/>
        <v>18269.28393696429</v>
      </c>
      <c r="J117">
        <f t="shared" si="20"/>
        <v>18490.461708598239</v>
      </c>
      <c r="K117" t="str">
        <f t="shared" si="21"/>
        <v>HYD_TOT.POM E</v>
      </c>
      <c r="L117" s="130" t="s">
        <v>441</v>
      </c>
      <c r="M117" s="90">
        <f t="shared" ref="M117:T123" si="24">(M108-MIN($M108:$T108))/(MAX($M108:$T108)-MIN($M108:$T108))*10</f>
        <v>5.3959102378830881</v>
      </c>
      <c r="N117" s="90">
        <f t="shared" si="24"/>
        <v>4.0417661902016437</v>
      </c>
      <c r="O117" s="90">
        <f t="shared" si="24"/>
        <v>0</v>
      </c>
      <c r="P117" s="90">
        <f t="shared" si="24"/>
        <v>7.0208830951008219</v>
      </c>
      <c r="Q117" s="90">
        <f t="shared" si="24"/>
        <v>5.3959102378830881</v>
      </c>
      <c r="R117" s="90">
        <f t="shared" si="24"/>
        <v>6.0650078994857186E-2</v>
      </c>
      <c r="S117" s="90">
        <f t="shared" si="24"/>
        <v>10</v>
      </c>
      <c r="T117" s="90">
        <f t="shared" si="24"/>
        <v>5.3959102378830881</v>
      </c>
    </row>
    <row r="118" spans="1:20">
      <c r="A118" t="s">
        <v>145</v>
      </c>
      <c r="B118" s="14" t="s">
        <v>310</v>
      </c>
      <c r="C118">
        <f t="shared" si="19"/>
        <v>13779.3751727951</v>
      </c>
      <c r="D118">
        <f t="shared" si="19"/>
        <v>17451.064418025951</v>
      </c>
      <c r="E118">
        <f t="shared" si="19"/>
        <v>17451.064418025951</v>
      </c>
      <c r="F118">
        <f t="shared" si="22"/>
        <v>17539.397290572262</v>
      </c>
      <c r="G118">
        <f t="shared" si="20"/>
        <v>17539.397290572262</v>
      </c>
      <c r="H118">
        <f t="shared" si="20"/>
        <v>17605.750622062449</v>
      </c>
      <c r="I118">
        <f t="shared" si="20"/>
        <v>17694.221730716032</v>
      </c>
      <c r="J118">
        <f t="shared" si="20"/>
        <v>17760.575062206211</v>
      </c>
      <c r="K118" t="str">
        <f t="shared" si="21"/>
        <v>HYD_TOT.WWB C</v>
      </c>
      <c r="L118" s="130" t="s">
        <v>110</v>
      </c>
      <c r="M118" s="90">
        <f t="shared" si="24"/>
        <v>0</v>
      </c>
      <c r="N118" s="90">
        <f t="shared" si="24"/>
        <v>10</v>
      </c>
      <c r="O118" s="90">
        <f t="shared" si="24"/>
        <v>10</v>
      </c>
      <c r="P118" s="90">
        <f t="shared" si="24"/>
        <v>0</v>
      </c>
      <c r="Q118" s="90">
        <f t="shared" si="24"/>
        <v>10</v>
      </c>
      <c r="R118" s="90">
        <f t="shared" si="24"/>
        <v>10</v>
      </c>
      <c r="S118" s="90">
        <f t="shared" si="24"/>
        <v>0</v>
      </c>
      <c r="T118" s="90">
        <f t="shared" si="24"/>
        <v>10</v>
      </c>
    </row>
    <row r="119" spans="1:20">
      <c r="A119" t="s">
        <v>145</v>
      </c>
      <c r="B119" s="17" t="s">
        <v>311</v>
      </c>
      <c r="C119">
        <f t="shared" si="19"/>
        <v>13757.395631739</v>
      </c>
      <c r="D119">
        <f t="shared" si="19"/>
        <v>17517.41774951616</v>
      </c>
      <c r="E119">
        <f t="shared" si="19"/>
        <v>17672.103953552662</v>
      </c>
      <c r="F119">
        <f t="shared" si="22"/>
        <v>17760.575062206241</v>
      </c>
      <c r="G119">
        <f t="shared" si="20"/>
        <v>17915.399502349999</v>
      </c>
      <c r="H119">
        <f t="shared" si="20"/>
        <v>18070.362178601041</v>
      </c>
      <c r="I119">
        <f t="shared" si="20"/>
        <v>18313.519491291121</v>
      </c>
      <c r="J119">
        <f t="shared" si="20"/>
        <v>18556.815040088462</v>
      </c>
      <c r="K119" t="str">
        <f t="shared" si="21"/>
        <v>HYD_TOT.WWB C&amp;E</v>
      </c>
      <c r="L119" s="130" t="s">
        <v>65</v>
      </c>
      <c r="M119" s="90">
        <f t="shared" si="24"/>
        <v>0</v>
      </c>
      <c r="N119" s="90">
        <f t="shared" si="24"/>
        <v>10</v>
      </c>
      <c r="O119" s="90">
        <f t="shared" si="24"/>
        <v>10</v>
      </c>
      <c r="P119" s="90">
        <f t="shared" si="24"/>
        <v>0</v>
      </c>
      <c r="Q119" s="90">
        <f t="shared" si="24"/>
        <v>10</v>
      </c>
      <c r="R119" s="90">
        <f t="shared" si="24"/>
        <v>10</v>
      </c>
      <c r="S119" s="90">
        <f t="shared" si="24"/>
        <v>0</v>
      </c>
      <c r="T119" s="90">
        <f t="shared" si="24"/>
        <v>10</v>
      </c>
    </row>
    <row r="120" spans="1:20">
      <c r="L120" s="130" t="s">
        <v>120</v>
      </c>
      <c r="M120" s="90">
        <f t="shared" si="24"/>
        <v>0</v>
      </c>
      <c r="N120" s="90">
        <f t="shared" si="24"/>
        <v>10</v>
      </c>
      <c r="O120" s="90">
        <f t="shared" si="24"/>
        <v>10</v>
      </c>
      <c r="P120" s="90">
        <f t="shared" si="24"/>
        <v>0</v>
      </c>
      <c r="Q120" s="90">
        <f t="shared" si="24"/>
        <v>10</v>
      </c>
      <c r="R120" s="90">
        <f t="shared" si="24"/>
        <v>10</v>
      </c>
      <c r="S120" s="90">
        <f t="shared" si="24"/>
        <v>0</v>
      </c>
      <c r="T120" s="90">
        <f t="shared" si="24"/>
        <v>10</v>
      </c>
    </row>
    <row r="121" spans="1:20">
      <c r="L121" s="130" t="s">
        <v>55</v>
      </c>
      <c r="M121" s="90">
        <f t="shared" si="24"/>
        <v>0</v>
      </c>
      <c r="N121" s="90">
        <f t="shared" si="24"/>
        <v>10</v>
      </c>
      <c r="O121" s="90">
        <f t="shared" si="24"/>
        <v>10</v>
      </c>
      <c r="P121" s="90">
        <f t="shared" si="24"/>
        <v>0</v>
      </c>
      <c r="Q121" s="90">
        <f t="shared" si="24"/>
        <v>10</v>
      </c>
      <c r="R121" s="90">
        <f t="shared" si="24"/>
        <v>10</v>
      </c>
      <c r="S121" s="90">
        <f t="shared" si="24"/>
        <v>0</v>
      </c>
      <c r="T121" s="90">
        <f t="shared" si="24"/>
        <v>10</v>
      </c>
    </row>
    <row r="122" spans="1:20">
      <c r="L122" s="130" t="s">
        <v>105</v>
      </c>
      <c r="M122" s="90">
        <f t="shared" si="24"/>
        <v>0</v>
      </c>
      <c r="N122" s="90">
        <f t="shared" si="24"/>
        <v>10</v>
      </c>
      <c r="O122" s="90">
        <f t="shared" si="24"/>
        <v>10</v>
      </c>
      <c r="P122" s="90">
        <f t="shared" si="24"/>
        <v>0</v>
      </c>
      <c r="Q122" s="90">
        <f t="shared" si="24"/>
        <v>10</v>
      </c>
      <c r="R122" s="90">
        <f t="shared" si="24"/>
        <v>10</v>
      </c>
      <c r="S122" s="90">
        <f t="shared" si="24"/>
        <v>0</v>
      </c>
      <c r="T122" s="90">
        <f t="shared" si="24"/>
        <v>10</v>
      </c>
    </row>
    <row r="123" spans="1:20">
      <c r="B123" t="s">
        <v>324</v>
      </c>
      <c r="C123">
        <v>2015</v>
      </c>
      <c r="D123">
        <v>2020</v>
      </c>
      <c r="E123">
        <v>2025</v>
      </c>
      <c r="F123">
        <v>2030</v>
      </c>
      <c r="G123">
        <v>2035</v>
      </c>
      <c r="H123">
        <v>2040</v>
      </c>
      <c r="I123">
        <v>2045</v>
      </c>
      <c r="J123">
        <v>2050</v>
      </c>
      <c r="L123" s="130" t="s">
        <v>145</v>
      </c>
      <c r="M123" s="90">
        <f t="shared" si="24"/>
        <v>0</v>
      </c>
      <c r="N123" s="90">
        <f t="shared" si="24"/>
        <v>10</v>
      </c>
      <c r="O123" s="90">
        <f t="shared" si="24"/>
        <v>10</v>
      </c>
      <c r="P123" s="90">
        <f t="shared" si="24"/>
        <v>0</v>
      </c>
      <c r="Q123" s="90">
        <f t="shared" si="24"/>
        <v>10</v>
      </c>
      <c r="R123" s="90">
        <f t="shared" si="24"/>
        <v>10</v>
      </c>
      <c r="S123" s="90">
        <f t="shared" si="24"/>
        <v>0</v>
      </c>
      <c r="T123" s="90">
        <f t="shared" si="24"/>
        <v>10</v>
      </c>
    </row>
    <row r="124" spans="1:20">
      <c r="B124" s="12" t="s">
        <v>307</v>
      </c>
      <c r="C124">
        <f t="shared" ref="C124:J131" si="25">AA53</f>
        <v>13735.1396184683</v>
      </c>
      <c r="D124">
        <f t="shared" si="25"/>
        <v>13735.1396184683</v>
      </c>
      <c r="E124">
        <f t="shared" si="25"/>
        <v>13735.1396184683</v>
      </c>
      <c r="F124">
        <f t="shared" si="25"/>
        <v>13735.1396184683</v>
      </c>
      <c r="G124">
        <f t="shared" si="25"/>
        <v>13735.1396184683</v>
      </c>
      <c r="H124">
        <f t="shared" si="25"/>
        <v>13735.1396184683</v>
      </c>
      <c r="I124">
        <f t="shared" si="25"/>
        <v>13735.1396184683</v>
      </c>
      <c r="J124">
        <f t="shared" si="25"/>
        <v>13735.1396184683</v>
      </c>
    </row>
    <row r="125" spans="1:20">
      <c r="B125" s="14" t="s">
        <v>308</v>
      </c>
      <c r="C125">
        <f t="shared" si="25"/>
        <v>13735.1396184683</v>
      </c>
      <c r="D125">
        <f t="shared" si="25"/>
        <v>13735.1396184683</v>
      </c>
      <c r="E125">
        <f t="shared" si="25"/>
        <v>13735.1396184683</v>
      </c>
      <c r="F125">
        <f t="shared" si="25"/>
        <v>13735.1396184683</v>
      </c>
      <c r="G125">
        <f t="shared" si="25"/>
        <v>13735.1396184683</v>
      </c>
      <c r="H125">
        <f t="shared" si="25"/>
        <v>13735.1396184683</v>
      </c>
      <c r="I125">
        <f t="shared" si="25"/>
        <v>13735.1396184683</v>
      </c>
      <c r="J125">
        <f t="shared" si="25"/>
        <v>13735.1396184683</v>
      </c>
    </row>
    <row r="126" spans="1:20">
      <c r="B126" s="14" t="s">
        <v>309</v>
      </c>
      <c r="C126">
        <f t="shared" si="25"/>
        <v>13735.1396184683</v>
      </c>
      <c r="D126">
        <f t="shared" si="25"/>
        <v>13735.1396184683</v>
      </c>
      <c r="E126">
        <f t="shared" si="25"/>
        <v>13735.1396184683</v>
      </c>
      <c r="F126">
        <f t="shared" si="25"/>
        <v>13735.1396184683</v>
      </c>
      <c r="G126">
        <f t="shared" si="25"/>
        <v>13735.1396184683</v>
      </c>
      <c r="H126">
        <f t="shared" si="25"/>
        <v>13735.1396184683</v>
      </c>
      <c r="I126">
        <f t="shared" si="25"/>
        <v>13735.1396184683</v>
      </c>
      <c r="J126">
        <f t="shared" si="25"/>
        <v>13735.1396184683</v>
      </c>
    </row>
    <row r="127" spans="1:20">
      <c r="B127" s="14" t="s">
        <v>142</v>
      </c>
      <c r="C127">
        <f t="shared" si="25"/>
        <v>13709.2316196794</v>
      </c>
      <c r="D127">
        <f t="shared" si="25"/>
        <v>13709.2316196794</v>
      </c>
      <c r="E127">
        <f t="shared" si="25"/>
        <v>13709.2316196794</v>
      </c>
      <c r="F127">
        <f t="shared" si="25"/>
        <v>13709.2316196794</v>
      </c>
      <c r="G127">
        <f t="shared" si="25"/>
        <v>13709.2316196794</v>
      </c>
      <c r="H127">
        <f t="shared" si="25"/>
        <v>13709.2316196794</v>
      </c>
      <c r="I127">
        <f t="shared" si="25"/>
        <v>13709.2316196794</v>
      </c>
      <c r="J127">
        <f t="shared" si="25"/>
        <v>13709.2316196794</v>
      </c>
    </row>
    <row r="128" spans="1:20">
      <c r="B128" s="14" t="s">
        <v>296</v>
      </c>
      <c r="C128">
        <f t="shared" si="25"/>
        <v>13753.1068765534</v>
      </c>
      <c r="D128">
        <f t="shared" si="25"/>
        <v>13731.3432835821</v>
      </c>
      <c r="E128">
        <f t="shared" si="25"/>
        <v>13731.3432835821</v>
      </c>
      <c r="F128">
        <f t="shared" si="25"/>
        <v>13731.3432835821</v>
      </c>
      <c r="G128">
        <f t="shared" si="25"/>
        <v>13731.3432835821</v>
      </c>
      <c r="H128">
        <f t="shared" si="25"/>
        <v>13731.3432835821</v>
      </c>
      <c r="I128">
        <f t="shared" si="25"/>
        <v>13731.3432835821</v>
      </c>
      <c r="J128">
        <f t="shared" si="25"/>
        <v>13731.3432835821</v>
      </c>
    </row>
    <row r="129" spans="2:10">
      <c r="B129" s="14" t="s">
        <v>143</v>
      </c>
      <c r="C129">
        <f t="shared" si="25"/>
        <v>13713.021841304901</v>
      </c>
      <c r="D129">
        <f t="shared" si="25"/>
        <v>13713.021841304901</v>
      </c>
      <c r="E129">
        <f t="shared" si="25"/>
        <v>13713.021841304901</v>
      </c>
      <c r="F129">
        <f t="shared" si="25"/>
        <v>13713.021841304901</v>
      </c>
      <c r="G129">
        <f t="shared" si="25"/>
        <v>13713.021841304901</v>
      </c>
      <c r="H129">
        <f t="shared" si="25"/>
        <v>13713.021841304901</v>
      </c>
      <c r="I129">
        <f t="shared" si="25"/>
        <v>13713.021841304901</v>
      </c>
      <c r="J129">
        <f t="shared" si="25"/>
        <v>13713.021841304901</v>
      </c>
    </row>
    <row r="130" spans="2:10">
      <c r="B130" s="14" t="s">
        <v>310</v>
      </c>
      <c r="C130">
        <f t="shared" si="25"/>
        <v>13779.3751727951</v>
      </c>
      <c r="D130">
        <f t="shared" si="25"/>
        <v>13779.3751727951</v>
      </c>
      <c r="E130">
        <f t="shared" si="25"/>
        <v>13779.3751727951</v>
      </c>
      <c r="F130">
        <f t="shared" si="25"/>
        <v>13779.3751727951</v>
      </c>
      <c r="G130">
        <f t="shared" si="25"/>
        <v>13779.3751727951</v>
      </c>
      <c r="H130">
        <f t="shared" si="25"/>
        <v>13779.3751727951</v>
      </c>
      <c r="I130">
        <f t="shared" si="25"/>
        <v>13779.3751727951</v>
      </c>
      <c r="J130">
        <f t="shared" si="25"/>
        <v>13779.3751727951</v>
      </c>
    </row>
    <row r="131" spans="2:10">
      <c r="B131" s="17" t="s">
        <v>311</v>
      </c>
      <c r="C131">
        <f t="shared" si="25"/>
        <v>13757.395631739</v>
      </c>
      <c r="D131">
        <f t="shared" si="25"/>
        <v>13757.395631739</v>
      </c>
      <c r="E131">
        <f t="shared" si="25"/>
        <v>13757.395631739</v>
      </c>
      <c r="F131">
        <f t="shared" si="25"/>
        <v>13757.395631739</v>
      </c>
      <c r="G131">
        <f t="shared" si="25"/>
        <v>13757.395631739</v>
      </c>
      <c r="H131">
        <f t="shared" si="25"/>
        <v>13757.395631739</v>
      </c>
      <c r="I131">
        <f t="shared" si="25"/>
        <v>13757.395631739</v>
      </c>
      <c r="J131">
        <f t="shared" si="25"/>
        <v>13757.395631739</v>
      </c>
    </row>
    <row r="133" spans="2:10">
      <c r="B133" t="s">
        <v>297</v>
      </c>
      <c r="C133">
        <v>2015</v>
      </c>
      <c r="D133">
        <v>2020</v>
      </c>
      <c r="E133">
        <v>2025</v>
      </c>
      <c r="F133">
        <v>2030</v>
      </c>
      <c r="G133">
        <v>2035</v>
      </c>
      <c r="H133">
        <v>2040</v>
      </c>
      <c r="I133">
        <v>2045</v>
      </c>
      <c r="J133">
        <v>2050</v>
      </c>
    </row>
    <row r="134" spans="2:10">
      <c r="C134">
        <f t="shared" ref="C134:J134" si="26">Z9</f>
        <v>13730</v>
      </c>
      <c r="D134">
        <f t="shared" si="26"/>
        <v>13730</v>
      </c>
      <c r="E134">
        <f t="shared" si="26"/>
        <v>13730</v>
      </c>
      <c r="F134">
        <f t="shared" si="26"/>
        <v>13730</v>
      </c>
      <c r="G134">
        <f t="shared" si="26"/>
        <v>13730</v>
      </c>
      <c r="H134">
        <f t="shared" si="26"/>
        <v>13730</v>
      </c>
      <c r="I134">
        <f t="shared" si="26"/>
        <v>13730</v>
      </c>
      <c r="J134">
        <f t="shared" si="26"/>
        <v>13730</v>
      </c>
    </row>
    <row r="136" spans="2:10">
      <c r="B136" t="s">
        <v>325</v>
      </c>
      <c r="C136">
        <v>2015</v>
      </c>
      <c r="D136">
        <v>2020</v>
      </c>
      <c r="E136">
        <v>2025</v>
      </c>
      <c r="F136">
        <v>2030</v>
      </c>
      <c r="G136">
        <v>2035</v>
      </c>
      <c r="H136">
        <v>2040</v>
      </c>
      <c r="I136">
        <v>2045</v>
      </c>
      <c r="J136">
        <v>2050</v>
      </c>
    </row>
    <row r="137" spans="2:10">
      <c r="B137" s="12" t="s">
        <v>307</v>
      </c>
      <c r="C137" s="131">
        <v>0</v>
      </c>
      <c r="D137">
        <f t="shared" ref="D137:J144" si="27">AB61</f>
        <v>3671.5510091235801</v>
      </c>
      <c r="E137">
        <f t="shared" si="27"/>
        <v>3671.5510091235801</v>
      </c>
      <c r="F137">
        <f t="shared" si="27"/>
        <v>3760.02211777716</v>
      </c>
      <c r="G137">
        <f t="shared" si="27"/>
        <v>3760.02211777716</v>
      </c>
      <c r="H137">
        <f t="shared" si="27"/>
        <v>3848.4932264307399</v>
      </c>
      <c r="I137">
        <f t="shared" si="27"/>
        <v>3914.9847940282002</v>
      </c>
      <c r="J137">
        <f t="shared" si="27"/>
        <v>4003.31766657451</v>
      </c>
    </row>
    <row r="138" spans="2:10">
      <c r="B138" s="14" t="s">
        <v>308</v>
      </c>
      <c r="C138" s="131">
        <v>0</v>
      </c>
      <c r="D138">
        <f t="shared" si="27"/>
        <v>3737.9043406137698</v>
      </c>
      <c r="E138">
        <f t="shared" si="27"/>
        <v>3914.8465579209301</v>
      </c>
      <c r="F138">
        <f t="shared" si="27"/>
        <v>3981.1998894111098</v>
      </c>
      <c r="G138">
        <f t="shared" si="27"/>
        <v>4136.0243295548798</v>
      </c>
      <c r="H138">
        <f t="shared" si="27"/>
        <v>4312.9665468620396</v>
      </c>
      <c r="I138">
        <f t="shared" si="27"/>
        <v>4534.1443184959899</v>
      </c>
      <c r="J138">
        <f t="shared" si="27"/>
        <v>4777.4398672933403</v>
      </c>
    </row>
    <row r="139" spans="2:10">
      <c r="B139" s="14" t="s">
        <v>309</v>
      </c>
      <c r="C139" s="131">
        <v>0</v>
      </c>
      <c r="D139">
        <f t="shared" si="27"/>
        <v>3760.02211777716</v>
      </c>
      <c r="E139">
        <f t="shared" si="27"/>
        <v>3914.9847940282002</v>
      </c>
      <c r="F139">
        <f t="shared" si="27"/>
        <v>4003.31766657451</v>
      </c>
      <c r="G139">
        <f t="shared" si="27"/>
        <v>4158.14210671828</v>
      </c>
      <c r="H139">
        <f t="shared" si="27"/>
        <v>4312.9665468620396</v>
      </c>
      <c r="I139">
        <f t="shared" si="27"/>
        <v>4556.2620956593901</v>
      </c>
      <c r="J139">
        <f t="shared" si="27"/>
        <v>4799.6958805639997</v>
      </c>
    </row>
    <row r="140" spans="2:10">
      <c r="B140" s="14" t="s">
        <v>142</v>
      </c>
      <c r="C140" s="131">
        <v>0</v>
      </c>
      <c r="D140">
        <f t="shared" si="27"/>
        <v>3637.3687119955798</v>
      </c>
      <c r="E140">
        <f t="shared" si="27"/>
        <v>3670.67440574903</v>
      </c>
      <c r="F140">
        <f t="shared" si="27"/>
        <v>3758.9828634604801</v>
      </c>
      <c r="G140">
        <f t="shared" si="27"/>
        <v>3758.9828634604801</v>
      </c>
      <c r="H140">
        <f t="shared" si="27"/>
        <v>3847.4295190713101</v>
      </c>
      <c r="I140">
        <f t="shared" si="27"/>
        <v>3913.7645107794401</v>
      </c>
      <c r="J140">
        <f t="shared" si="27"/>
        <v>4002.3493642896601</v>
      </c>
    </row>
    <row r="141" spans="2:10">
      <c r="B141" s="14" t="s">
        <v>296</v>
      </c>
      <c r="C141" s="131">
        <v>0</v>
      </c>
      <c r="D141">
        <f t="shared" si="27"/>
        <v>3736.8711995577701</v>
      </c>
      <c r="E141">
        <f t="shared" si="27"/>
        <v>3891.6528468767301</v>
      </c>
      <c r="F141">
        <f t="shared" si="27"/>
        <v>3980.0995024875601</v>
      </c>
      <c r="G141">
        <f t="shared" si="27"/>
        <v>4135.0193477059101</v>
      </c>
      <c r="H141">
        <f t="shared" si="27"/>
        <v>4289.6627971254802</v>
      </c>
      <c r="I141">
        <f t="shared" si="27"/>
        <v>4532.8911000552798</v>
      </c>
      <c r="J141">
        <f t="shared" si="27"/>
        <v>4776.1194029850803</v>
      </c>
    </row>
    <row r="142" spans="2:10">
      <c r="B142" s="14" t="s">
        <v>143</v>
      </c>
      <c r="C142" s="131">
        <v>0</v>
      </c>
      <c r="D142">
        <f t="shared" si="27"/>
        <v>3760.02211777716</v>
      </c>
      <c r="E142">
        <f t="shared" si="27"/>
        <v>3914.8465579209301</v>
      </c>
      <c r="F142">
        <f t="shared" si="27"/>
        <v>3981.1998894111098</v>
      </c>
      <c r="G142">
        <f t="shared" si="27"/>
        <v>4158.14210671828</v>
      </c>
      <c r="H142">
        <f t="shared" si="27"/>
        <v>4312.9665468620396</v>
      </c>
      <c r="I142">
        <f t="shared" si="27"/>
        <v>4556.2620956593901</v>
      </c>
      <c r="J142">
        <f t="shared" si="27"/>
        <v>4777.4398672933403</v>
      </c>
    </row>
    <row r="143" spans="2:10">
      <c r="B143" s="14" t="s">
        <v>310</v>
      </c>
      <c r="C143" s="131">
        <v>0</v>
      </c>
      <c r="D143">
        <f t="shared" si="27"/>
        <v>3671.6892452308498</v>
      </c>
      <c r="E143">
        <f t="shared" si="27"/>
        <v>3671.6892452308498</v>
      </c>
      <c r="F143">
        <f t="shared" si="27"/>
        <v>3760.02211777716</v>
      </c>
      <c r="G143">
        <f t="shared" si="27"/>
        <v>3760.02211777716</v>
      </c>
      <c r="H143">
        <f t="shared" si="27"/>
        <v>3826.3754492673502</v>
      </c>
      <c r="I143">
        <f t="shared" si="27"/>
        <v>3914.8465579209301</v>
      </c>
      <c r="J143">
        <f t="shared" si="27"/>
        <v>3981.1998894111098</v>
      </c>
    </row>
    <row r="144" spans="2:10">
      <c r="B144" s="17" t="s">
        <v>311</v>
      </c>
      <c r="C144" s="131">
        <v>0</v>
      </c>
      <c r="D144">
        <f t="shared" si="27"/>
        <v>3760.02211777716</v>
      </c>
      <c r="E144">
        <f t="shared" si="27"/>
        <v>3914.7083218136599</v>
      </c>
      <c r="F144">
        <f t="shared" si="27"/>
        <v>4003.1794304672399</v>
      </c>
      <c r="G144">
        <f t="shared" si="27"/>
        <v>4158.0038706109999</v>
      </c>
      <c r="H144">
        <f t="shared" si="27"/>
        <v>4312.9665468620396</v>
      </c>
      <c r="I144">
        <f t="shared" si="27"/>
        <v>4556.1238595521199</v>
      </c>
      <c r="J144">
        <f t="shared" si="27"/>
        <v>4799.4194083494604</v>
      </c>
    </row>
    <row r="147" spans="1:11">
      <c r="A147" t="s">
        <v>60</v>
      </c>
      <c r="B147" s="211" t="s">
        <v>326</v>
      </c>
      <c r="C147" s="211"/>
      <c r="D147" s="211"/>
      <c r="E147" s="211"/>
      <c r="F147" s="211"/>
    </row>
    <row r="148" spans="1:11">
      <c r="A148" t="s">
        <v>100</v>
      </c>
      <c r="B148" s="211"/>
      <c r="C148" s="211"/>
      <c r="D148" s="211"/>
      <c r="E148" s="211"/>
      <c r="F148" s="211"/>
    </row>
    <row r="150" spans="1:11">
      <c r="B150" t="s">
        <v>303</v>
      </c>
      <c r="C150">
        <v>2015</v>
      </c>
      <c r="D150">
        <v>2020</v>
      </c>
      <c r="E150">
        <v>2025</v>
      </c>
      <c r="F150">
        <v>2030</v>
      </c>
      <c r="G150">
        <v>2035</v>
      </c>
      <c r="H150">
        <v>2040</v>
      </c>
      <c r="I150">
        <v>2045</v>
      </c>
      <c r="J150">
        <v>2050</v>
      </c>
    </row>
    <row r="151" spans="1:11">
      <c r="A151" t="s">
        <v>317</v>
      </c>
      <c r="B151" s="12" t="s">
        <v>307</v>
      </c>
      <c r="C151">
        <f t="shared" ref="C151:J158" si="28">AA21</f>
        <v>309.51064418025999</v>
      </c>
      <c r="D151">
        <f t="shared" si="28"/>
        <v>243.433784904617</v>
      </c>
      <c r="E151">
        <f t="shared" si="28"/>
        <v>154.824440143766</v>
      </c>
      <c r="F151">
        <f t="shared" si="28"/>
        <v>88.471108653580302</v>
      </c>
      <c r="G151">
        <f t="shared" si="28"/>
        <v>154.96267625103701</v>
      </c>
      <c r="H151">
        <f t="shared" si="28"/>
        <v>0</v>
      </c>
      <c r="I151">
        <f t="shared" si="28"/>
        <v>0</v>
      </c>
      <c r="J151">
        <f t="shared" si="28"/>
        <v>0</v>
      </c>
      <c r="K151" t="str">
        <f t="shared" ref="K151:K158" si="29">A151&amp;"."&amp;B151</f>
        <v>OIL_GAS.NEP C</v>
      </c>
    </row>
    <row r="152" spans="1:11">
      <c r="A152" t="s">
        <v>317</v>
      </c>
      <c r="B152" s="14" t="s">
        <v>308</v>
      </c>
      <c r="C152">
        <f t="shared" si="28"/>
        <v>309.64888028753097</v>
      </c>
      <c r="D152">
        <f t="shared" si="28"/>
        <v>331.766657450926</v>
      </c>
      <c r="E152">
        <f t="shared" si="28"/>
        <v>154.824440143766</v>
      </c>
      <c r="F152">
        <f t="shared" si="28"/>
        <v>88.609344760851499</v>
      </c>
      <c r="G152">
        <f t="shared" si="28"/>
        <v>88.471108653580302</v>
      </c>
      <c r="H152">
        <f t="shared" si="28"/>
        <v>0</v>
      </c>
      <c r="I152">
        <f t="shared" si="28"/>
        <v>0</v>
      </c>
      <c r="J152">
        <f t="shared" si="28"/>
        <v>0</v>
      </c>
      <c r="K152" t="str">
        <f t="shared" si="29"/>
        <v>OIL_GAS.NEP C&amp;E</v>
      </c>
    </row>
    <row r="153" spans="1:11">
      <c r="A153" t="s">
        <v>317</v>
      </c>
      <c r="B153" s="14" t="s">
        <v>309</v>
      </c>
      <c r="C153">
        <f t="shared" si="28"/>
        <v>331.766657450926</v>
      </c>
      <c r="D153">
        <f t="shared" si="28"/>
        <v>309.64888028753097</v>
      </c>
      <c r="E153">
        <f t="shared" si="28"/>
        <v>154.96267625103701</v>
      </c>
      <c r="F153">
        <f t="shared" si="28"/>
        <v>88.471108653580302</v>
      </c>
      <c r="G153">
        <f t="shared" si="28"/>
        <v>88.609344760851499</v>
      </c>
      <c r="H153">
        <f t="shared" si="28"/>
        <v>0</v>
      </c>
      <c r="I153">
        <f t="shared" si="28"/>
        <v>0</v>
      </c>
      <c r="J153">
        <f t="shared" si="28"/>
        <v>0</v>
      </c>
      <c r="K153" t="str">
        <f t="shared" si="29"/>
        <v>OIL_GAS.NEP E</v>
      </c>
    </row>
    <row r="154" spans="1:11">
      <c r="A154" t="s">
        <v>317</v>
      </c>
      <c r="B154" s="14" t="s">
        <v>142</v>
      </c>
      <c r="C154">
        <f t="shared" si="28"/>
        <v>309.56329463792201</v>
      </c>
      <c r="D154">
        <f t="shared" si="28"/>
        <v>243.090105030404</v>
      </c>
      <c r="E154">
        <f t="shared" si="28"/>
        <v>154.919845218353</v>
      </c>
      <c r="F154">
        <f t="shared" si="28"/>
        <v>88.446655610834696</v>
      </c>
      <c r="G154">
        <f t="shared" si="28"/>
        <v>88.446655610834696</v>
      </c>
      <c r="H154">
        <f t="shared" si="28"/>
        <v>0</v>
      </c>
      <c r="I154">
        <f t="shared" si="28"/>
        <v>0</v>
      </c>
      <c r="J154">
        <f t="shared" si="28"/>
        <v>0</v>
      </c>
      <c r="K154" t="str">
        <f t="shared" si="29"/>
        <v>OIL_GAS.POM C</v>
      </c>
    </row>
    <row r="155" spans="1:11">
      <c r="A155" t="s">
        <v>317</v>
      </c>
      <c r="B155" s="14" t="s">
        <v>296</v>
      </c>
      <c r="C155">
        <f t="shared" si="28"/>
        <v>331.40016570008299</v>
      </c>
      <c r="D155">
        <f t="shared" si="28"/>
        <v>331.67495854062997</v>
      </c>
      <c r="E155">
        <f t="shared" si="28"/>
        <v>154.64344941956901</v>
      </c>
      <c r="F155">
        <f t="shared" si="28"/>
        <v>88.308457711442799</v>
      </c>
      <c r="G155">
        <f t="shared" si="28"/>
        <v>88.170259812050901</v>
      </c>
      <c r="H155">
        <f t="shared" si="28"/>
        <v>0</v>
      </c>
      <c r="I155">
        <f t="shared" si="28"/>
        <v>0</v>
      </c>
      <c r="J155">
        <f t="shared" si="28"/>
        <v>0</v>
      </c>
      <c r="K155" t="str">
        <f t="shared" si="29"/>
        <v>OIL_GAS.POM C&amp;E</v>
      </c>
    </row>
    <row r="156" spans="1:11">
      <c r="A156" t="s">
        <v>317</v>
      </c>
      <c r="B156" s="14" t="s">
        <v>143</v>
      </c>
      <c r="C156">
        <f t="shared" si="28"/>
        <v>309.78711639480201</v>
      </c>
      <c r="D156">
        <f t="shared" si="28"/>
        <v>331.766657450926</v>
      </c>
      <c r="E156">
        <f t="shared" si="28"/>
        <v>154.68620403649399</v>
      </c>
      <c r="F156">
        <f t="shared" si="28"/>
        <v>88.332872546309105</v>
      </c>
      <c r="G156">
        <f t="shared" si="28"/>
        <v>66.353331490185198</v>
      </c>
      <c r="H156">
        <f t="shared" si="28"/>
        <v>0</v>
      </c>
      <c r="I156">
        <f t="shared" si="28"/>
        <v>0</v>
      </c>
      <c r="J156">
        <f t="shared" si="28"/>
        <v>0</v>
      </c>
      <c r="K156" t="str">
        <f t="shared" si="29"/>
        <v>OIL_GAS.POM E</v>
      </c>
    </row>
    <row r="157" spans="1:11">
      <c r="A157" t="s">
        <v>317</v>
      </c>
      <c r="B157" s="14" t="s">
        <v>310</v>
      </c>
      <c r="C157">
        <f t="shared" si="28"/>
        <v>331.766657450926</v>
      </c>
      <c r="D157">
        <f t="shared" si="28"/>
        <v>243.157312690075</v>
      </c>
      <c r="E157">
        <f t="shared" si="28"/>
        <v>154.96267625103701</v>
      </c>
      <c r="F157">
        <f t="shared" si="28"/>
        <v>88.471108653580302</v>
      </c>
      <c r="G157">
        <f t="shared" si="28"/>
        <v>66.353331490185198</v>
      </c>
      <c r="H157">
        <f t="shared" si="28"/>
        <v>0</v>
      </c>
      <c r="I157">
        <f t="shared" si="28"/>
        <v>0</v>
      </c>
      <c r="J157">
        <f t="shared" si="28"/>
        <v>0</v>
      </c>
      <c r="K157" t="str">
        <f t="shared" si="29"/>
        <v>OIL_GAS.WWB C</v>
      </c>
    </row>
    <row r="158" spans="1:11">
      <c r="A158" t="s">
        <v>317</v>
      </c>
      <c r="B158" s="17" t="s">
        <v>311</v>
      </c>
      <c r="C158">
        <f t="shared" si="28"/>
        <v>309.51064418025999</v>
      </c>
      <c r="D158">
        <f t="shared" si="28"/>
        <v>309.51064418025999</v>
      </c>
      <c r="E158">
        <f t="shared" si="28"/>
        <v>154.68620403649399</v>
      </c>
      <c r="F158">
        <f t="shared" si="28"/>
        <v>66.215095382914001</v>
      </c>
      <c r="G158">
        <f t="shared" si="28"/>
        <v>66.353331490185198</v>
      </c>
      <c r="H158">
        <f t="shared" si="28"/>
        <v>0</v>
      </c>
      <c r="I158">
        <f t="shared" si="28"/>
        <v>0</v>
      </c>
      <c r="J158">
        <f t="shared" si="28"/>
        <v>0</v>
      </c>
      <c r="K158" t="str">
        <f t="shared" si="29"/>
        <v>OIL_GAS.WWB C&amp;E</v>
      </c>
    </row>
    <row r="160" spans="1:11">
      <c r="B160" t="s">
        <v>297</v>
      </c>
      <c r="C160">
        <v>2015</v>
      </c>
      <c r="D160">
        <v>2020</v>
      </c>
      <c r="E160">
        <v>2025</v>
      </c>
      <c r="F160">
        <v>2030</v>
      </c>
      <c r="G160">
        <v>2035</v>
      </c>
      <c r="H160">
        <v>2040</v>
      </c>
      <c r="I160">
        <v>2045</v>
      </c>
      <c r="J160">
        <v>2050</v>
      </c>
    </row>
    <row r="161" spans="1:11">
      <c r="C161">
        <f t="shared" ref="C161:J161" si="30">Z7</f>
        <v>354</v>
      </c>
      <c r="D161">
        <f t="shared" si="30"/>
        <v>277</v>
      </c>
      <c r="E161">
        <f t="shared" si="30"/>
        <v>175</v>
      </c>
      <c r="F161">
        <f t="shared" si="30"/>
        <v>118</v>
      </c>
      <c r="G161">
        <f t="shared" si="30"/>
        <v>60</v>
      </c>
      <c r="H161">
        <f t="shared" si="30"/>
        <v>0</v>
      </c>
      <c r="I161">
        <f t="shared" si="30"/>
        <v>0</v>
      </c>
      <c r="J161">
        <f t="shared" si="30"/>
        <v>0</v>
      </c>
    </row>
    <row r="163" spans="1:11">
      <c r="A163" t="s">
        <v>441</v>
      </c>
      <c r="B163" t="s">
        <v>327</v>
      </c>
    </row>
    <row r="165" spans="1:11">
      <c r="B165" t="s">
        <v>303</v>
      </c>
      <c r="C165">
        <v>2015</v>
      </c>
      <c r="D165">
        <v>2020</v>
      </c>
      <c r="E165">
        <v>2025</v>
      </c>
      <c r="F165">
        <v>2030</v>
      </c>
      <c r="G165">
        <v>2035</v>
      </c>
      <c r="H165">
        <v>2040</v>
      </c>
      <c r="I165">
        <v>2045</v>
      </c>
      <c r="J165">
        <v>2050</v>
      </c>
    </row>
    <row r="166" spans="1:11">
      <c r="A166" t="s">
        <v>441</v>
      </c>
      <c r="B166" s="12" t="s">
        <v>307</v>
      </c>
      <c r="C166">
        <f t="shared" ref="C166:J173" si="31">AA45+AA29</f>
        <v>154.824440143766</v>
      </c>
      <c r="D166">
        <f t="shared" si="31"/>
        <v>398.11998894111099</v>
      </c>
      <c r="E166">
        <f t="shared" si="31"/>
        <v>1039.3972905722981</v>
      </c>
      <c r="F166">
        <f t="shared" si="31"/>
        <v>2233.8954935029069</v>
      </c>
      <c r="G166">
        <f t="shared" si="31"/>
        <v>3339.7843516726571</v>
      </c>
      <c r="H166">
        <f t="shared" si="31"/>
        <v>3362.0403649433192</v>
      </c>
      <c r="I166">
        <f t="shared" si="31"/>
        <v>3450.096765275086</v>
      </c>
      <c r="J166">
        <f t="shared" si="31"/>
        <v>3428.393696433513</v>
      </c>
      <c r="K166" t="str">
        <f t="shared" ref="K166:K173" si="32">A166&amp;"."&amp;B166</f>
        <v>GAS_NEW.NEP C</v>
      </c>
    </row>
    <row r="167" spans="1:11">
      <c r="A167" t="s">
        <v>441</v>
      </c>
      <c r="B167" s="14" t="s">
        <v>308</v>
      </c>
      <c r="C167">
        <f t="shared" si="31"/>
        <v>154.824440143766</v>
      </c>
      <c r="D167">
        <f t="shared" si="31"/>
        <v>309.64888028753097</v>
      </c>
      <c r="E167">
        <f t="shared" si="31"/>
        <v>1039.6737627868401</v>
      </c>
      <c r="F167">
        <f t="shared" si="31"/>
        <v>1105.888858169754</v>
      </c>
      <c r="G167">
        <f t="shared" si="31"/>
        <v>2698.2305778269269</v>
      </c>
      <c r="H167">
        <f t="shared" si="31"/>
        <v>2875.1727951340872</v>
      </c>
      <c r="I167">
        <f t="shared" si="31"/>
        <v>2964.0586121094793</v>
      </c>
      <c r="J167">
        <f t="shared" si="31"/>
        <v>2963.643903787668</v>
      </c>
      <c r="K167" t="str">
        <f t="shared" si="32"/>
        <v>GAS_NEW.NEP C&amp;E</v>
      </c>
    </row>
    <row r="168" spans="1:11">
      <c r="A168" t="s">
        <v>441</v>
      </c>
      <c r="B168" s="14" t="s">
        <v>309</v>
      </c>
      <c r="C168">
        <f t="shared" si="31"/>
        <v>176.80398119988899</v>
      </c>
      <c r="D168">
        <f t="shared" si="31"/>
        <v>331.766657450926</v>
      </c>
      <c r="E168">
        <f t="shared" si="31"/>
        <v>232.098424108377</v>
      </c>
      <c r="F168">
        <f t="shared" si="31"/>
        <v>552.94442908487702</v>
      </c>
      <c r="G168">
        <f t="shared" si="31"/>
        <v>575.06220624827199</v>
      </c>
      <c r="H168">
        <f t="shared" si="31"/>
        <v>641.41553773845703</v>
      </c>
      <c r="I168">
        <f t="shared" si="31"/>
        <v>729.88664639203796</v>
      </c>
      <c r="J168">
        <f t="shared" si="31"/>
        <v>707.63063312137103</v>
      </c>
      <c r="K168" t="str">
        <f t="shared" si="32"/>
        <v>GAS_NEW.NEP E</v>
      </c>
    </row>
    <row r="169" spans="1:11">
      <c r="A169" t="s">
        <v>441</v>
      </c>
      <c r="B169" s="14" t="s">
        <v>142</v>
      </c>
      <c r="C169">
        <f t="shared" si="31"/>
        <v>154.919845218353</v>
      </c>
      <c r="D169">
        <f t="shared" si="31"/>
        <v>398.00995024875601</v>
      </c>
      <c r="E169">
        <f t="shared" si="31"/>
        <v>1614.2896627971231</v>
      </c>
      <c r="F169">
        <f t="shared" si="31"/>
        <v>2211.3045881702569</v>
      </c>
      <c r="G169">
        <f t="shared" si="31"/>
        <v>3980.2377003869578</v>
      </c>
      <c r="H169">
        <f t="shared" si="31"/>
        <v>4002.349364289666</v>
      </c>
      <c r="I169">
        <f t="shared" si="31"/>
        <v>4002.2111663902751</v>
      </c>
      <c r="J169">
        <f t="shared" si="31"/>
        <v>3979.9613045881661</v>
      </c>
      <c r="K169" t="str">
        <f t="shared" si="32"/>
        <v>GAS_NEW.POM C</v>
      </c>
    </row>
    <row r="170" spans="1:11">
      <c r="A170" t="s">
        <v>441</v>
      </c>
      <c r="B170" s="14" t="s">
        <v>296</v>
      </c>
      <c r="C170">
        <f t="shared" si="31"/>
        <v>154.51532725766401</v>
      </c>
      <c r="D170">
        <f t="shared" si="31"/>
        <v>331.67495854062997</v>
      </c>
      <c r="E170">
        <f t="shared" si="31"/>
        <v>1039.3864013267</v>
      </c>
      <c r="F170">
        <f t="shared" si="31"/>
        <v>1680.624654505247</v>
      </c>
      <c r="G170">
        <f t="shared" si="31"/>
        <v>3360.69651741294</v>
      </c>
      <c r="H170">
        <f t="shared" si="31"/>
        <v>3493.2283029297937</v>
      </c>
      <c r="I170">
        <f t="shared" si="31"/>
        <v>3516.0309563294659</v>
      </c>
      <c r="J170">
        <f t="shared" si="31"/>
        <v>3449.1431730237746</v>
      </c>
      <c r="K170" t="str">
        <f t="shared" si="32"/>
        <v>GAS_NEW.POM C&amp;E</v>
      </c>
    </row>
    <row r="171" spans="1:11">
      <c r="A171" t="s">
        <v>441</v>
      </c>
      <c r="B171" s="14" t="s">
        <v>143</v>
      </c>
      <c r="C171">
        <f t="shared" si="31"/>
        <v>154.96267625103701</v>
      </c>
      <c r="D171">
        <f t="shared" si="31"/>
        <v>309.78711639480201</v>
      </c>
      <c r="E171">
        <f t="shared" si="31"/>
        <v>486.59109759469197</v>
      </c>
      <c r="F171">
        <f t="shared" si="31"/>
        <v>552.94442908487702</v>
      </c>
      <c r="G171">
        <f t="shared" si="31"/>
        <v>552.94442908487702</v>
      </c>
      <c r="H171">
        <f t="shared" si="31"/>
        <v>619.43599668233401</v>
      </c>
      <c r="I171">
        <f t="shared" si="31"/>
        <v>707.76886922864298</v>
      </c>
      <c r="J171">
        <f t="shared" si="31"/>
        <v>730.024882499309</v>
      </c>
      <c r="K171" t="str">
        <f t="shared" si="32"/>
        <v>GAS_NEW.POM E</v>
      </c>
    </row>
    <row r="172" spans="1:11">
      <c r="A172" t="s">
        <v>441</v>
      </c>
      <c r="B172" s="14" t="s">
        <v>310</v>
      </c>
      <c r="C172">
        <f t="shared" si="31"/>
        <v>154.96267625103701</v>
      </c>
      <c r="D172">
        <f t="shared" si="31"/>
        <v>973.32043129665499</v>
      </c>
      <c r="E172">
        <f t="shared" si="31"/>
        <v>2057.0915123030181</v>
      </c>
      <c r="F172">
        <f t="shared" si="31"/>
        <v>2786.839922587777</v>
      </c>
      <c r="G172">
        <f t="shared" si="31"/>
        <v>5042.8531932540764</v>
      </c>
      <c r="H172">
        <f t="shared" si="31"/>
        <v>5042.8531932540764</v>
      </c>
      <c r="I172">
        <f t="shared" si="31"/>
        <v>5109.3447608515326</v>
      </c>
      <c r="J172">
        <f t="shared" si="31"/>
        <v>5131.3243019076572</v>
      </c>
      <c r="K172" t="str">
        <f t="shared" si="32"/>
        <v>GAS_NEW.WWB C</v>
      </c>
    </row>
    <row r="173" spans="1:11">
      <c r="A173" t="s">
        <v>441</v>
      </c>
      <c r="B173" s="17" t="s">
        <v>311</v>
      </c>
      <c r="C173">
        <f t="shared" si="31"/>
        <v>177.08045341443199</v>
      </c>
      <c r="D173">
        <f t="shared" si="31"/>
        <v>906.69062759192695</v>
      </c>
      <c r="E173">
        <f t="shared" si="31"/>
        <v>1592.4799557644419</v>
      </c>
      <c r="F173">
        <f t="shared" si="31"/>
        <v>2167.5421620127222</v>
      </c>
      <c r="G173">
        <f t="shared" si="31"/>
        <v>3826.375449267347</v>
      </c>
      <c r="H173">
        <f t="shared" si="31"/>
        <v>4003.5941387890489</v>
      </c>
      <c r="I173">
        <f t="shared" si="31"/>
        <v>4069.809234171963</v>
      </c>
      <c r="J173">
        <f t="shared" si="31"/>
        <v>3428.2554603262329</v>
      </c>
      <c r="K173" t="str">
        <f t="shared" si="32"/>
        <v>GAS_NEW.WWB C&amp;E</v>
      </c>
    </row>
    <row r="175" spans="1:11">
      <c r="A175" t="s">
        <v>95</v>
      </c>
      <c r="B175" t="s">
        <v>328</v>
      </c>
    </row>
    <row r="177" spans="1:11">
      <c r="B177" t="s">
        <v>303</v>
      </c>
      <c r="C177">
        <v>2015</v>
      </c>
      <c r="D177">
        <v>2020</v>
      </c>
      <c r="E177">
        <v>2025</v>
      </c>
      <c r="F177">
        <v>2030</v>
      </c>
      <c r="G177">
        <v>2035</v>
      </c>
      <c r="H177">
        <v>2040</v>
      </c>
      <c r="I177">
        <v>2045</v>
      </c>
      <c r="J177">
        <v>2050</v>
      </c>
    </row>
    <row r="178" spans="1:11">
      <c r="A178" t="str">
        <f>A175</f>
        <v>NUC_ELC</v>
      </c>
      <c r="B178" s="12" t="s">
        <v>307</v>
      </c>
      <c r="C178">
        <f t="shared" ref="C178:J185" si="33">AA69</f>
        <v>3273.5692562897402</v>
      </c>
      <c r="D178">
        <f t="shared" si="33"/>
        <v>2875.3110312413601</v>
      </c>
      <c r="E178">
        <f t="shared" si="33"/>
        <v>2167.5421620127199</v>
      </c>
      <c r="F178">
        <f t="shared" si="33"/>
        <v>1194.3599668233301</v>
      </c>
      <c r="G178">
        <f t="shared" si="33"/>
        <v>0</v>
      </c>
      <c r="H178">
        <f t="shared" si="33"/>
        <v>0</v>
      </c>
      <c r="I178">
        <f t="shared" si="33"/>
        <v>0</v>
      </c>
      <c r="J178">
        <f t="shared" si="33"/>
        <v>0</v>
      </c>
      <c r="K178" t="str">
        <f t="shared" ref="K178:K185" si="34">A178&amp;"."&amp;B178</f>
        <v>NUC_ELC.NEP C</v>
      </c>
    </row>
    <row r="179" spans="1:11">
      <c r="A179" t="str">
        <f t="shared" ref="A179:A185" si="35">A178</f>
        <v>NUC_ELC</v>
      </c>
      <c r="B179" s="14" t="s">
        <v>308</v>
      </c>
      <c r="C179">
        <f t="shared" si="33"/>
        <v>3273.4310201824701</v>
      </c>
      <c r="D179">
        <f t="shared" si="33"/>
        <v>2875.3110312413601</v>
      </c>
      <c r="E179">
        <f t="shared" si="33"/>
        <v>2145.4243848493202</v>
      </c>
      <c r="F179">
        <f t="shared" si="33"/>
        <v>1194.3599668233301</v>
      </c>
      <c r="G179">
        <f t="shared" si="33"/>
        <v>0</v>
      </c>
      <c r="H179">
        <f t="shared" si="33"/>
        <v>0</v>
      </c>
      <c r="I179">
        <f t="shared" si="33"/>
        <v>0</v>
      </c>
      <c r="J179">
        <f t="shared" si="33"/>
        <v>0</v>
      </c>
      <c r="K179" t="str">
        <f t="shared" si="34"/>
        <v>NUC_ELC.NEP C&amp;E</v>
      </c>
    </row>
    <row r="180" spans="1:11">
      <c r="A180" t="str">
        <f t="shared" si="35"/>
        <v>NUC_ELC</v>
      </c>
      <c r="B180" s="14" t="s">
        <v>309</v>
      </c>
      <c r="C180">
        <f t="shared" si="33"/>
        <v>3273.2927840752</v>
      </c>
      <c r="D180">
        <f t="shared" si="33"/>
        <v>2875.3110312413601</v>
      </c>
      <c r="E180">
        <f t="shared" si="33"/>
        <v>2167.4039259054498</v>
      </c>
      <c r="F180">
        <f t="shared" si="33"/>
        <v>1194.3599668233301</v>
      </c>
      <c r="G180">
        <f t="shared" si="33"/>
        <v>0</v>
      </c>
      <c r="H180">
        <f t="shared" si="33"/>
        <v>0</v>
      </c>
      <c r="I180">
        <f t="shared" si="33"/>
        <v>0</v>
      </c>
      <c r="J180">
        <f t="shared" si="33"/>
        <v>0</v>
      </c>
      <c r="K180" t="str">
        <f t="shared" si="34"/>
        <v>NUC_ELC.NEP E</v>
      </c>
    </row>
    <row r="181" spans="1:11">
      <c r="A181" t="str">
        <f t="shared" si="35"/>
        <v>NUC_ELC</v>
      </c>
      <c r="B181" s="14" t="s">
        <v>142</v>
      </c>
      <c r="C181">
        <f t="shared" si="33"/>
        <v>3272.6644555002799</v>
      </c>
      <c r="D181">
        <f t="shared" si="33"/>
        <v>2907.8220011055801</v>
      </c>
      <c r="E181">
        <f t="shared" si="33"/>
        <v>2166.8048645660601</v>
      </c>
      <c r="F181">
        <f t="shared" si="33"/>
        <v>1194.0298507462701</v>
      </c>
      <c r="G181">
        <f t="shared" si="33"/>
        <v>0</v>
      </c>
      <c r="H181">
        <f t="shared" si="33"/>
        <v>0</v>
      </c>
      <c r="I181">
        <f t="shared" si="33"/>
        <v>0</v>
      </c>
      <c r="J181">
        <f t="shared" si="33"/>
        <v>0</v>
      </c>
      <c r="K181" t="str">
        <f t="shared" si="34"/>
        <v>NUC_ELC.POM C</v>
      </c>
    </row>
    <row r="182" spans="1:11">
      <c r="A182" t="str">
        <f t="shared" si="35"/>
        <v>NUC_ELC</v>
      </c>
      <c r="B182" s="14" t="s">
        <v>296</v>
      </c>
      <c r="C182">
        <f t="shared" si="33"/>
        <v>3247.58354045844</v>
      </c>
      <c r="D182">
        <f t="shared" si="33"/>
        <v>2874.5163073521298</v>
      </c>
      <c r="E182">
        <f t="shared" si="33"/>
        <v>2166.9430624654501</v>
      </c>
      <c r="F182">
        <f t="shared" si="33"/>
        <v>1194.0298507462701</v>
      </c>
      <c r="G182">
        <f t="shared" si="33"/>
        <v>0</v>
      </c>
      <c r="H182">
        <f t="shared" si="33"/>
        <v>0</v>
      </c>
      <c r="I182">
        <f t="shared" si="33"/>
        <v>0</v>
      </c>
      <c r="J182">
        <f t="shared" si="33"/>
        <v>0</v>
      </c>
      <c r="K182" t="str">
        <f t="shared" si="34"/>
        <v>NUC_ELC.POM C&amp;E</v>
      </c>
    </row>
    <row r="183" spans="1:11">
      <c r="A183" t="str">
        <f t="shared" si="35"/>
        <v>NUC_ELC</v>
      </c>
      <c r="B183" s="14" t="s">
        <v>143</v>
      </c>
      <c r="C183">
        <f t="shared" si="33"/>
        <v>3273.4310201824701</v>
      </c>
      <c r="D183">
        <f t="shared" si="33"/>
        <v>2853.33149018524</v>
      </c>
      <c r="E183">
        <f t="shared" si="33"/>
        <v>2145.5626209565899</v>
      </c>
      <c r="F183">
        <f t="shared" si="33"/>
        <v>1194.49820293061</v>
      </c>
      <c r="G183">
        <f t="shared" si="33"/>
        <v>0</v>
      </c>
      <c r="H183">
        <f t="shared" si="33"/>
        <v>0</v>
      </c>
      <c r="I183">
        <f t="shared" si="33"/>
        <v>0</v>
      </c>
      <c r="J183">
        <f t="shared" si="33"/>
        <v>0</v>
      </c>
      <c r="K183" t="str">
        <f t="shared" si="34"/>
        <v>NUC_ELC.POM E</v>
      </c>
    </row>
    <row r="184" spans="1:11">
      <c r="A184" t="str">
        <f t="shared" si="35"/>
        <v>NUC_ELC</v>
      </c>
      <c r="B184" s="14" t="s">
        <v>310</v>
      </c>
      <c r="C184">
        <f t="shared" si="33"/>
        <v>3273.5692562897402</v>
      </c>
      <c r="D184">
        <f t="shared" si="33"/>
        <v>2875.3110312413601</v>
      </c>
      <c r="E184">
        <f t="shared" si="33"/>
        <v>2167.4039259054498</v>
      </c>
      <c r="F184">
        <f t="shared" si="33"/>
        <v>1194.3599668233301</v>
      </c>
      <c r="G184">
        <f t="shared" si="33"/>
        <v>0</v>
      </c>
      <c r="H184">
        <f t="shared" si="33"/>
        <v>0</v>
      </c>
      <c r="I184">
        <f t="shared" si="33"/>
        <v>0</v>
      </c>
      <c r="J184">
        <f t="shared" si="33"/>
        <v>0</v>
      </c>
      <c r="K184" t="str">
        <f t="shared" si="34"/>
        <v>NUC_ELC.WWB C</v>
      </c>
    </row>
    <row r="185" spans="1:11">
      <c r="A185" t="str">
        <f t="shared" si="35"/>
        <v>NUC_ELC</v>
      </c>
      <c r="B185" s="17" t="s">
        <v>311</v>
      </c>
      <c r="C185">
        <f t="shared" si="33"/>
        <v>3273.5692562897402</v>
      </c>
      <c r="D185">
        <f t="shared" si="33"/>
        <v>2875.3110312413601</v>
      </c>
      <c r="E185">
        <f t="shared" si="33"/>
        <v>2167.6803981199901</v>
      </c>
      <c r="F185">
        <f t="shared" si="33"/>
        <v>1194.49820293061</v>
      </c>
      <c r="G185">
        <f t="shared" si="33"/>
        <v>0</v>
      </c>
      <c r="H185">
        <f t="shared" si="33"/>
        <v>0</v>
      </c>
      <c r="I185">
        <f t="shared" si="33"/>
        <v>0</v>
      </c>
      <c r="J185">
        <f t="shared" si="33"/>
        <v>0</v>
      </c>
      <c r="K185" t="str">
        <f t="shared" si="34"/>
        <v>NUC_ELC.WWB C&amp;E</v>
      </c>
    </row>
    <row r="187" spans="1:11">
      <c r="A187" t="s">
        <v>110</v>
      </c>
      <c r="B187" t="s">
        <v>329</v>
      </c>
    </row>
    <row r="189" spans="1:11">
      <c r="B189" t="s">
        <v>303</v>
      </c>
      <c r="C189">
        <v>2015</v>
      </c>
      <c r="D189">
        <v>2020</v>
      </c>
      <c r="E189">
        <v>2025</v>
      </c>
      <c r="F189">
        <v>2030</v>
      </c>
      <c r="G189">
        <v>2035</v>
      </c>
      <c r="H189">
        <v>2040</v>
      </c>
      <c r="I189">
        <v>2045</v>
      </c>
      <c r="J189">
        <v>2050</v>
      </c>
    </row>
    <row r="190" spans="1:11">
      <c r="A190" t="str">
        <f>A187</f>
        <v>WAS_ELC</v>
      </c>
      <c r="B190" s="12" t="s">
        <v>307</v>
      </c>
      <c r="C190" s="27">
        <f t="shared" ref="C190:J197" si="36">AM45</f>
        <v>439.268492108766</v>
      </c>
      <c r="D190" s="27">
        <f t="shared" si="36"/>
        <v>439.268492108766</v>
      </c>
      <c r="E190" s="27">
        <f t="shared" si="36"/>
        <v>414.63116760860999</v>
      </c>
      <c r="F190" s="27">
        <f t="shared" si="36"/>
        <v>406.41872610855802</v>
      </c>
      <c r="G190" s="27">
        <f t="shared" si="36"/>
        <v>406.41872610855802</v>
      </c>
      <c r="H190" s="27">
        <f t="shared" si="36"/>
        <v>398.206284608506</v>
      </c>
      <c r="I190" s="27">
        <f t="shared" si="36"/>
        <v>398.206284608506</v>
      </c>
      <c r="J190" s="27">
        <f t="shared" si="36"/>
        <v>398.206284608506</v>
      </c>
      <c r="K190" t="str">
        <f t="shared" ref="K190:K197" si="37">A190&amp;"."&amp;B190</f>
        <v>WAS_ELC.NEP C</v>
      </c>
    </row>
    <row r="191" spans="1:11">
      <c r="A191" t="str">
        <f t="shared" ref="A191:A197" si="38">A190</f>
        <v>WAS_ELC</v>
      </c>
      <c r="B191" s="14" t="s">
        <v>308</v>
      </c>
      <c r="C191" s="27">
        <f t="shared" si="36"/>
        <v>439.268492108766</v>
      </c>
      <c r="D191" s="27">
        <f t="shared" si="36"/>
        <v>470.22880300472502</v>
      </c>
      <c r="E191" s="27">
        <f t="shared" si="36"/>
        <v>506.81826133631301</v>
      </c>
      <c r="F191" s="27">
        <f t="shared" si="36"/>
        <v>532.14942479664398</v>
      </c>
      <c r="G191" s="27">
        <f t="shared" si="36"/>
        <v>532.14942479664398</v>
      </c>
      <c r="H191" s="27">
        <f t="shared" si="36"/>
        <v>534.96399851445801</v>
      </c>
      <c r="I191" s="27">
        <f t="shared" si="36"/>
        <v>534.96399851445801</v>
      </c>
      <c r="J191" s="27">
        <f t="shared" si="36"/>
        <v>534.96399851445801</v>
      </c>
      <c r="K191" t="str">
        <f t="shared" si="37"/>
        <v>WAS_ELC.NEP C&amp;E</v>
      </c>
    </row>
    <row r="192" spans="1:11">
      <c r="A192" t="str">
        <f t="shared" si="38"/>
        <v>WAS_ELC</v>
      </c>
      <c r="B192" s="14" t="s">
        <v>309</v>
      </c>
      <c r="C192" s="27">
        <f t="shared" si="36"/>
        <v>439.268492108766</v>
      </c>
      <c r="D192" s="27">
        <f t="shared" si="36"/>
        <v>470.22880300472502</v>
      </c>
      <c r="E192" s="27">
        <f t="shared" si="36"/>
        <v>506.81826133631301</v>
      </c>
      <c r="F192" s="27">
        <f t="shared" si="36"/>
        <v>532.14942479664398</v>
      </c>
      <c r="G192" s="27">
        <f t="shared" si="36"/>
        <v>532.14942479664398</v>
      </c>
      <c r="H192" s="27">
        <f t="shared" si="36"/>
        <v>534.96399851445801</v>
      </c>
      <c r="I192" s="27">
        <f t="shared" si="36"/>
        <v>534.96399851445801</v>
      </c>
      <c r="J192" s="27">
        <f t="shared" si="36"/>
        <v>534.96399851445801</v>
      </c>
      <c r="K192" t="str">
        <f t="shared" si="37"/>
        <v>WAS_ELC.NEP E</v>
      </c>
    </row>
    <row r="193" spans="1:11">
      <c r="A193" t="str">
        <f t="shared" si="38"/>
        <v>WAS_ELC</v>
      </c>
      <c r="B193" s="14" t="s">
        <v>142</v>
      </c>
      <c r="C193" s="27">
        <f t="shared" si="36"/>
        <v>439.268492108766</v>
      </c>
      <c r="D193" s="27">
        <f t="shared" si="36"/>
        <v>439.268492108766</v>
      </c>
      <c r="E193" s="27">
        <f t="shared" si="36"/>
        <v>414.63116760860999</v>
      </c>
      <c r="F193" s="27">
        <f t="shared" si="36"/>
        <v>406.41872610855802</v>
      </c>
      <c r="G193" s="27">
        <f t="shared" si="36"/>
        <v>406.41872610855802</v>
      </c>
      <c r="H193" s="27">
        <f t="shared" si="36"/>
        <v>398.206284608506</v>
      </c>
      <c r="I193" s="27">
        <f t="shared" si="36"/>
        <v>398.206284608506</v>
      </c>
      <c r="J193" s="27">
        <f t="shared" si="36"/>
        <v>398.206284608506</v>
      </c>
      <c r="K193" t="str">
        <f t="shared" si="37"/>
        <v>WAS_ELC.POM C</v>
      </c>
    </row>
    <row r="194" spans="1:11">
      <c r="A194" t="str">
        <f t="shared" si="38"/>
        <v>WAS_ELC</v>
      </c>
      <c r="B194" s="14" t="s">
        <v>296</v>
      </c>
      <c r="C194" s="27">
        <f t="shared" si="36"/>
        <v>439.268492108766</v>
      </c>
      <c r="D194" s="27">
        <f t="shared" si="36"/>
        <v>470.22880300472502</v>
      </c>
      <c r="E194" s="27">
        <f t="shared" si="36"/>
        <v>506.81826133631301</v>
      </c>
      <c r="F194" s="27">
        <f t="shared" si="36"/>
        <v>532.14942479664398</v>
      </c>
      <c r="G194" s="27">
        <f t="shared" si="36"/>
        <v>532.14942479664398</v>
      </c>
      <c r="H194" s="27">
        <f t="shared" si="36"/>
        <v>534.96399851445801</v>
      </c>
      <c r="I194" s="27">
        <f t="shared" si="36"/>
        <v>534.96399851445801</v>
      </c>
      <c r="J194" s="27">
        <f t="shared" si="36"/>
        <v>534.96399851445801</v>
      </c>
      <c r="K194" t="str">
        <f t="shared" si="37"/>
        <v>WAS_ELC.POM C&amp;E</v>
      </c>
    </row>
    <row r="195" spans="1:11">
      <c r="A195" t="str">
        <f t="shared" si="38"/>
        <v>WAS_ELC</v>
      </c>
      <c r="B195" s="14" t="s">
        <v>143</v>
      </c>
      <c r="C195" s="27">
        <f t="shared" si="36"/>
        <v>439.268492108766</v>
      </c>
      <c r="D195" s="27">
        <f t="shared" si="36"/>
        <v>470.22880300472502</v>
      </c>
      <c r="E195" s="27">
        <f t="shared" si="36"/>
        <v>506.81826133631301</v>
      </c>
      <c r="F195" s="27">
        <f t="shared" si="36"/>
        <v>532.14942479664398</v>
      </c>
      <c r="G195" s="27">
        <f t="shared" si="36"/>
        <v>532.14942479664398</v>
      </c>
      <c r="H195" s="27">
        <f t="shared" si="36"/>
        <v>534.96399851445801</v>
      </c>
      <c r="I195" s="27">
        <f t="shared" si="36"/>
        <v>534.96399851445801</v>
      </c>
      <c r="J195" s="27">
        <f t="shared" si="36"/>
        <v>534.96399851445801</v>
      </c>
      <c r="K195" t="str">
        <f t="shared" si="37"/>
        <v>WAS_ELC.POM E</v>
      </c>
    </row>
    <row r="196" spans="1:11">
      <c r="A196" t="str">
        <f t="shared" si="38"/>
        <v>WAS_ELC</v>
      </c>
      <c r="B196" s="14" t="s">
        <v>310</v>
      </c>
      <c r="C196" s="27">
        <f t="shared" si="36"/>
        <v>439.268492108766</v>
      </c>
      <c r="D196" s="27">
        <f t="shared" si="36"/>
        <v>439.268492108766</v>
      </c>
      <c r="E196" s="27">
        <f t="shared" si="36"/>
        <v>414.63116760860999</v>
      </c>
      <c r="F196" s="27">
        <f t="shared" si="36"/>
        <v>406.41872610855802</v>
      </c>
      <c r="G196" s="27">
        <f t="shared" si="36"/>
        <v>406.41872610855802</v>
      </c>
      <c r="H196" s="27">
        <f t="shared" si="36"/>
        <v>398.206284608506</v>
      </c>
      <c r="I196" s="27">
        <f t="shared" si="36"/>
        <v>398.206284608506</v>
      </c>
      <c r="J196" s="27">
        <f t="shared" si="36"/>
        <v>398.206284608506</v>
      </c>
      <c r="K196" t="str">
        <f t="shared" si="37"/>
        <v>WAS_ELC.WWB C</v>
      </c>
    </row>
    <row r="197" spans="1:11">
      <c r="A197" t="str">
        <f t="shared" si="38"/>
        <v>WAS_ELC</v>
      </c>
      <c r="B197" s="17" t="s">
        <v>311</v>
      </c>
      <c r="C197" s="27">
        <f t="shared" si="36"/>
        <v>439.268492108766</v>
      </c>
      <c r="D197" s="27">
        <f t="shared" si="36"/>
        <v>470.22880300472502</v>
      </c>
      <c r="E197" s="27">
        <f t="shared" si="36"/>
        <v>506.81826133631301</v>
      </c>
      <c r="F197" s="27">
        <f t="shared" si="36"/>
        <v>532.14942479664398</v>
      </c>
      <c r="G197" s="27">
        <f t="shared" si="36"/>
        <v>532.14942479664398</v>
      </c>
      <c r="H197" s="27">
        <f t="shared" si="36"/>
        <v>534.96399851445801</v>
      </c>
      <c r="I197" s="27">
        <f t="shared" si="36"/>
        <v>534.96399851445801</v>
      </c>
      <c r="J197" s="27">
        <f t="shared" si="36"/>
        <v>534.96399851445801</v>
      </c>
      <c r="K197" t="str">
        <f t="shared" si="37"/>
        <v>WAS_ELC.WWB C&amp;E</v>
      </c>
    </row>
    <row r="199" spans="1:11">
      <c r="A199" t="s">
        <v>55</v>
      </c>
    </row>
    <row r="200" spans="1:11">
      <c r="B200" t="s">
        <v>303</v>
      </c>
      <c r="C200">
        <v>2015</v>
      </c>
      <c r="D200">
        <v>2020</v>
      </c>
      <c r="E200">
        <v>2025</v>
      </c>
      <c r="F200">
        <v>2030</v>
      </c>
      <c r="G200">
        <v>2035</v>
      </c>
      <c r="H200">
        <v>2040</v>
      </c>
      <c r="I200">
        <v>2045</v>
      </c>
      <c r="J200">
        <v>2050</v>
      </c>
    </row>
    <row r="201" spans="1:11">
      <c r="A201" t="str">
        <f>A199</f>
        <v>BAL_ELC</v>
      </c>
      <c r="B201" s="12" t="s">
        <v>307</v>
      </c>
      <c r="C201" s="27">
        <f t="shared" ref="C201:J208" si="39">AM21</f>
        <v>46.2</v>
      </c>
      <c r="D201" s="27">
        <f t="shared" si="39"/>
        <v>126.737463241436</v>
      </c>
      <c r="E201" s="27">
        <f t="shared" si="39"/>
        <v>225.17214053652401</v>
      </c>
      <c r="F201" s="27">
        <f t="shared" si="39"/>
        <v>305.70960377796001</v>
      </c>
      <c r="G201" s="27">
        <f t="shared" si="39"/>
        <v>308.69247278690199</v>
      </c>
      <c r="H201" s="27">
        <f t="shared" si="39"/>
        <v>317.64107981372803</v>
      </c>
      <c r="I201" s="27">
        <f t="shared" si="39"/>
        <v>326.58968684055401</v>
      </c>
      <c r="J201" s="27">
        <f t="shared" si="39"/>
        <v>326.58968684055401</v>
      </c>
      <c r="K201" t="str">
        <f t="shared" ref="K201:K208" si="40">A201&amp;"."&amp;B201</f>
        <v>BAL_ELC.NEP C</v>
      </c>
    </row>
    <row r="202" spans="1:11">
      <c r="A202" t="str">
        <f t="shared" ref="A202:A208" si="41">A201</f>
        <v>BAL_ELC</v>
      </c>
      <c r="B202" s="14" t="s">
        <v>308</v>
      </c>
      <c r="C202" s="27">
        <f t="shared" si="39"/>
        <v>46.2</v>
      </c>
      <c r="D202" s="27">
        <f t="shared" si="39"/>
        <v>191.26334532998399</v>
      </c>
      <c r="E202" s="27">
        <f t="shared" si="39"/>
        <v>407.58587783961002</v>
      </c>
      <c r="F202" s="27">
        <f t="shared" si="39"/>
        <v>585.73384578871298</v>
      </c>
      <c r="G202" s="27">
        <f t="shared" si="39"/>
        <v>639.17823617344402</v>
      </c>
      <c r="H202" s="27">
        <f t="shared" si="39"/>
        <v>662.08297490975701</v>
      </c>
      <c r="I202" s="27">
        <f t="shared" si="39"/>
        <v>672.26285879256295</v>
      </c>
      <c r="J202" s="27">
        <f t="shared" si="39"/>
        <v>674.80782976326498</v>
      </c>
      <c r="K202" t="str">
        <f t="shared" si="40"/>
        <v>BAL_ELC.NEP C&amp;E</v>
      </c>
    </row>
    <row r="203" spans="1:11">
      <c r="A203" t="str">
        <f t="shared" si="41"/>
        <v>BAL_ELC</v>
      </c>
      <c r="B203" s="14" t="s">
        <v>309</v>
      </c>
      <c r="C203" s="27">
        <f t="shared" si="39"/>
        <v>46.2</v>
      </c>
      <c r="D203" s="27">
        <f t="shared" si="39"/>
        <v>191.26334532998399</v>
      </c>
      <c r="E203" s="27">
        <f t="shared" si="39"/>
        <v>407.58587783961002</v>
      </c>
      <c r="F203" s="27">
        <f t="shared" si="39"/>
        <v>585.73384578871298</v>
      </c>
      <c r="G203" s="27">
        <f t="shared" si="39"/>
        <v>639.17823617344402</v>
      </c>
      <c r="H203" s="27">
        <f t="shared" si="39"/>
        <v>662.08297490975701</v>
      </c>
      <c r="I203" s="27">
        <f t="shared" si="39"/>
        <v>672.26285879256295</v>
      </c>
      <c r="J203" s="27">
        <f t="shared" si="39"/>
        <v>674.80782976326498</v>
      </c>
      <c r="K203" t="str">
        <f t="shared" si="40"/>
        <v>BAL_ELC.NEP E</v>
      </c>
    </row>
    <row r="204" spans="1:11">
      <c r="A204" t="str">
        <f t="shared" si="41"/>
        <v>BAL_ELC</v>
      </c>
      <c r="B204" s="14" t="s">
        <v>142</v>
      </c>
      <c r="C204" s="27">
        <f t="shared" si="39"/>
        <v>46.2</v>
      </c>
      <c r="D204" s="27">
        <f t="shared" si="39"/>
        <v>126.737463241436</v>
      </c>
      <c r="E204" s="27">
        <f t="shared" si="39"/>
        <v>225.17214053652401</v>
      </c>
      <c r="F204" s="27">
        <f t="shared" si="39"/>
        <v>305.70960377796001</v>
      </c>
      <c r="G204" s="27">
        <f t="shared" si="39"/>
        <v>308.69247278690199</v>
      </c>
      <c r="H204" s="27">
        <f t="shared" si="39"/>
        <v>317.64107981372803</v>
      </c>
      <c r="I204" s="27">
        <f t="shared" si="39"/>
        <v>326.58968684055401</v>
      </c>
      <c r="J204" s="27">
        <f t="shared" si="39"/>
        <v>326.58968684055401</v>
      </c>
      <c r="K204" t="str">
        <f t="shared" si="40"/>
        <v>BAL_ELC.POM C</v>
      </c>
    </row>
    <row r="205" spans="1:11">
      <c r="A205" t="str">
        <f t="shared" si="41"/>
        <v>BAL_ELC</v>
      </c>
      <c r="B205" s="14" t="s">
        <v>296</v>
      </c>
      <c r="C205" s="27">
        <f t="shared" si="39"/>
        <v>46.2</v>
      </c>
      <c r="D205" s="27">
        <f t="shared" si="39"/>
        <v>191.26334532998399</v>
      </c>
      <c r="E205" s="27">
        <f t="shared" si="39"/>
        <v>407.58587783961002</v>
      </c>
      <c r="F205" s="27">
        <f t="shared" si="39"/>
        <v>585.73384578871298</v>
      </c>
      <c r="G205" s="27">
        <f t="shared" si="39"/>
        <v>639.17823617344402</v>
      </c>
      <c r="H205" s="27">
        <f t="shared" si="39"/>
        <v>662.08297490975701</v>
      </c>
      <c r="I205" s="27">
        <f t="shared" si="39"/>
        <v>672.26285879256295</v>
      </c>
      <c r="J205" s="27">
        <f t="shared" si="39"/>
        <v>674.80782976326498</v>
      </c>
      <c r="K205" t="str">
        <f t="shared" si="40"/>
        <v>BAL_ELC.POM C&amp;E</v>
      </c>
    </row>
    <row r="206" spans="1:11">
      <c r="A206" t="str">
        <f t="shared" si="41"/>
        <v>BAL_ELC</v>
      </c>
      <c r="B206" s="14" t="s">
        <v>143</v>
      </c>
      <c r="C206" s="27">
        <f t="shared" si="39"/>
        <v>46.2</v>
      </c>
      <c r="D206" s="27">
        <f t="shared" si="39"/>
        <v>191.26334532998399</v>
      </c>
      <c r="E206" s="27">
        <f t="shared" si="39"/>
        <v>407.58587783961002</v>
      </c>
      <c r="F206" s="27">
        <f t="shared" si="39"/>
        <v>585.73384578871298</v>
      </c>
      <c r="G206" s="27">
        <f t="shared" si="39"/>
        <v>639.17823617344402</v>
      </c>
      <c r="H206" s="27">
        <f t="shared" si="39"/>
        <v>662.08297490975701</v>
      </c>
      <c r="I206" s="27">
        <f t="shared" si="39"/>
        <v>672.26285879256295</v>
      </c>
      <c r="J206" s="27">
        <f t="shared" si="39"/>
        <v>674.80782976326498</v>
      </c>
      <c r="K206" t="str">
        <f t="shared" si="40"/>
        <v>BAL_ELC.POM E</v>
      </c>
    </row>
    <row r="207" spans="1:11">
      <c r="A207" t="str">
        <f t="shared" si="41"/>
        <v>BAL_ELC</v>
      </c>
      <c r="B207" s="14" t="s">
        <v>310</v>
      </c>
      <c r="C207" s="27">
        <f t="shared" si="39"/>
        <v>46.2</v>
      </c>
      <c r="D207" s="27">
        <f t="shared" si="39"/>
        <v>126.737463241436</v>
      </c>
      <c r="E207" s="27">
        <f t="shared" si="39"/>
        <v>225.17214053652401</v>
      </c>
      <c r="F207" s="27">
        <f t="shared" si="39"/>
        <v>305.70960377796001</v>
      </c>
      <c r="G207" s="27">
        <f t="shared" si="39"/>
        <v>308.69247278690199</v>
      </c>
      <c r="H207" s="27">
        <f t="shared" si="39"/>
        <v>317.64107981372803</v>
      </c>
      <c r="I207" s="27">
        <f t="shared" si="39"/>
        <v>326.58968684055401</v>
      </c>
      <c r="J207" s="27">
        <f t="shared" si="39"/>
        <v>326.58968684055401</v>
      </c>
      <c r="K207" t="str">
        <f t="shared" si="40"/>
        <v>BAL_ELC.WWB C</v>
      </c>
    </row>
    <row r="208" spans="1:11">
      <c r="A208" t="str">
        <f t="shared" si="41"/>
        <v>BAL_ELC</v>
      </c>
      <c r="B208" s="17" t="s">
        <v>311</v>
      </c>
      <c r="C208" s="27">
        <f t="shared" si="39"/>
        <v>46.2</v>
      </c>
      <c r="D208" s="27">
        <f t="shared" si="39"/>
        <v>191.26334532998399</v>
      </c>
      <c r="E208" s="27">
        <f t="shared" si="39"/>
        <v>407.58587783961002</v>
      </c>
      <c r="F208" s="27">
        <f t="shared" si="39"/>
        <v>585.73384578871298</v>
      </c>
      <c r="G208" s="27">
        <f t="shared" si="39"/>
        <v>639.17823617344402</v>
      </c>
      <c r="H208" s="27">
        <f t="shared" si="39"/>
        <v>662.08297490975701</v>
      </c>
      <c r="I208" s="27">
        <f t="shared" si="39"/>
        <v>672.26285879256295</v>
      </c>
      <c r="J208" s="27">
        <f t="shared" si="39"/>
        <v>674.80782976326498</v>
      </c>
      <c r="K208" t="str">
        <f t="shared" si="40"/>
        <v>BAL_ELC.WWB C&amp;E</v>
      </c>
    </row>
    <row r="210" spans="1:11">
      <c r="A210" t="s">
        <v>105</v>
      </c>
    </row>
    <row r="211" spans="1:11">
      <c r="B211" t="s">
        <v>303</v>
      </c>
      <c r="C211">
        <v>2015</v>
      </c>
      <c r="D211">
        <v>2020</v>
      </c>
      <c r="E211">
        <v>2025</v>
      </c>
      <c r="F211">
        <v>2030</v>
      </c>
      <c r="G211">
        <v>2035</v>
      </c>
      <c r="H211">
        <v>2040</v>
      </c>
      <c r="I211">
        <v>2045</v>
      </c>
      <c r="J211">
        <v>2050</v>
      </c>
    </row>
    <row r="212" spans="1:11">
      <c r="A212" t="str">
        <f>A210</f>
        <v>SOL_PHO</v>
      </c>
      <c r="B212" s="12" t="s">
        <v>307</v>
      </c>
      <c r="C212" s="27">
        <f t="shared" ref="C212:J219" si="42">AM37</f>
        <v>1390.1</v>
      </c>
      <c r="D212" s="27">
        <f t="shared" si="42"/>
        <v>1525.95333242366</v>
      </c>
      <c r="E212" s="27">
        <f t="shared" si="42"/>
        <v>1745.40871556958</v>
      </c>
      <c r="F212" s="27">
        <f t="shared" si="42"/>
        <v>2173.8692255211199</v>
      </c>
      <c r="G212" s="27">
        <f t="shared" si="42"/>
        <v>3804.1092146050701</v>
      </c>
      <c r="H212" s="27">
        <f t="shared" si="42"/>
        <v>4807.3338232721098</v>
      </c>
      <c r="I212" s="27">
        <f t="shared" si="42"/>
        <v>6113.61586580732</v>
      </c>
      <c r="J212" s="27">
        <f t="shared" si="42"/>
        <v>7357.1963703008296</v>
      </c>
      <c r="K212" t="str">
        <f t="shared" ref="K212:K219" si="43">A212&amp;"."&amp;B212</f>
        <v>SOL_PHO.NEP C</v>
      </c>
    </row>
    <row r="213" spans="1:11">
      <c r="A213" t="str">
        <f t="shared" ref="A213:A219" si="44">A212</f>
        <v>SOL_PHO</v>
      </c>
      <c r="B213" s="14" t="s">
        <v>308</v>
      </c>
      <c r="C213" s="27">
        <f t="shared" si="42"/>
        <v>1390.1</v>
      </c>
      <c r="D213" s="27">
        <f t="shared" si="42"/>
        <v>1665.2918506448</v>
      </c>
      <c r="E213" s="27">
        <f t="shared" si="42"/>
        <v>2192.7428977140098</v>
      </c>
      <c r="F213" s="27">
        <f t="shared" si="42"/>
        <v>3259.1113189626299</v>
      </c>
      <c r="G213" s="27">
        <f t="shared" si="42"/>
        <v>6160.0920778432701</v>
      </c>
      <c r="H213" s="27">
        <f t="shared" si="42"/>
        <v>8797.3473131893006</v>
      </c>
      <c r="I213" s="27">
        <f t="shared" si="42"/>
        <v>11652.462763629101</v>
      </c>
      <c r="J213" s="27">
        <f t="shared" si="42"/>
        <v>13819.598587457</v>
      </c>
      <c r="K213" t="str">
        <f t="shared" si="43"/>
        <v>SOL_PHO.NEP C&amp;E</v>
      </c>
    </row>
    <row r="214" spans="1:11">
      <c r="A214" t="str">
        <f t="shared" si="44"/>
        <v>SOL_PHO</v>
      </c>
      <c r="B214" s="14" t="s">
        <v>309</v>
      </c>
      <c r="C214" s="27">
        <f t="shared" si="42"/>
        <v>1390.1</v>
      </c>
      <c r="D214" s="27">
        <f t="shared" si="42"/>
        <v>1665.2918506448</v>
      </c>
      <c r="E214" s="27">
        <f t="shared" si="42"/>
        <v>2192.7428977140098</v>
      </c>
      <c r="F214" s="27">
        <f t="shared" si="42"/>
        <v>3259.1113189626299</v>
      </c>
      <c r="G214" s="27">
        <f t="shared" si="42"/>
        <v>6160.0920778432701</v>
      </c>
      <c r="H214" s="27">
        <f t="shared" si="42"/>
        <v>8797.3473131893006</v>
      </c>
      <c r="I214" s="27">
        <f t="shared" si="42"/>
        <v>11652.462763629101</v>
      </c>
      <c r="J214" s="27">
        <f t="shared" si="42"/>
        <v>13819.598587457</v>
      </c>
      <c r="K214" t="str">
        <f t="shared" si="43"/>
        <v>SOL_PHO.NEP E</v>
      </c>
    </row>
    <row r="215" spans="1:11">
      <c r="A215" t="str">
        <f t="shared" si="44"/>
        <v>SOL_PHO</v>
      </c>
      <c r="B215" s="14" t="s">
        <v>142</v>
      </c>
      <c r="C215" s="27">
        <f t="shared" si="42"/>
        <v>1390.1</v>
      </c>
      <c r="D215" s="27">
        <f t="shared" si="42"/>
        <v>1525.95333242366</v>
      </c>
      <c r="E215" s="27">
        <f t="shared" si="42"/>
        <v>1745.40871556958</v>
      </c>
      <c r="F215" s="27">
        <f t="shared" si="42"/>
        <v>2173.8692255211199</v>
      </c>
      <c r="G215" s="27">
        <f t="shared" si="42"/>
        <v>3804.1092146050701</v>
      </c>
      <c r="H215" s="27">
        <f t="shared" si="42"/>
        <v>4807.3338232721098</v>
      </c>
      <c r="I215" s="27">
        <f t="shared" si="42"/>
        <v>6113.61586580732</v>
      </c>
      <c r="J215" s="27">
        <f t="shared" si="42"/>
        <v>7357.1963703008296</v>
      </c>
      <c r="K215" t="str">
        <f t="shared" si="43"/>
        <v>SOL_PHO.POM C</v>
      </c>
    </row>
    <row r="216" spans="1:11">
      <c r="A216" t="str">
        <f t="shared" si="44"/>
        <v>SOL_PHO</v>
      </c>
      <c r="B216" s="14" t="s">
        <v>296</v>
      </c>
      <c r="C216" s="27">
        <f t="shared" si="42"/>
        <v>1390.1</v>
      </c>
      <c r="D216" s="27">
        <f t="shared" si="42"/>
        <v>1665.2918506448</v>
      </c>
      <c r="E216" s="27">
        <f t="shared" si="42"/>
        <v>2192.7428977140098</v>
      </c>
      <c r="F216" s="27">
        <f t="shared" si="42"/>
        <v>3259.1113189626299</v>
      </c>
      <c r="G216" s="27">
        <f t="shared" si="42"/>
        <v>6160.0920778432701</v>
      </c>
      <c r="H216" s="27">
        <f t="shared" si="42"/>
        <v>8797.3473131893006</v>
      </c>
      <c r="I216" s="27">
        <f t="shared" si="42"/>
        <v>11652.462763629101</v>
      </c>
      <c r="J216" s="27">
        <f t="shared" si="42"/>
        <v>13819.598587457</v>
      </c>
      <c r="K216" t="str">
        <f t="shared" si="43"/>
        <v>SOL_PHO.POM C&amp;E</v>
      </c>
    </row>
    <row r="217" spans="1:11">
      <c r="A217" t="str">
        <f t="shared" si="44"/>
        <v>SOL_PHO</v>
      </c>
      <c r="B217" s="14" t="s">
        <v>143</v>
      </c>
      <c r="C217" s="27">
        <f t="shared" si="42"/>
        <v>1390.1</v>
      </c>
      <c r="D217" s="27">
        <f t="shared" si="42"/>
        <v>1665.2918506448</v>
      </c>
      <c r="E217" s="27">
        <f t="shared" si="42"/>
        <v>2192.7428977140098</v>
      </c>
      <c r="F217" s="27">
        <f t="shared" si="42"/>
        <v>3259.1113189626299</v>
      </c>
      <c r="G217" s="27">
        <f t="shared" si="42"/>
        <v>6160.0920778432701</v>
      </c>
      <c r="H217" s="27">
        <f t="shared" si="42"/>
        <v>8797.3473131893006</v>
      </c>
      <c r="I217" s="27">
        <f t="shared" si="42"/>
        <v>11652.462763629101</v>
      </c>
      <c r="J217" s="27">
        <f t="shared" si="42"/>
        <v>13819.598587457</v>
      </c>
      <c r="K217" t="str">
        <f t="shared" si="43"/>
        <v>SOL_PHO.POM E</v>
      </c>
    </row>
    <row r="218" spans="1:11">
      <c r="A218" t="str">
        <f t="shared" si="44"/>
        <v>SOL_PHO</v>
      </c>
      <c r="B218" s="14" t="s">
        <v>310</v>
      </c>
      <c r="C218" s="27">
        <f t="shared" si="42"/>
        <v>1390.1</v>
      </c>
      <c r="D218" s="27">
        <f t="shared" si="42"/>
        <v>1525.95333242366</v>
      </c>
      <c r="E218" s="27">
        <f t="shared" si="42"/>
        <v>1745.40871556958</v>
      </c>
      <c r="F218" s="27">
        <f t="shared" si="42"/>
        <v>2173.8692255211199</v>
      </c>
      <c r="G218" s="27">
        <f t="shared" si="42"/>
        <v>3804.1092146050701</v>
      </c>
      <c r="H218" s="27">
        <f t="shared" si="42"/>
        <v>4807.3338232721098</v>
      </c>
      <c r="I218" s="27">
        <f t="shared" si="42"/>
        <v>6113.61586580732</v>
      </c>
      <c r="J218" s="27">
        <f t="shared" si="42"/>
        <v>7357.1963703008296</v>
      </c>
      <c r="K218" t="str">
        <f t="shared" si="43"/>
        <v>SOL_PHO.WWB C</v>
      </c>
    </row>
    <row r="219" spans="1:11">
      <c r="A219" t="str">
        <f t="shared" si="44"/>
        <v>SOL_PHO</v>
      </c>
      <c r="B219" s="17" t="s">
        <v>311</v>
      </c>
      <c r="C219" s="27">
        <f t="shared" si="42"/>
        <v>1390.1</v>
      </c>
      <c r="D219" s="27">
        <f t="shared" si="42"/>
        <v>1665.2918506448</v>
      </c>
      <c r="E219" s="27">
        <f t="shared" si="42"/>
        <v>2192.7428977140098</v>
      </c>
      <c r="F219" s="27">
        <f t="shared" si="42"/>
        <v>3259.1113189626299</v>
      </c>
      <c r="G219" s="27">
        <f t="shared" si="42"/>
        <v>6160.0920778432701</v>
      </c>
      <c r="H219" s="27">
        <f t="shared" si="42"/>
        <v>8797.3473131893006</v>
      </c>
      <c r="I219" s="27">
        <f t="shared" si="42"/>
        <v>11652.462763629101</v>
      </c>
      <c r="J219" s="27">
        <f t="shared" si="42"/>
        <v>13819.598587457</v>
      </c>
      <c r="K219" t="str">
        <f t="shared" si="43"/>
        <v>SOL_PHO.WWB C&amp;E</v>
      </c>
    </row>
    <row r="221" spans="1:11">
      <c r="A221" t="s">
        <v>120</v>
      </c>
    </row>
    <row r="222" spans="1:11">
      <c r="B222" t="s">
        <v>303</v>
      </c>
      <c r="C222">
        <v>2015</v>
      </c>
      <c r="D222">
        <v>2020</v>
      </c>
      <c r="E222">
        <v>2025</v>
      </c>
      <c r="F222">
        <v>2030</v>
      </c>
      <c r="G222">
        <v>2035</v>
      </c>
      <c r="H222">
        <v>2040</v>
      </c>
      <c r="I222">
        <v>2045</v>
      </c>
      <c r="J222">
        <v>2050</v>
      </c>
    </row>
    <row r="223" spans="1:11">
      <c r="A223" t="str">
        <f>A221</f>
        <v>WIN_ONS</v>
      </c>
      <c r="B223" s="12" t="s">
        <v>307</v>
      </c>
      <c r="C223" s="27">
        <f t="shared" ref="C223:J230" si="45">AM53</f>
        <v>60.287999999999997</v>
      </c>
      <c r="D223" s="27">
        <f t="shared" si="45"/>
        <v>87.268448637974799</v>
      </c>
      <c r="E223" s="27">
        <f t="shared" si="45"/>
        <v>146.625435641519</v>
      </c>
      <c r="F223" s="27">
        <f t="shared" si="45"/>
        <v>319.30030692455801</v>
      </c>
      <c r="G223" s="27">
        <f t="shared" si="45"/>
        <v>427.222101476457</v>
      </c>
      <c r="H223" s="27">
        <f t="shared" si="45"/>
        <v>562.12434466633101</v>
      </c>
      <c r="I223" s="27">
        <f t="shared" si="45"/>
        <v>686.234408401015</v>
      </c>
      <c r="J223" s="27">
        <f t="shared" si="45"/>
        <v>772.57184404253496</v>
      </c>
      <c r="K223" t="str">
        <f t="shared" ref="K223:K230" si="46">A223&amp;"."&amp;B223</f>
        <v>WIN_ONS.NEP C</v>
      </c>
    </row>
    <row r="224" spans="1:11">
      <c r="A224" t="str">
        <f t="shared" ref="A224:A230" si="47">A223</f>
        <v>WIN_ONS</v>
      </c>
      <c r="B224" s="14" t="s">
        <v>308</v>
      </c>
      <c r="C224" s="27">
        <f t="shared" si="45"/>
        <v>60.287999999999997</v>
      </c>
      <c r="D224" s="27">
        <f t="shared" si="45"/>
        <v>240.568875087078</v>
      </c>
      <c r="E224" s="27">
        <f t="shared" si="45"/>
        <v>432.48077437332302</v>
      </c>
      <c r="F224" s="27">
        <f t="shared" si="45"/>
        <v>705.80984305373204</v>
      </c>
      <c r="G224" s="27">
        <f t="shared" si="45"/>
        <v>880.27520604122697</v>
      </c>
      <c r="H224" s="27">
        <f t="shared" si="45"/>
        <v>1362.96271030663</v>
      </c>
      <c r="I224" s="27">
        <f t="shared" si="45"/>
        <v>1851.4657266716199</v>
      </c>
      <c r="J224" s="27">
        <f t="shared" si="45"/>
        <v>2334.15323093702</v>
      </c>
      <c r="K224" t="str">
        <f t="shared" si="46"/>
        <v>WIN_ONS.NEP C&amp;E</v>
      </c>
    </row>
    <row r="225" spans="1:11">
      <c r="A225" t="str">
        <f t="shared" si="47"/>
        <v>WIN_ONS</v>
      </c>
      <c r="B225" s="14" t="s">
        <v>309</v>
      </c>
      <c r="C225" s="27">
        <f t="shared" si="45"/>
        <v>60.287999999999997</v>
      </c>
      <c r="D225" s="27">
        <f t="shared" si="45"/>
        <v>240.568875087078</v>
      </c>
      <c r="E225" s="27">
        <f t="shared" si="45"/>
        <v>432.48077437332302</v>
      </c>
      <c r="F225" s="27">
        <f t="shared" si="45"/>
        <v>705.80984305373204</v>
      </c>
      <c r="G225" s="27">
        <f t="shared" si="45"/>
        <v>880.27520604122697</v>
      </c>
      <c r="H225" s="27">
        <f t="shared" si="45"/>
        <v>1362.96271030663</v>
      </c>
      <c r="I225" s="27">
        <f t="shared" si="45"/>
        <v>1851.4657266716199</v>
      </c>
      <c r="J225" s="27">
        <f t="shared" si="45"/>
        <v>2334.15323093702</v>
      </c>
      <c r="K225" t="str">
        <f t="shared" si="46"/>
        <v>WIN_ONS.NEP E</v>
      </c>
    </row>
    <row r="226" spans="1:11">
      <c r="A226" t="str">
        <f t="shared" si="47"/>
        <v>WIN_ONS</v>
      </c>
      <c r="B226" s="14" t="s">
        <v>142</v>
      </c>
      <c r="C226" s="27">
        <f t="shared" si="45"/>
        <v>60.287999999999997</v>
      </c>
      <c r="D226" s="27">
        <f t="shared" si="45"/>
        <v>87.268448637974799</v>
      </c>
      <c r="E226" s="27">
        <f t="shared" si="45"/>
        <v>146.625435641519</v>
      </c>
      <c r="F226" s="27">
        <f t="shared" si="45"/>
        <v>319.30030692455801</v>
      </c>
      <c r="G226" s="27">
        <f t="shared" si="45"/>
        <v>427.222101476457</v>
      </c>
      <c r="H226" s="27">
        <f t="shared" si="45"/>
        <v>562.12434466633101</v>
      </c>
      <c r="I226" s="27">
        <f t="shared" si="45"/>
        <v>686.234408401015</v>
      </c>
      <c r="J226" s="27">
        <f t="shared" si="45"/>
        <v>772.57184404253496</v>
      </c>
      <c r="K226" t="str">
        <f t="shared" si="46"/>
        <v>WIN_ONS.POM C</v>
      </c>
    </row>
    <row r="227" spans="1:11">
      <c r="A227" t="str">
        <f t="shared" si="47"/>
        <v>WIN_ONS</v>
      </c>
      <c r="B227" s="14" t="s">
        <v>296</v>
      </c>
      <c r="C227" s="27">
        <f t="shared" si="45"/>
        <v>60.287999999999997</v>
      </c>
      <c r="D227" s="27">
        <f t="shared" si="45"/>
        <v>240.568875087078</v>
      </c>
      <c r="E227" s="27">
        <f t="shared" si="45"/>
        <v>432.48077437332302</v>
      </c>
      <c r="F227" s="27">
        <f t="shared" si="45"/>
        <v>705.80984305373204</v>
      </c>
      <c r="G227" s="27">
        <f t="shared" si="45"/>
        <v>880.27520604122697</v>
      </c>
      <c r="H227" s="27">
        <f t="shared" si="45"/>
        <v>1362.96271030663</v>
      </c>
      <c r="I227" s="27">
        <f t="shared" si="45"/>
        <v>1851.4657266716199</v>
      </c>
      <c r="J227" s="27">
        <f t="shared" si="45"/>
        <v>2334.15323093702</v>
      </c>
      <c r="K227" t="str">
        <f t="shared" si="46"/>
        <v>WIN_ONS.POM C&amp;E</v>
      </c>
    </row>
    <row r="228" spans="1:11">
      <c r="A228" t="str">
        <f t="shared" si="47"/>
        <v>WIN_ONS</v>
      </c>
      <c r="B228" s="14" t="s">
        <v>143</v>
      </c>
      <c r="C228" s="27">
        <f t="shared" si="45"/>
        <v>60.287999999999997</v>
      </c>
      <c r="D228" s="27">
        <f t="shared" si="45"/>
        <v>240.568875087078</v>
      </c>
      <c r="E228" s="27">
        <f t="shared" si="45"/>
        <v>432.48077437332302</v>
      </c>
      <c r="F228" s="27">
        <f t="shared" si="45"/>
        <v>705.80984305373204</v>
      </c>
      <c r="G228" s="27">
        <f t="shared" si="45"/>
        <v>880.27520604122697</v>
      </c>
      <c r="H228" s="27">
        <f t="shared" si="45"/>
        <v>1362.96271030663</v>
      </c>
      <c r="I228" s="27">
        <f t="shared" si="45"/>
        <v>1851.4657266716199</v>
      </c>
      <c r="J228" s="27">
        <f t="shared" si="45"/>
        <v>2334.15323093702</v>
      </c>
      <c r="K228" t="str">
        <f t="shared" si="46"/>
        <v>WIN_ONS.POM E</v>
      </c>
    </row>
    <row r="229" spans="1:11">
      <c r="A229" t="str">
        <f t="shared" si="47"/>
        <v>WIN_ONS</v>
      </c>
      <c r="B229" s="14" t="s">
        <v>310</v>
      </c>
      <c r="C229" s="27">
        <f t="shared" si="45"/>
        <v>60.287999999999997</v>
      </c>
      <c r="D229" s="27">
        <f t="shared" si="45"/>
        <v>87.268448637974799</v>
      </c>
      <c r="E229" s="27">
        <f t="shared" si="45"/>
        <v>146.625435641519</v>
      </c>
      <c r="F229" s="27">
        <f t="shared" si="45"/>
        <v>319.30030692455801</v>
      </c>
      <c r="G229" s="27">
        <f t="shared" si="45"/>
        <v>427.222101476457</v>
      </c>
      <c r="H229" s="27">
        <f t="shared" si="45"/>
        <v>562.12434466633101</v>
      </c>
      <c r="I229" s="27">
        <f t="shared" si="45"/>
        <v>686.234408401015</v>
      </c>
      <c r="J229" s="27">
        <f t="shared" si="45"/>
        <v>772.57184404253496</v>
      </c>
      <c r="K229" t="str">
        <f t="shared" si="46"/>
        <v>WIN_ONS.WWB C</v>
      </c>
    </row>
    <row r="230" spans="1:11">
      <c r="A230" t="str">
        <f t="shared" si="47"/>
        <v>WIN_ONS</v>
      </c>
      <c r="B230" s="17" t="s">
        <v>311</v>
      </c>
      <c r="C230" s="27">
        <f t="shared" si="45"/>
        <v>60.287999999999997</v>
      </c>
      <c r="D230" s="27">
        <f t="shared" si="45"/>
        <v>240.568875087078</v>
      </c>
      <c r="E230" s="27">
        <f t="shared" si="45"/>
        <v>432.48077437332302</v>
      </c>
      <c r="F230" s="27">
        <f t="shared" si="45"/>
        <v>705.80984305373204</v>
      </c>
      <c r="G230" s="27">
        <f t="shared" si="45"/>
        <v>880.27520604122697</v>
      </c>
      <c r="H230" s="27">
        <f t="shared" si="45"/>
        <v>1362.96271030663</v>
      </c>
      <c r="I230" s="27">
        <f t="shared" si="45"/>
        <v>1851.4657266716199</v>
      </c>
      <c r="J230" s="27">
        <f t="shared" si="45"/>
        <v>2334.15323093702</v>
      </c>
      <c r="K230" t="str">
        <f t="shared" si="46"/>
        <v>WIN_ONS.WWB C&amp;E</v>
      </c>
    </row>
    <row r="232" spans="1:11">
      <c r="A232" t="s">
        <v>65</v>
      </c>
    </row>
    <row r="233" spans="1:11">
      <c r="B233" t="s">
        <v>303</v>
      </c>
      <c r="C233">
        <v>2015</v>
      </c>
      <c r="D233">
        <v>2020</v>
      </c>
      <c r="E233">
        <v>2025</v>
      </c>
      <c r="F233">
        <v>2030</v>
      </c>
      <c r="G233">
        <v>2035</v>
      </c>
      <c r="H233">
        <v>2040</v>
      </c>
      <c r="I233">
        <v>2045</v>
      </c>
      <c r="J233">
        <v>2050</v>
      </c>
    </row>
    <row r="234" spans="1:11">
      <c r="A234" t="str">
        <f>A232</f>
        <v>GEO_ELC</v>
      </c>
      <c r="B234" s="12" t="s">
        <v>307</v>
      </c>
      <c r="C234" s="27">
        <f t="shared" ref="C234:J241" si="48">AM29</f>
        <v>0</v>
      </c>
      <c r="D234" s="27">
        <f t="shared" si="48"/>
        <v>9.5617218904890091</v>
      </c>
      <c r="E234" s="27">
        <f t="shared" si="48"/>
        <v>23.221324591187599</v>
      </c>
      <c r="F234" s="27">
        <f t="shared" si="48"/>
        <v>40.978808102095797</v>
      </c>
      <c r="G234" s="27">
        <f t="shared" si="48"/>
        <v>49.174569722514903</v>
      </c>
      <c r="H234" s="27">
        <f t="shared" si="48"/>
        <v>49.174569722514903</v>
      </c>
      <c r="I234" s="27">
        <f t="shared" si="48"/>
        <v>53.272450532724498</v>
      </c>
      <c r="J234" s="27">
        <f t="shared" si="48"/>
        <v>53.272450532724498</v>
      </c>
      <c r="K234" t="str">
        <f t="shared" ref="K234:K241" si="49">A234&amp;"."&amp;B234</f>
        <v>GEO_ELC.NEP C</v>
      </c>
    </row>
    <row r="235" spans="1:11">
      <c r="A235" t="str">
        <f t="shared" ref="A235:A241" si="50">A234</f>
        <v>GEO_ELC</v>
      </c>
      <c r="B235" s="14" t="s">
        <v>308</v>
      </c>
      <c r="C235" s="27">
        <f t="shared" si="48"/>
        <v>0</v>
      </c>
      <c r="D235" s="27">
        <f t="shared" si="48"/>
        <v>12.9795791896249</v>
      </c>
      <c r="E235" s="27">
        <f t="shared" si="48"/>
        <v>37.640779649912098</v>
      </c>
      <c r="F235" s="27">
        <f t="shared" si="48"/>
        <v>88.261138489448996</v>
      </c>
      <c r="G235" s="27">
        <f t="shared" si="48"/>
        <v>172.628403222011</v>
      </c>
      <c r="H235" s="27">
        <f t="shared" si="48"/>
        <v>299.82827928033402</v>
      </c>
      <c r="I235" s="27">
        <f t="shared" si="48"/>
        <v>438.70977660931999</v>
      </c>
      <c r="J235" s="27">
        <f t="shared" si="48"/>
        <v>556.82394723490597</v>
      </c>
      <c r="K235" t="str">
        <f t="shared" si="49"/>
        <v>GEO_ELC.NEP C&amp;E</v>
      </c>
    </row>
    <row r="236" spans="1:11">
      <c r="A236" t="str">
        <f t="shared" si="50"/>
        <v>GEO_ELC</v>
      </c>
      <c r="B236" s="14" t="s">
        <v>309</v>
      </c>
      <c r="C236" s="27">
        <f t="shared" si="48"/>
        <v>0</v>
      </c>
      <c r="D236" s="27">
        <f t="shared" si="48"/>
        <v>12.9795791896249</v>
      </c>
      <c r="E236" s="27">
        <f t="shared" si="48"/>
        <v>37.640779649912098</v>
      </c>
      <c r="F236" s="27">
        <f t="shared" si="48"/>
        <v>88.261138489448996</v>
      </c>
      <c r="G236" s="27">
        <f t="shared" si="48"/>
        <v>172.628403222011</v>
      </c>
      <c r="H236" s="27">
        <f t="shared" si="48"/>
        <v>299.82827928033402</v>
      </c>
      <c r="I236" s="27">
        <f t="shared" si="48"/>
        <v>438.70977660931999</v>
      </c>
      <c r="J236" s="27">
        <f t="shared" si="48"/>
        <v>556.82394723490597</v>
      </c>
      <c r="K236" t="str">
        <f t="shared" si="49"/>
        <v>GEO_ELC.NEP E</v>
      </c>
    </row>
    <row r="237" spans="1:11">
      <c r="A237" t="str">
        <f t="shared" si="50"/>
        <v>GEO_ELC</v>
      </c>
      <c r="B237" s="14" t="s">
        <v>142</v>
      </c>
      <c r="C237" s="27">
        <f t="shared" si="48"/>
        <v>0</v>
      </c>
      <c r="D237" s="27">
        <f t="shared" si="48"/>
        <v>9.5617218904890091</v>
      </c>
      <c r="E237" s="27">
        <f t="shared" si="48"/>
        <v>23.221324591187599</v>
      </c>
      <c r="F237" s="27">
        <f t="shared" si="48"/>
        <v>40.978808102095797</v>
      </c>
      <c r="G237" s="27">
        <f t="shared" si="48"/>
        <v>49.174569722514903</v>
      </c>
      <c r="H237" s="27">
        <f t="shared" si="48"/>
        <v>49.174569722514903</v>
      </c>
      <c r="I237" s="27">
        <f t="shared" si="48"/>
        <v>53.272450532724498</v>
      </c>
      <c r="J237" s="27">
        <f t="shared" si="48"/>
        <v>53.272450532724498</v>
      </c>
      <c r="K237" t="str">
        <f t="shared" si="49"/>
        <v>GEO_ELC.POM C</v>
      </c>
    </row>
    <row r="238" spans="1:11">
      <c r="A238" t="str">
        <f t="shared" si="50"/>
        <v>GEO_ELC</v>
      </c>
      <c r="B238" s="14" t="s">
        <v>296</v>
      </c>
      <c r="C238" s="27">
        <f t="shared" si="48"/>
        <v>0</v>
      </c>
      <c r="D238" s="27">
        <f t="shared" si="48"/>
        <v>12.9795791896249</v>
      </c>
      <c r="E238" s="27">
        <f t="shared" si="48"/>
        <v>37.640779649912098</v>
      </c>
      <c r="F238" s="27">
        <f t="shared" si="48"/>
        <v>88.261138489448996</v>
      </c>
      <c r="G238" s="27">
        <f t="shared" si="48"/>
        <v>172.628403222011</v>
      </c>
      <c r="H238" s="27">
        <f t="shared" si="48"/>
        <v>299.82827928033402</v>
      </c>
      <c r="I238" s="27">
        <f t="shared" si="48"/>
        <v>438.70977660931999</v>
      </c>
      <c r="J238" s="27">
        <f t="shared" si="48"/>
        <v>556.82394723490597</v>
      </c>
      <c r="K238" t="str">
        <f t="shared" si="49"/>
        <v>GEO_ELC.POM C&amp;E</v>
      </c>
    </row>
    <row r="239" spans="1:11">
      <c r="A239" t="str">
        <f t="shared" si="50"/>
        <v>GEO_ELC</v>
      </c>
      <c r="B239" s="14" t="s">
        <v>143</v>
      </c>
      <c r="C239" s="27">
        <f t="shared" si="48"/>
        <v>0</v>
      </c>
      <c r="D239" s="27">
        <f t="shared" si="48"/>
        <v>12.9795791896249</v>
      </c>
      <c r="E239" s="27">
        <f t="shared" si="48"/>
        <v>37.640779649912098</v>
      </c>
      <c r="F239" s="27">
        <f t="shared" si="48"/>
        <v>88.261138489448996</v>
      </c>
      <c r="G239" s="27">
        <f t="shared" si="48"/>
        <v>172.628403222011</v>
      </c>
      <c r="H239" s="27">
        <f t="shared" si="48"/>
        <v>299.82827928033402</v>
      </c>
      <c r="I239" s="27">
        <f t="shared" si="48"/>
        <v>438.70977660931999</v>
      </c>
      <c r="J239" s="27">
        <f t="shared" si="48"/>
        <v>556.82394723490597</v>
      </c>
      <c r="K239" t="str">
        <f t="shared" si="49"/>
        <v>GEO_ELC.POM E</v>
      </c>
    </row>
    <row r="240" spans="1:11">
      <c r="A240" t="str">
        <f t="shared" si="50"/>
        <v>GEO_ELC</v>
      </c>
      <c r="B240" s="14" t="s">
        <v>310</v>
      </c>
      <c r="C240" s="27">
        <f t="shared" si="48"/>
        <v>0</v>
      </c>
      <c r="D240" s="27">
        <f t="shared" si="48"/>
        <v>9.5617218904890091</v>
      </c>
      <c r="E240" s="27">
        <f t="shared" si="48"/>
        <v>23.221324591187599</v>
      </c>
      <c r="F240" s="27">
        <f t="shared" si="48"/>
        <v>40.978808102095797</v>
      </c>
      <c r="G240" s="27">
        <f t="shared" si="48"/>
        <v>49.174569722514903</v>
      </c>
      <c r="H240" s="27">
        <f t="shared" si="48"/>
        <v>49.174569722514903</v>
      </c>
      <c r="I240" s="27">
        <f t="shared" si="48"/>
        <v>53.272450532724498</v>
      </c>
      <c r="J240" s="27">
        <f t="shared" si="48"/>
        <v>53.272450532724498</v>
      </c>
      <c r="K240" t="str">
        <f t="shared" si="49"/>
        <v>GEO_ELC.WWB C</v>
      </c>
    </row>
    <row r="241" spans="1:11">
      <c r="A241" t="str">
        <f t="shared" si="50"/>
        <v>GEO_ELC</v>
      </c>
      <c r="B241" s="17" t="s">
        <v>311</v>
      </c>
      <c r="C241" s="27">
        <f t="shared" si="48"/>
        <v>0</v>
      </c>
      <c r="D241" s="27">
        <f t="shared" si="48"/>
        <v>12.9795791896249</v>
      </c>
      <c r="E241" s="27">
        <f t="shared" si="48"/>
        <v>37.640779649912098</v>
      </c>
      <c r="F241" s="27">
        <f t="shared" si="48"/>
        <v>88.261138489448996</v>
      </c>
      <c r="G241" s="27">
        <f t="shared" si="48"/>
        <v>172.628403222011</v>
      </c>
      <c r="H241" s="27">
        <f t="shared" si="48"/>
        <v>299.82827928033402</v>
      </c>
      <c r="I241" s="27">
        <f t="shared" si="48"/>
        <v>438.70977660931999</v>
      </c>
      <c r="J241" s="27">
        <f t="shared" si="48"/>
        <v>556.82394723490597</v>
      </c>
      <c r="K241" t="str">
        <f t="shared" si="49"/>
        <v>GEO_ELC.WWB C&amp;E</v>
      </c>
    </row>
  </sheetData>
  <mergeCells count="4">
    <mergeCell ref="A65:A89"/>
    <mergeCell ref="A91:A101"/>
    <mergeCell ref="B107:F109"/>
    <mergeCell ref="B147:F148"/>
  </mergeCells>
  <pageMargins left="0" right="0" top="0.39374999999999999" bottom="0.39374999999999999" header="0" footer="0"/>
  <headerFooter>
    <oddHeader>&amp;C&amp;A</oddHeader>
    <oddFooter>&amp;CPage &amp;P</oddFooter>
  </headerFooter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88"/>
  <sheetViews>
    <sheetView zoomScale="10" zoomScaleNormal="10" workbookViewId="0">
      <selection activeCell="T34" sqref="T34"/>
    </sheetView>
  </sheetViews>
  <sheetFormatPr defaultRowHeight="14.25"/>
  <cols>
    <col min="1" max="19" width="10.625" customWidth="1"/>
    <col min="20" max="20" width="38.125" bestFit="1" customWidth="1"/>
    <col min="21" max="37" width="10.625" customWidth="1"/>
  </cols>
  <sheetData>
    <row r="2" spans="2:22">
      <c r="H2">
        <f>COUNTA(H3:H11)</f>
        <v>9</v>
      </c>
      <c r="I2">
        <f>COUNTA(I3:I11)</f>
        <v>8</v>
      </c>
      <c r="J2">
        <f>COUNTA(J3:J11)</f>
        <v>8</v>
      </c>
      <c r="K2">
        <f>PRODUCT(H2:J2)</f>
        <v>576</v>
      </c>
    </row>
    <row r="3" spans="2:22">
      <c r="H3" t="s">
        <v>145</v>
      </c>
      <c r="I3" t="s">
        <v>142</v>
      </c>
      <c r="J3">
        <v>2015</v>
      </c>
    </row>
    <row r="4" spans="2:22">
      <c r="H4" t="s">
        <v>314</v>
      </c>
      <c r="I4" t="s">
        <v>296</v>
      </c>
      <c r="J4">
        <v>2020</v>
      </c>
    </row>
    <row r="5" spans="2:22">
      <c r="H5" t="s">
        <v>95</v>
      </c>
      <c r="I5" t="s">
        <v>143</v>
      </c>
      <c r="J5">
        <v>2025</v>
      </c>
    </row>
    <row r="6" spans="2:22">
      <c r="H6" t="s">
        <v>300</v>
      </c>
      <c r="I6" t="s">
        <v>307</v>
      </c>
      <c r="J6">
        <v>2030</v>
      </c>
    </row>
    <row r="7" spans="2:22">
      <c r="H7" t="s">
        <v>299</v>
      </c>
      <c r="I7" t="s">
        <v>308</v>
      </c>
      <c r="J7">
        <v>2035</v>
      </c>
    </row>
    <row r="8" spans="2:22">
      <c r="H8" t="s">
        <v>318</v>
      </c>
      <c r="I8" t="s">
        <v>309</v>
      </c>
      <c r="J8">
        <v>2040</v>
      </c>
    </row>
    <row r="9" spans="2:22">
      <c r="H9" t="s">
        <v>312</v>
      </c>
      <c r="I9" t="s">
        <v>310</v>
      </c>
      <c r="J9">
        <v>2045</v>
      </c>
    </row>
    <row r="10" spans="2:22">
      <c r="H10" t="s">
        <v>320</v>
      </c>
      <c r="I10" t="s">
        <v>311</v>
      </c>
      <c r="J10">
        <v>2050</v>
      </c>
    </row>
    <row r="11" spans="2:22">
      <c r="H11" t="s">
        <v>313</v>
      </c>
      <c r="T11" t="s">
        <v>330</v>
      </c>
    </row>
    <row r="12" spans="2:22">
      <c r="B12" t="s">
        <v>30</v>
      </c>
      <c r="C12" t="s">
        <v>128</v>
      </c>
      <c r="D12" t="s">
        <v>130</v>
      </c>
      <c r="E12" t="s">
        <v>331</v>
      </c>
      <c r="T12" t="s">
        <v>332</v>
      </c>
    </row>
    <row r="13" spans="2:22">
      <c r="B13" t="str">
        <f t="shared" ref="B13:B76" si="0">INDEX(H$3:H$11,H13)</f>
        <v>HYD_TOT</v>
      </c>
      <c r="C13" t="str">
        <f t="shared" ref="C13:C76" si="1">INDEX(I$3:I$11,I13)</f>
        <v>POM C</v>
      </c>
      <c r="D13">
        <f t="shared" ref="D13:D76" si="2">INDEX(J$3:J$11,J13)</f>
        <v>2015</v>
      </c>
      <c r="E13">
        <f t="shared" ref="E13:E76" si="3">INDEX($U$28:$AB$156,MATCH(K13,$Q$28:$Q$156,0),MATCH(D13,$U$26:$AB$26,0))</f>
        <v>13709.231619679382</v>
      </c>
      <c r="F13">
        <f t="shared" ref="F13:F76" si="4">MATCH(D13,$U$26:$AB$26,0)</f>
        <v>1</v>
      </c>
      <c r="H13">
        <v>1</v>
      </c>
      <c r="I13">
        <v>1</v>
      </c>
      <c r="J13">
        <v>1</v>
      </c>
      <c r="K13" t="str">
        <f t="shared" ref="K13:K76" si="5">C13&amp;"."&amp;B13</f>
        <v>POM C.HYD_TOT</v>
      </c>
      <c r="T13" t="s">
        <v>142</v>
      </c>
      <c r="U13" t="s">
        <v>333</v>
      </c>
      <c r="V13" t="s">
        <v>334</v>
      </c>
    </row>
    <row r="14" spans="2:22">
      <c r="B14" t="str">
        <f t="shared" si="0"/>
        <v>HYD_TOT_NEW</v>
      </c>
      <c r="C14" t="str">
        <f t="shared" si="1"/>
        <v>POM C</v>
      </c>
      <c r="D14">
        <f t="shared" si="2"/>
        <v>2015</v>
      </c>
      <c r="E14">
        <f t="shared" si="3"/>
        <v>972.91321171918185</v>
      </c>
      <c r="F14">
        <f t="shared" si="4"/>
        <v>1</v>
      </c>
      <c r="H14">
        <f t="shared" ref="H14:H77" si="6">IF(H13=COUNTA($H$3:$H$11),1,H13+1)</f>
        <v>2</v>
      </c>
      <c r="I14">
        <f t="shared" ref="I14:I77" si="7">IF(H14=1,IF(I13=COUNTA($I$3:$I$11),1,I13+1),I13)</f>
        <v>1</v>
      </c>
      <c r="J14">
        <f t="shared" ref="J14:J77" si="8">IF(AND(I14=1,I13&gt;1),IF(J13=$J$2,1,J13+1),J13)</f>
        <v>1</v>
      </c>
      <c r="K14" t="str">
        <f t="shared" si="5"/>
        <v>POM C.HYD_TOT_NEW</v>
      </c>
      <c r="T14" t="s">
        <v>296</v>
      </c>
      <c r="U14" t="s">
        <v>335</v>
      </c>
      <c r="V14" t="s">
        <v>336</v>
      </c>
    </row>
    <row r="15" spans="2:22">
      <c r="B15" t="str">
        <f t="shared" si="0"/>
        <v>NUC_ELC</v>
      </c>
      <c r="C15" t="str">
        <f t="shared" si="1"/>
        <v>POM C</v>
      </c>
      <c r="D15">
        <f t="shared" si="2"/>
        <v>2015</v>
      </c>
      <c r="E15">
        <f t="shared" si="3"/>
        <v>3272.6644555002763</v>
      </c>
      <c r="F15">
        <f t="shared" si="4"/>
        <v>1</v>
      </c>
      <c r="H15">
        <f t="shared" si="6"/>
        <v>3</v>
      </c>
      <c r="I15">
        <f t="shared" si="7"/>
        <v>1</v>
      </c>
      <c r="J15">
        <f t="shared" si="8"/>
        <v>1</v>
      </c>
      <c r="K15" t="str">
        <f t="shared" si="5"/>
        <v>POM C.NUC_ELC</v>
      </c>
      <c r="T15" t="s">
        <v>143</v>
      </c>
      <c r="U15" t="s">
        <v>337</v>
      </c>
      <c r="V15" t="s">
        <v>336</v>
      </c>
    </row>
    <row r="16" spans="2:22">
      <c r="B16" t="str">
        <f t="shared" si="0"/>
        <v>FSS_ELC</v>
      </c>
      <c r="C16" t="str">
        <f t="shared" si="1"/>
        <v>POM C</v>
      </c>
      <c r="D16">
        <f t="shared" si="2"/>
        <v>2015</v>
      </c>
      <c r="E16">
        <f t="shared" si="3"/>
        <v>0</v>
      </c>
      <c r="F16">
        <f t="shared" si="4"/>
        <v>1</v>
      </c>
      <c r="H16">
        <f t="shared" si="6"/>
        <v>4</v>
      </c>
      <c r="I16">
        <f t="shared" si="7"/>
        <v>1</v>
      </c>
      <c r="J16">
        <f t="shared" si="8"/>
        <v>1</v>
      </c>
      <c r="K16" t="str">
        <f t="shared" si="5"/>
        <v>POM C.FSS_ELC</v>
      </c>
      <c r="T16" t="s">
        <v>307</v>
      </c>
      <c r="U16" t="s">
        <v>338</v>
      </c>
      <c r="V16" t="s">
        <v>339</v>
      </c>
    </row>
    <row r="17" spans="2:37">
      <c r="B17" t="str">
        <f t="shared" si="0"/>
        <v>FSS_CHP</v>
      </c>
      <c r="C17" t="str">
        <f t="shared" si="1"/>
        <v>POM C</v>
      </c>
      <c r="D17">
        <f t="shared" si="2"/>
        <v>2015</v>
      </c>
      <c r="E17">
        <f t="shared" si="3"/>
        <v>309.5632946379215</v>
      </c>
      <c r="F17">
        <f t="shared" si="4"/>
        <v>1</v>
      </c>
      <c r="H17">
        <f t="shared" si="6"/>
        <v>5</v>
      </c>
      <c r="I17">
        <f t="shared" si="7"/>
        <v>1</v>
      </c>
      <c r="J17">
        <f t="shared" si="8"/>
        <v>1</v>
      </c>
      <c r="K17" t="str">
        <f t="shared" si="5"/>
        <v>POM C.FSS_CHP</v>
      </c>
      <c r="T17" t="s">
        <v>308</v>
      </c>
      <c r="U17" t="s">
        <v>340</v>
      </c>
      <c r="V17" t="s">
        <v>341</v>
      </c>
    </row>
    <row r="18" spans="2:37">
      <c r="B18" t="str">
        <f t="shared" si="0"/>
        <v>SOL_WIN_BAL_WASREN</v>
      </c>
      <c r="C18" t="str">
        <f t="shared" si="1"/>
        <v>POM C</v>
      </c>
      <c r="D18">
        <f t="shared" si="2"/>
        <v>2015</v>
      </c>
      <c r="E18">
        <f t="shared" si="3"/>
        <v>243.22830292979546</v>
      </c>
      <c r="F18">
        <f t="shared" si="4"/>
        <v>1</v>
      </c>
      <c r="H18">
        <f t="shared" si="6"/>
        <v>6</v>
      </c>
      <c r="I18">
        <f t="shared" si="7"/>
        <v>1</v>
      </c>
      <c r="J18">
        <f t="shared" si="8"/>
        <v>1</v>
      </c>
      <c r="K18" t="str">
        <f t="shared" si="5"/>
        <v>POM C.SOL_WIN_BAL_WASREN</v>
      </c>
      <c r="T18" t="s">
        <v>309</v>
      </c>
      <c r="U18" t="s">
        <v>342</v>
      </c>
      <c r="V18" t="s">
        <v>341</v>
      </c>
    </row>
    <row r="19" spans="2:37">
      <c r="B19" t="str">
        <f t="shared" si="0"/>
        <v>FSS_CHP_NEW</v>
      </c>
      <c r="C19" t="str">
        <f t="shared" si="1"/>
        <v>POM C</v>
      </c>
      <c r="D19">
        <f t="shared" si="2"/>
        <v>2015</v>
      </c>
      <c r="E19">
        <f t="shared" si="3"/>
        <v>154.91984521835269</v>
      </c>
      <c r="F19">
        <f t="shared" si="4"/>
        <v>1</v>
      </c>
      <c r="H19">
        <f t="shared" si="6"/>
        <v>7</v>
      </c>
      <c r="I19">
        <f t="shared" si="7"/>
        <v>1</v>
      </c>
      <c r="J19">
        <f t="shared" si="8"/>
        <v>1</v>
      </c>
      <c r="K19" t="str">
        <f t="shared" si="5"/>
        <v>POM C.FSS_CHP_NEW</v>
      </c>
      <c r="T19" t="s">
        <v>310</v>
      </c>
      <c r="U19" t="s">
        <v>343</v>
      </c>
      <c r="V19" t="s">
        <v>344</v>
      </c>
    </row>
    <row r="20" spans="2:37">
      <c r="B20" t="str">
        <f t="shared" si="0"/>
        <v>SOL_WIN_BAL_WASREN_NEW</v>
      </c>
      <c r="C20" t="str">
        <f t="shared" si="1"/>
        <v>POM C</v>
      </c>
      <c r="D20">
        <f t="shared" si="2"/>
        <v>2015</v>
      </c>
      <c r="E20">
        <f t="shared" si="3"/>
        <v>154.64344941956881</v>
      </c>
      <c r="F20">
        <f t="shared" si="4"/>
        <v>1</v>
      </c>
      <c r="H20">
        <f t="shared" si="6"/>
        <v>8</v>
      </c>
      <c r="I20">
        <f t="shared" si="7"/>
        <v>1</v>
      </c>
      <c r="J20">
        <f t="shared" si="8"/>
        <v>1</v>
      </c>
      <c r="K20" t="str">
        <f t="shared" si="5"/>
        <v>POM C.SOL_WIN_BAL_WASREN_NEW</v>
      </c>
      <c r="T20" t="s">
        <v>311</v>
      </c>
      <c r="U20" t="s">
        <v>345</v>
      </c>
      <c r="V20" t="s">
        <v>346</v>
      </c>
    </row>
    <row r="21" spans="2:37">
      <c r="B21" t="str">
        <f t="shared" si="0"/>
        <v>FSS_ELC_NEW</v>
      </c>
      <c r="C21" t="str">
        <f t="shared" si="1"/>
        <v>POM C</v>
      </c>
      <c r="D21">
        <f t="shared" si="2"/>
        <v>2015</v>
      </c>
      <c r="E21">
        <f t="shared" si="3"/>
        <v>0</v>
      </c>
      <c r="F21">
        <f t="shared" si="4"/>
        <v>1</v>
      </c>
      <c r="H21">
        <f t="shared" si="6"/>
        <v>9</v>
      </c>
      <c r="I21">
        <f t="shared" si="7"/>
        <v>1</v>
      </c>
      <c r="J21">
        <f t="shared" si="8"/>
        <v>1</v>
      </c>
      <c r="K21" t="str">
        <f t="shared" si="5"/>
        <v>POM C.FSS_ELC_NEW</v>
      </c>
    </row>
    <row r="22" spans="2:37">
      <c r="B22" t="str">
        <f t="shared" si="0"/>
        <v>HYD_TOT</v>
      </c>
      <c r="C22" t="str">
        <f t="shared" si="1"/>
        <v>POM C&amp;E</v>
      </c>
      <c r="D22">
        <f t="shared" si="2"/>
        <v>2015</v>
      </c>
      <c r="E22">
        <f t="shared" si="3"/>
        <v>13753.106876553438</v>
      </c>
      <c r="F22">
        <f t="shared" si="4"/>
        <v>1</v>
      </c>
      <c r="H22">
        <f t="shared" si="6"/>
        <v>1</v>
      </c>
      <c r="I22">
        <f t="shared" si="7"/>
        <v>2</v>
      </c>
      <c r="J22">
        <f t="shared" si="8"/>
        <v>1</v>
      </c>
      <c r="K22" t="str">
        <f t="shared" si="5"/>
        <v>POM C&amp;E.HYD_TOT</v>
      </c>
    </row>
    <row r="23" spans="2:37">
      <c r="B23" t="str">
        <f t="shared" si="0"/>
        <v>HYD_TOT_NEW</v>
      </c>
      <c r="C23" t="str">
        <f t="shared" si="1"/>
        <v>POM C&amp;E</v>
      </c>
      <c r="D23">
        <f t="shared" si="2"/>
        <v>2015</v>
      </c>
      <c r="E23">
        <f t="shared" si="3"/>
        <v>1038.5252692626345</v>
      </c>
      <c r="F23">
        <f t="shared" si="4"/>
        <v>1</v>
      </c>
      <c r="H23">
        <f t="shared" si="6"/>
        <v>2</v>
      </c>
      <c r="I23">
        <f t="shared" si="7"/>
        <v>2</v>
      </c>
      <c r="J23">
        <f t="shared" si="8"/>
        <v>1</v>
      </c>
      <c r="K23" t="str">
        <f t="shared" si="5"/>
        <v>POM C&amp;E.HYD_TOT_NEW</v>
      </c>
    </row>
    <row r="24" spans="2:37">
      <c r="B24" t="str">
        <f t="shared" si="0"/>
        <v>NUC_ELC</v>
      </c>
      <c r="C24" t="str">
        <f t="shared" si="1"/>
        <v>POM C&amp;E</v>
      </c>
      <c r="D24">
        <f t="shared" si="2"/>
        <v>2015</v>
      </c>
      <c r="E24">
        <f t="shared" si="3"/>
        <v>3247.5835404584368</v>
      </c>
      <c r="F24">
        <f t="shared" si="4"/>
        <v>1</v>
      </c>
      <c r="H24">
        <f t="shared" si="6"/>
        <v>3</v>
      </c>
      <c r="I24">
        <f t="shared" si="7"/>
        <v>2</v>
      </c>
      <c r="J24">
        <f t="shared" si="8"/>
        <v>1</v>
      </c>
      <c r="K24" t="str">
        <f t="shared" si="5"/>
        <v>POM C&amp;E.NUC_ELC</v>
      </c>
    </row>
    <row r="25" spans="2:37">
      <c r="B25" t="str">
        <f t="shared" si="0"/>
        <v>FSS_ELC</v>
      </c>
      <c r="C25" t="str">
        <f t="shared" si="1"/>
        <v>POM C&amp;E</v>
      </c>
      <c r="D25">
        <f t="shared" si="2"/>
        <v>2015</v>
      </c>
      <c r="E25">
        <f t="shared" si="3"/>
        <v>0</v>
      </c>
      <c r="F25">
        <f t="shared" si="4"/>
        <v>1</v>
      </c>
      <c r="H25">
        <f t="shared" si="6"/>
        <v>4</v>
      </c>
      <c r="I25">
        <f t="shared" si="7"/>
        <v>2</v>
      </c>
      <c r="J25">
        <f t="shared" si="8"/>
        <v>1</v>
      </c>
      <c r="K25" t="str">
        <f t="shared" si="5"/>
        <v>POM C&amp;E.FSS_ELC</v>
      </c>
      <c r="U25" t="s">
        <v>142</v>
      </c>
      <c r="V25" t="str">
        <f>INDEX($U$13:$U$20,MATCH(U25,$T$13:$T$20,0))</f>
        <v>Figure 9-51</v>
      </c>
      <c r="W25" t="str">
        <f>INDEX($V$13:$V$20,MATCH(U25,$T$13:$T$20,0))</f>
        <v>p658</v>
      </c>
    </row>
    <row r="26" spans="2:37">
      <c r="B26" t="str">
        <f t="shared" si="0"/>
        <v>FSS_CHP</v>
      </c>
      <c r="C26" t="str">
        <f t="shared" si="1"/>
        <v>POM C&amp;E</v>
      </c>
      <c r="D26">
        <f t="shared" si="2"/>
        <v>2015</v>
      </c>
      <c r="E26">
        <f t="shared" si="3"/>
        <v>331.40016570008282</v>
      </c>
      <c r="F26">
        <f t="shared" si="4"/>
        <v>1</v>
      </c>
      <c r="H26">
        <f t="shared" si="6"/>
        <v>5</v>
      </c>
      <c r="I26">
        <f t="shared" si="7"/>
        <v>2</v>
      </c>
      <c r="J26">
        <f t="shared" si="8"/>
        <v>1</v>
      </c>
      <c r="K26" t="str">
        <f t="shared" si="5"/>
        <v>POM C&amp;E.FSS_CHP</v>
      </c>
      <c r="U26">
        <v>2015</v>
      </c>
      <c r="V26">
        <v>2020</v>
      </c>
      <c r="W26">
        <v>2025</v>
      </c>
      <c r="X26">
        <v>2030</v>
      </c>
      <c r="Y26">
        <v>2035</v>
      </c>
      <c r="Z26">
        <v>2040</v>
      </c>
      <c r="AA26">
        <v>2045</v>
      </c>
      <c r="AB26">
        <v>2050</v>
      </c>
      <c r="AD26">
        <v>2015</v>
      </c>
      <c r="AE26">
        <v>2020</v>
      </c>
      <c r="AF26">
        <v>2025</v>
      </c>
      <c r="AG26">
        <v>2030</v>
      </c>
      <c r="AH26">
        <v>2035</v>
      </c>
      <c r="AI26">
        <v>2040</v>
      </c>
      <c r="AJ26">
        <v>2045</v>
      </c>
      <c r="AK26">
        <v>2050</v>
      </c>
    </row>
    <row r="27" spans="2:37">
      <c r="B27" t="str">
        <f t="shared" si="0"/>
        <v>SOL_WIN_BAL_WASREN</v>
      </c>
      <c r="C27" t="str">
        <f t="shared" si="1"/>
        <v>POM C&amp;E</v>
      </c>
      <c r="D27">
        <f t="shared" si="2"/>
        <v>2015</v>
      </c>
      <c r="E27">
        <f t="shared" si="3"/>
        <v>243.16487158243578</v>
      </c>
      <c r="F27">
        <f t="shared" si="4"/>
        <v>1</v>
      </c>
      <c r="H27">
        <f t="shared" si="6"/>
        <v>6</v>
      </c>
      <c r="I27">
        <f t="shared" si="7"/>
        <v>2</v>
      </c>
      <c r="J27">
        <f t="shared" si="8"/>
        <v>1</v>
      </c>
      <c r="K27" t="str">
        <f t="shared" si="5"/>
        <v>POM C&amp;E.SOL_WIN_BAL_WASREN</v>
      </c>
      <c r="AC27">
        <v>0</v>
      </c>
      <c r="AD27">
        <v>467787</v>
      </c>
      <c r="AE27">
        <f t="shared" ref="AE27:AK27" si="9">AD27</f>
        <v>467787</v>
      </c>
      <c r="AF27">
        <f t="shared" si="9"/>
        <v>467787</v>
      </c>
      <c r="AG27">
        <f t="shared" si="9"/>
        <v>467787</v>
      </c>
      <c r="AH27">
        <f t="shared" si="9"/>
        <v>467787</v>
      </c>
      <c r="AI27">
        <f t="shared" si="9"/>
        <v>467787</v>
      </c>
      <c r="AJ27">
        <f t="shared" si="9"/>
        <v>467787</v>
      </c>
      <c r="AK27">
        <f t="shared" si="9"/>
        <v>467787</v>
      </c>
    </row>
    <row r="28" spans="2:37">
      <c r="B28" t="str">
        <f t="shared" si="0"/>
        <v>FSS_CHP_NEW</v>
      </c>
      <c r="C28" t="str">
        <f t="shared" si="1"/>
        <v>POM C&amp;E</v>
      </c>
      <c r="D28">
        <f t="shared" si="2"/>
        <v>2015</v>
      </c>
      <c r="E28">
        <f t="shared" si="3"/>
        <v>154.51532725766364</v>
      </c>
      <c r="F28">
        <f t="shared" si="4"/>
        <v>1</v>
      </c>
      <c r="H28">
        <f t="shared" si="6"/>
        <v>7</v>
      </c>
      <c r="I28">
        <f t="shared" si="7"/>
        <v>2</v>
      </c>
      <c r="J28">
        <f t="shared" si="8"/>
        <v>1</v>
      </c>
      <c r="K28" t="str">
        <f t="shared" si="5"/>
        <v>POM C&amp;E.FSS_CHP_NEW</v>
      </c>
      <c r="Q28" t="str">
        <f t="shared" ref="Q28:Q37" si="10">R28&amp;"."&amp;S28</f>
        <v>POM C.HYD_TOT</v>
      </c>
      <c r="R28" t="str">
        <f>U25</f>
        <v>POM C</v>
      </c>
      <c r="S28" t="s">
        <v>145</v>
      </c>
      <c r="T28" s="130" t="s">
        <v>347</v>
      </c>
      <c r="U28">
        <f t="shared" ref="U28:U37" si="11">(AD28-AD27)*($AC$40-$AC$27)/(AD$40-AD$27)</f>
        <v>13709.231619679382</v>
      </c>
      <c r="V28">
        <f t="shared" ref="V28:V37" si="12">(AE28-AE27)*($AC$40-$AC$27)/(AE$40-AE$27)</f>
        <v>13709.231619679382</v>
      </c>
      <c r="W28">
        <f t="shared" ref="W28:W37" si="13">(AF28-AF27)*($AC$40-$AC$27)/(AF$40-AF$27)</f>
        <v>13709.231619679382</v>
      </c>
      <c r="X28">
        <f t="shared" ref="X28:X37" si="14">(AG28-AG27)*($AC$40-$AC$27)/(AG$40-AG$27)</f>
        <v>13709.231619679382</v>
      </c>
      <c r="Y28">
        <f t="shared" ref="Y28:Y37" si="15">(AH28-AH27)*($AC$40-$AC$27)/(AH$40-AH$27)</f>
        <v>13709.231619679382</v>
      </c>
      <c r="Z28">
        <f t="shared" ref="Z28:Z37" si="16">(AI28-AI27)*($AC$40-$AC$27)/(AI$40-AI$27)</f>
        <v>13709.231619679382</v>
      </c>
      <c r="AA28">
        <f t="shared" ref="AA28:AA37" si="17">(AJ28-AJ27)*($AC$40-$AC$27)/(AJ$40-AJ$27)</f>
        <v>13709.231619679382</v>
      </c>
      <c r="AB28">
        <f t="shared" ref="AB28:AB37" si="18">(AK28-AK27)*($AC$40-$AC$27)/(AK$40-AK$27)</f>
        <v>13709.231619679382</v>
      </c>
      <c r="AD28">
        <v>566987</v>
      </c>
      <c r="AE28">
        <v>566987</v>
      </c>
      <c r="AF28">
        <v>566987</v>
      </c>
      <c r="AG28">
        <v>566987</v>
      </c>
      <c r="AH28">
        <v>566987</v>
      </c>
      <c r="AI28">
        <v>566987</v>
      </c>
      <c r="AJ28">
        <v>566987</v>
      </c>
      <c r="AK28">
        <v>566987</v>
      </c>
    </row>
    <row r="29" spans="2:37">
      <c r="B29" t="str">
        <f t="shared" si="0"/>
        <v>SOL_WIN_BAL_WASREN_NEW</v>
      </c>
      <c r="C29" t="str">
        <f t="shared" si="1"/>
        <v>POM C&amp;E</v>
      </c>
      <c r="D29">
        <f t="shared" si="2"/>
        <v>2015</v>
      </c>
      <c r="E29">
        <f t="shared" si="3"/>
        <v>463.96023198011596</v>
      </c>
      <c r="F29">
        <f t="shared" si="4"/>
        <v>1</v>
      </c>
      <c r="H29">
        <f t="shared" si="6"/>
        <v>8</v>
      </c>
      <c r="I29">
        <f t="shared" si="7"/>
        <v>2</v>
      </c>
      <c r="J29">
        <f t="shared" si="8"/>
        <v>1</v>
      </c>
      <c r="K29" t="str">
        <f t="shared" si="5"/>
        <v>POM C&amp;E.SOL_WIN_BAL_WASREN_NEW</v>
      </c>
      <c r="Q29" t="str">
        <f t="shared" si="10"/>
        <v>POM C.HYD_TOT_NEW</v>
      </c>
      <c r="R29" t="str">
        <f t="shared" ref="R29:R37" si="19">R28</f>
        <v>POM C</v>
      </c>
      <c r="S29" t="s">
        <v>314</v>
      </c>
      <c r="T29" s="130" t="s">
        <v>348</v>
      </c>
      <c r="U29">
        <f t="shared" si="11"/>
        <v>972.91321171918185</v>
      </c>
      <c r="V29">
        <f t="shared" si="12"/>
        <v>3637.3687119955775</v>
      </c>
      <c r="W29">
        <f t="shared" si="13"/>
        <v>3670.6744057490328</v>
      </c>
      <c r="X29">
        <f t="shared" si="14"/>
        <v>3758.9828634604755</v>
      </c>
      <c r="Y29">
        <f t="shared" si="15"/>
        <v>3758.9828634604755</v>
      </c>
      <c r="Z29">
        <f t="shared" si="16"/>
        <v>3847.4295190713101</v>
      </c>
      <c r="AA29">
        <f t="shared" si="17"/>
        <v>3913.764510779436</v>
      </c>
      <c r="AB29">
        <f t="shared" si="18"/>
        <v>4002.3493642896628</v>
      </c>
      <c r="AD29">
        <v>574027</v>
      </c>
      <c r="AE29">
        <v>593307</v>
      </c>
      <c r="AF29">
        <v>593548</v>
      </c>
      <c r="AG29">
        <v>594187</v>
      </c>
      <c r="AH29">
        <v>594187</v>
      </c>
      <c r="AI29">
        <v>594827</v>
      </c>
      <c r="AJ29">
        <v>595307</v>
      </c>
      <c r="AK29">
        <v>595948</v>
      </c>
    </row>
    <row r="30" spans="2:37">
      <c r="B30" t="str">
        <f t="shared" si="0"/>
        <v>FSS_ELC_NEW</v>
      </c>
      <c r="C30" t="str">
        <f t="shared" si="1"/>
        <v>POM C&amp;E</v>
      </c>
      <c r="D30">
        <f t="shared" si="2"/>
        <v>2015</v>
      </c>
      <c r="E30">
        <f t="shared" si="3"/>
        <v>0</v>
      </c>
      <c r="F30">
        <f t="shared" si="4"/>
        <v>1</v>
      </c>
      <c r="H30">
        <f t="shared" si="6"/>
        <v>9</v>
      </c>
      <c r="I30">
        <f t="shared" si="7"/>
        <v>2</v>
      </c>
      <c r="J30">
        <f t="shared" si="8"/>
        <v>1</v>
      </c>
      <c r="K30" t="str">
        <f t="shared" si="5"/>
        <v>POM C&amp;E.FSS_ELC_NEW</v>
      </c>
      <c r="Q30" t="str">
        <f t="shared" si="10"/>
        <v>POM C.NUC_ELC</v>
      </c>
      <c r="R30" t="str">
        <f t="shared" si="19"/>
        <v>POM C</v>
      </c>
      <c r="S30" t="s">
        <v>95</v>
      </c>
      <c r="T30" s="130" t="s">
        <v>349</v>
      </c>
      <c r="U30">
        <f t="shared" si="11"/>
        <v>3272.6644555002763</v>
      </c>
      <c r="V30">
        <f t="shared" si="12"/>
        <v>2907.8220011055832</v>
      </c>
      <c r="W30">
        <f t="shared" si="13"/>
        <v>2166.8048645660588</v>
      </c>
      <c r="X30">
        <f t="shared" si="14"/>
        <v>1194.0298507462687</v>
      </c>
      <c r="Y30">
        <f t="shared" si="15"/>
        <v>0</v>
      </c>
      <c r="Z30">
        <f t="shared" si="16"/>
        <v>0</v>
      </c>
      <c r="AA30">
        <f t="shared" si="17"/>
        <v>0</v>
      </c>
      <c r="AB30">
        <f t="shared" si="18"/>
        <v>0</v>
      </c>
      <c r="AD30">
        <v>597708</v>
      </c>
      <c r="AE30">
        <v>614348</v>
      </c>
      <c r="AF30">
        <v>609227</v>
      </c>
      <c r="AG30">
        <v>602827</v>
      </c>
      <c r="AH30">
        <f t="shared" ref="AH30:AK31" si="20">AH29</f>
        <v>594187</v>
      </c>
      <c r="AI30">
        <f t="shared" si="20"/>
        <v>594827</v>
      </c>
      <c r="AJ30">
        <f t="shared" si="20"/>
        <v>595307</v>
      </c>
      <c r="AK30">
        <f t="shared" si="20"/>
        <v>595948</v>
      </c>
    </row>
    <row r="31" spans="2:37">
      <c r="B31" t="str">
        <f t="shared" si="0"/>
        <v>HYD_TOT</v>
      </c>
      <c r="C31" t="str">
        <f t="shared" si="1"/>
        <v>POM E</v>
      </c>
      <c r="D31">
        <f t="shared" si="2"/>
        <v>2015</v>
      </c>
      <c r="E31">
        <f t="shared" si="3"/>
        <v>13713.02184130495</v>
      </c>
      <c r="F31">
        <f t="shared" si="4"/>
        <v>1</v>
      </c>
      <c r="H31">
        <f t="shared" si="6"/>
        <v>1</v>
      </c>
      <c r="I31">
        <f t="shared" si="7"/>
        <v>3</v>
      </c>
      <c r="J31">
        <f t="shared" si="8"/>
        <v>1</v>
      </c>
      <c r="K31" t="str">
        <f t="shared" si="5"/>
        <v>POM E.HYD_TOT</v>
      </c>
      <c r="Q31" t="str">
        <f t="shared" si="10"/>
        <v>POM C.FSS_ELC</v>
      </c>
      <c r="R31" t="str">
        <f t="shared" si="19"/>
        <v>POM C</v>
      </c>
      <c r="S31" t="s">
        <v>300</v>
      </c>
      <c r="T31" s="130" t="s">
        <v>350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  <c r="Y31">
        <f t="shared" si="15"/>
        <v>0</v>
      </c>
      <c r="Z31">
        <f t="shared" si="16"/>
        <v>0</v>
      </c>
      <c r="AA31">
        <f t="shared" si="17"/>
        <v>0</v>
      </c>
      <c r="AB31">
        <f t="shared" si="18"/>
        <v>0</v>
      </c>
      <c r="AD31">
        <v>597708</v>
      </c>
      <c r="AE31">
        <f>AE30</f>
        <v>614348</v>
      </c>
      <c r="AF31">
        <f>AF30</f>
        <v>609227</v>
      </c>
      <c r="AG31">
        <f>AG30</f>
        <v>602827</v>
      </c>
      <c r="AH31">
        <f t="shared" si="20"/>
        <v>594187</v>
      </c>
      <c r="AI31">
        <f t="shared" si="20"/>
        <v>594827</v>
      </c>
      <c r="AJ31">
        <f t="shared" si="20"/>
        <v>595307</v>
      </c>
      <c r="AK31">
        <f t="shared" si="20"/>
        <v>595948</v>
      </c>
    </row>
    <row r="32" spans="2:37">
      <c r="B32" t="str">
        <f t="shared" si="0"/>
        <v>HYD_TOT_NEW</v>
      </c>
      <c r="C32" t="str">
        <f t="shared" si="1"/>
        <v>POM E</v>
      </c>
      <c r="D32">
        <f t="shared" si="2"/>
        <v>2015</v>
      </c>
      <c r="E32">
        <f t="shared" si="3"/>
        <v>1039.5355266795686</v>
      </c>
      <c r="F32">
        <f t="shared" si="4"/>
        <v>1</v>
      </c>
      <c r="H32">
        <f t="shared" si="6"/>
        <v>2</v>
      </c>
      <c r="I32">
        <f t="shared" si="7"/>
        <v>3</v>
      </c>
      <c r="J32">
        <f t="shared" si="8"/>
        <v>1</v>
      </c>
      <c r="K32" t="str">
        <f t="shared" si="5"/>
        <v>POM E.HYD_TOT_NEW</v>
      </c>
      <c r="Q32" t="str">
        <f t="shared" si="10"/>
        <v>POM C.FSS_CHP</v>
      </c>
      <c r="R32" t="str">
        <f t="shared" si="19"/>
        <v>POM C</v>
      </c>
      <c r="S32" t="s">
        <v>299</v>
      </c>
      <c r="T32" s="130" t="s">
        <v>351</v>
      </c>
      <c r="U32">
        <f t="shared" si="11"/>
        <v>309.5632946379215</v>
      </c>
      <c r="V32">
        <f t="shared" si="12"/>
        <v>243.09010503040355</v>
      </c>
      <c r="W32">
        <f t="shared" si="13"/>
        <v>154.91984521835269</v>
      </c>
      <c r="X32">
        <f t="shared" si="14"/>
        <v>88.446655610834711</v>
      </c>
      <c r="Y32">
        <f t="shared" si="15"/>
        <v>88.446655610834711</v>
      </c>
      <c r="Z32">
        <f t="shared" si="16"/>
        <v>0</v>
      </c>
      <c r="AA32">
        <f t="shared" si="17"/>
        <v>0</v>
      </c>
      <c r="AB32">
        <f t="shared" si="18"/>
        <v>0</v>
      </c>
      <c r="AD32">
        <v>599948</v>
      </c>
      <c r="AE32">
        <v>616107</v>
      </c>
      <c r="AF32">
        <v>610348</v>
      </c>
      <c r="AG32">
        <v>603467</v>
      </c>
      <c r="AH32">
        <v>594827</v>
      </c>
      <c r="AI32">
        <f>AI31</f>
        <v>594827</v>
      </c>
      <c r="AJ32">
        <f>AJ31</f>
        <v>595307</v>
      </c>
      <c r="AK32">
        <f>AK31</f>
        <v>595948</v>
      </c>
    </row>
    <row r="33" spans="2:37">
      <c r="B33" t="str">
        <f t="shared" si="0"/>
        <v>NUC_ELC</v>
      </c>
      <c r="C33" t="str">
        <f t="shared" si="1"/>
        <v>POM E</v>
      </c>
      <c r="D33">
        <f t="shared" si="2"/>
        <v>2015</v>
      </c>
      <c r="E33">
        <f t="shared" si="3"/>
        <v>3273.4310201824715</v>
      </c>
      <c r="F33">
        <f t="shared" si="4"/>
        <v>1</v>
      </c>
      <c r="H33">
        <f t="shared" si="6"/>
        <v>3</v>
      </c>
      <c r="I33">
        <f t="shared" si="7"/>
        <v>3</v>
      </c>
      <c r="J33">
        <f t="shared" si="8"/>
        <v>1</v>
      </c>
      <c r="K33" t="str">
        <f t="shared" si="5"/>
        <v>POM E.NUC_ELC</v>
      </c>
      <c r="Q33" t="str">
        <f t="shared" si="10"/>
        <v>POM C.</v>
      </c>
      <c r="R33" t="str">
        <f t="shared" si="19"/>
        <v>POM C</v>
      </c>
      <c r="T33" s="130" t="s">
        <v>352</v>
      </c>
      <c r="U33">
        <f t="shared" si="11"/>
        <v>2476.3681592039802</v>
      </c>
      <c r="V33">
        <f t="shared" si="12"/>
        <v>1525.8430071862908</v>
      </c>
      <c r="W33">
        <f t="shared" si="13"/>
        <v>1282.3383084577115</v>
      </c>
      <c r="X33">
        <f t="shared" si="14"/>
        <v>1260.3648424543946</v>
      </c>
      <c r="Y33">
        <f t="shared" si="15"/>
        <v>398.00995024875624</v>
      </c>
      <c r="Z33">
        <f t="shared" si="16"/>
        <v>221.11663902708679</v>
      </c>
      <c r="AA33">
        <f t="shared" si="17"/>
        <v>0</v>
      </c>
      <c r="AB33">
        <f t="shared" si="18"/>
        <v>0</v>
      </c>
      <c r="AD33">
        <v>617867</v>
      </c>
      <c r="AE33">
        <v>627148</v>
      </c>
      <c r="AF33">
        <v>619627</v>
      </c>
      <c r="AG33">
        <v>612587</v>
      </c>
      <c r="AH33">
        <v>597707</v>
      </c>
      <c r="AI33">
        <v>596427</v>
      </c>
      <c r="AJ33">
        <f>AJ32</f>
        <v>595307</v>
      </c>
      <c r="AK33">
        <f>AK32</f>
        <v>595948</v>
      </c>
    </row>
    <row r="34" spans="2:37">
      <c r="B34" t="str">
        <f t="shared" si="0"/>
        <v>FSS_ELC</v>
      </c>
      <c r="C34" t="str">
        <f t="shared" si="1"/>
        <v>POM E</v>
      </c>
      <c r="D34">
        <f t="shared" si="2"/>
        <v>2015</v>
      </c>
      <c r="E34">
        <f t="shared" si="3"/>
        <v>0</v>
      </c>
      <c r="F34">
        <f t="shared" si="4"/>
        <v>1</v>
      </c>
      <c r="H34">
        <f t="shared" si="6"/>
        <v>4</v>
      </c>
      <c r="I34">
        <f t="shared" si="7"/>
        <v>3</v>
      </c>
      <c r="J34">
        <f t="shared" si="8"/>
        <v>1</v>
      </c>
      <c r="K34" t="str">
        <f t="shared" si="5"/>
        <v>POM E.FSS_ELC</v>
      </c>
      <c r="Q34" t="str">
        <f t="shared" si="10"/>
        <v>POM C.SOL_WIN_BAL_WASREN</v>
      </c>
      <c r="R34" t="str">
        <f t="shared" si="19"/>
        <v>POM C</v>
      </c>
      <c r="S34" t="s">
        <v>318</v>
      </c>
      <c r="T34" s="130" t="s">
        <v>353</v>
      </c>
      <c r="U34">
        <f t="shared" si="11"/>
        <v>243.22830292979546</v>
      </c>
      <c r="V34">
        <f t="shared" si="12"/>
        <v>154.78164731896075</v>
      </c>
      <c r="W34">
        <f t="shared" si="13"/>
        <v>221.11663902708679</v>
      </c>
      <c r="X34">
        <f t="shared" si="14"/>
        <v>176.89331122166942</v>
      </c>
      <c r="Y34">
        <f t="shared" si="15"/>
        <v>0</v>
      </c>
      <c r="Z34">
        <f t="shared" si="16"/>
        <v>0</v>
      </c>
      <c r="AA34">
        <f t="shared" si="17"/>
        <v>0</v>
      </c>
      <c r="AB34">
        <f t="shared" si="18"/>
        <v>0</v>
      </c>
      <c r="AD34">
        <v>619627</v>
      </c>
      <c r="AE34">
        <v>628268</v>
      </c>
      <c r="AF34">
        <v>621227</v>
      </c>
      <c r="AG34">
        <v>613867</v>
      </c>
      <c r="AH34">
        <f>AH33</f>
        <v>597707</v>
      </c>
      <c r="AI34">
        <f>AI33</f>
        <v>596427</v>
      </c>
      <c r="AJ34">
        <f>AJ33</f>
        <v>595307</v>
      </c>
      <c r="AK34">
        <f>AK33</f>
        <v>595948</v>
      </c>
    </row>
    <row r="35" spans="2:37">
      <c r="B35" t="str">
        <f t="shared" si="0"/>
        <v>FSS_CHP</v>
      </c>
      <c r="C35" t="str">
        <f t="shared" si="1"/>
        <v>POM E</v>
      </c>
      <c r="D35">
        <f t="shared" si="2"/>
        <v>2015</v>
      </c>
      <c r="E35">
        <f t="shared" si="3"/>
        <v>309.7871163948023</v>
      </c>
      <c r="F35">
        <f t="shared" si="4"/>
        <v>1</v>
      </c>
      <c r="H35">
        <f t="shared" si="6"/>
        <v>5</v>
      </c>
      <c r="I35">
        <f t="shared" si="7"/>
        <v>3</v>
      </c>
      <c r="J35">
        <f t="shared" si="8"/>
        <v>1</v>
      </c>
      <c r="K35" t="str">
        <f t="shared" si="5"/>
        <v>POM E.FSS_CHP</v>
      </c>
      <c r="Q35" t="str">
        <f t="shared" si="10"/>
        <v>POM C.FSS_CHP_NEW</v>
      </c>
      <c r="R35" t="str">
        <f t="shared" si="19"/>
        <v>POM C</v>
      </c>
      <c r="S35" t="s">
        <v>312</v>
      </c>
      <c r="T35" s="130" t="s">
        <v>354</v>
      </c>
      <c r="U35">
        <f t="shared" si="11"/>
        <v>154.91984521835269</v>
      </c>
      <c r="V35">
        <f t="shared" si="12"/>
        <v>398.00995024875624</v>
      </c>
      <c r="W35">
        <f t="shared" si="13"/>
        <v>486.59480375898289</v>
      </c>
      <c r="X35">
        <f t="shared" si="14"/>
        <v>552.79159756771696</v>
      </c>
      <c r="Y35">
        <f t="shared" si="15"/>
        <v>707.57324488667768</v>
      </c>
      <c r="Z35">
        <f t="shared" si="16"/>
        <v>729.68490878938644</v>
      </c>
      <c r="AA35">
        <f t="shared" si="17"/>
        <v>729.54671088999453</v>
      </c>
      <c r="AB35">
        <f t="shared" si="18"/>
        <v>707.43504698728577</v>
      </c>
      <c r="AD35">
        <v>620748</v>
      </c>
      <c r="AE35">
        <v>631148</v>
      </c>
      <c r="AF35">
        <v>624748</v>
      </c>
      <c r="AG35">
        <v>617867</v>
      </c>
      <c r="AH35">
        <v>602827</v>
      </c>
      <c r="AI35">
        <v>601707</v>
      </c>
      <c r="AJ35">
        <v>600586</v>
      </c>
      <c r="AK35">
        <v>601067</v>
      </c>
    </row>
    <row r="36" spans="2:37">
      <c r="B36" t="str">
        <f t="shared" si="0"/>
        <v>SOL_WIN_BAL_WASREN</v>
      </c>
      <c r="C36" t="str">
        <f t="shared" si="1"/>
        <v>POM E</v>
      </c>
      <c r="D36">
        <f t="shared" si="2"/>
        <v>2015</v>
      </c>
      <c r="E36">
        <f t="shared" si="3"/>
        <v>243.29554879734587</v>
      </c>
      <c r="F36">
        <f t="shared" si="4"/>
        <v>1</v>
      </c>
      <c r="H36">
        <f t="shared" si="6"/>
        <v>6</v>
      </c>
      <c r="I36">
        <f t="shared" si="7"/>
        <v>3</v>
      </c>
      <c r="J36">
        <f t="shared" si="8"/>
        <v>1</v>
      </c>
      <c r="K36" t="str">
        <f t="shared" si="5"/>
        <v>POM E.SOL_WIN_BAL_WASREN</v>
      </c>
      <c r="Q36" t="str">
        <f t="shared" si="10"/>
        <v>POM C.SOL_WIN_BAL_WASREN_NEW</v>
      </c>
      <c r="R36" t="str">
        <f t="shared" si="19"/>
        <v>POM C</v>
      </c>
      <c r="S36" t="s">
        <v>320</v>
      </c>
      <c r="T36" s="130" t="s">
        <v>355</v>
      </c>
      <c r="U36">
        <f t="shared" si="11"/>
        <v>154.64344941956881</v>
      </c>
      <c r="V36">
        <f t="shared" si="12"/>
        <v>397.87175234936427</v>
      </c>
      <c r="W36">
        <f t="shared" si="13"/>
        <v>795.88170259812046</v>
      </c>
      <c r="X36">
        <f t="shared" si="14"/>
        <v>1437.1199557766722</v>
      </c>
      <c r="Y36">
        <f t="shared" si="15"/>
        <v>2940.7131011608622</v>
      </c>
      <c r="Z36">
        <f t="shared" si="16"/>
        <v>3825.1796572692097</v>
      </c>
      <c r="AA36">
        <f t="shared" si="17"/>
        <v>5019.3477059148699</v>
      </c>
      <c r="AB36">
        <f t="shared" si="18"/>
        <v>5992.260917634052</v>
      </c>
      <c r="AD36">
        <v>621867</v>
      </c>
      <c r="AE36">
        <v>634027</v>
      </c>
      <c r="AF36">
        <v>630507</v>
      </c>
      <c r="AG36">
        <v>628266</v>
      </c>
      <c r="AH36">
        <v>624106</v>
      </c>
      <c r="AI36">
        <v>629386</v>
      </c>
      <c r="AJ36">
        <v>636906</v>
      </c>
      <c r="AK36">
        <v>644427</v>
      </c>
    </row>
    <row r="37" spans="2:37">
      <c r="B37" t="str">
        <f t="shared" si="0"/>
        <v>FSS_CHP_NEW</v>
      </c>
      <c r="C37" t="str">
        <f t="shared" si="1"/>
        <v>POM E</v>
      </c>
      <c r="D37">
        <f t="shared" si="2"/>
        <v>2015</v>
      </c>
      <c r="E37">
        <f t="shared" si="3"/>
        <v>154.96267625103678</v>
      </c>
      <c r="F37">
        <f t="shared" si="4"/>
        <v>1</v>
      </c>
      <c r="H37">
        <f t="shared" si="6"/>
        <v>7</v>
      </c>
      <c r="I37">
        <f t="shared" si="7"/>
        <v>3</v>
      </c>
      <c r="J37">
        <f t="shared" si="8"/>
        <v>1</v>
      </c>
      <c r="K37" t="str">
        <f t="shared" si="5"/>
        <v>POM E.FSS_CHP_NEW</v>
      </c>
      <c r="Q37" t="str">
        <f t="shared" si="10"/>
        <v>POM C.FSS_ELC_NEW</v>
      </c>
      <c r="R37" t="str">
        <f t="shared" si="19"/>
        <v>POM C</v>
      </c>
      <c r="S37" t="s">
        <v>313</v>
      </c>
      <c r="T37" s="130" t="s">
        <v>356</v>
      </c>
      <c r="U37">
        <f t="shared" si="11"/>
        <v>0</v>
      </c>
      <c r="V37">
        <f t="shared" si="12"/>
        <v>0</v>
      </c>
      <c r="W37">
        <f t="shared" si="13"/>
        <v>1127.6948590381426</v>
      </c>
      <c r="X37">
        <f t="shared" si="14"/>
        <v>1658.5129906025429</v>
      </c>
      <c r="Y37">
        <f t="shared" si="15"/>
        <v>3272.6644555002763</v>
      </c>
      <c r="Z37">
        <f t="shared" si="16"/>
        <v>3272.6644555002763</v>
      </c>
      <c r="AA37">
        <f t="shared" si="17"/>
        <v>3272.6644555002763</v>
      </c>
      <c r="AB37">
        <f t="shared" si="18"/>
        <v>3272.5262576008845</v>
      </c>
      <c r="AD37">
        <v>621867</v>
      </c>
      <c r="AE37">
        <v>634027</v>
      </c>
      <c r="AF37">
        <v>638667</v>
      </c>
      <c r="AG37">
        <v>640267</v>
      </c>
      <c r="AH37">
        <v>647787</v>
      </c>
      <c r="AI37">
        <v>653067</v>
      </c>
      <c r="AJ37">
        <v>660587</v>
      </c>
      <c r="AK37">
        <v>668107</v>
      </c>
    </row>
    <row r="38" spans="2:37">
      <c r="B38" t="str">
        <f t="shared" si="0"/>
        <v>SOL_WIN_BAL_WASREN_NEW</v>
      </c>
      <c r="C38" t="str">
        <f t="shared" si="1"/>
        <v>POM E</v>
      </c>
      <c r="D38">
        <f t="shared" si="2"/>
        <v>2015</v>
      </c>
      <c r="E38">
        <f t="shared" si="3"/>
        <v>486.45286148742053</v>
      </c>
      <c r="F38">
        <f t="shared" si="4"/>
        <v>1</v>
      </c>
      <c r="H38">
        <f t="shared" si="6"/>
        <v>8</v>
      </c>
      <c r="I38">
        <f t="shared" si="7"/>
        <v>3</v>
      </c>
      <c r="J38">
        <f t="shared" si="8"/>
        <v>1</v>
      </c>
      <c r="K38" t="str">
        <f t="shared" si="5"/>
        <v>POM E.SOL_WIN_BAL_WASREN_NEW</v>
      </c>
    </row>
    <row r="39" spans="2:37">
      <c r="B39" t="str">
        <f t="shared" si="0"/>
        <v>FSS_ELC_NEW</v>
      </c>
      <c r="C39" t="str">
        <f t="shared" si="1"/>
        <v>POM E</v>
      </c>
      <c r="D39">
        <f t="shared" si="2"/>
        <v>2015</v>
      </c>
      <c r="E39">
        <f t="shared" si="3"/>
        <v>0</v>
      </c>
      <c r="F39">
        <f t="shared" si="4"/>
        <v>1</v>
      </c>
      <c r="H39">
        <f t="shared" si="6"/>
        <v>9</v>
      </c>
      <c r="I39">
        <f t="shared" si="7"/>
        <v>3</v>
      </c>
      <c r="J39">
        <f t="shared" si="8"/>
        <v>1</v>
      </c>
      <c r="K39" t="str">
        <f t="shared" si="5"/>
        <v>POM E.FSS_ELC_NEW</v>
      </c>
    </row>
    <row r="40" spans="2:37">
      <c r="B40" t="str">
        <f t="shared" si="0"/>
        <v>HYD_TOT</v>
      </c>
      <c r="C40" t="str">
        <f t="shared" si="1"/>
        <v>NEP C</v>
      </c>
      <c r="D40">
        <f t="shared" si="2"/>
        <v>2015</v>
      </c>
      <c r="E40">
        <f t="shared" si="3"/>
        <v>13735.139618468344</v>
      </c>
      <c r="F40">
        <f t="shared" si="4"/>
        <v>1</v>
      </c>
      <c r="H40">
        <f t="shared" si="6"/>
        <v>1</v>
      </c>
      <c r="I40">
        <f t="shared" si="7"/>
        <v>4</v>
      </c>
      <c r="J40">
        <f t="shared" si="8"/>
        <v>1</v>
      </c>
      <c r="K40" t="str">
        <f t="shared" si="5"/>
        <v>NEP C.HYD_TOT</v>
      </c>
      <c r="AC40">
        <v>40000</v>
      </c>
      <c r="AD40">
        <v>757227</v>
      </c>
      <c r="AE40">
        <f t="shared" ref="AE40:AK40" si="21">AD40</f>
        <v>757227</v>
      </c>
      <c r="AF40">
        <f t="shared" si="21"/>
        <v>757227</v>
      </c>
      <c r="AG40">
        <f t="shared" si="21"/>
        <v>757227</v>
      </c>
      <c r="AH40">
        <f t="shared" si="21"/>
        <v>757227</v>
      </c>
      <c r="AI40">
        <f t="shared" si="21"/>
        <v>757227</v>
      </c>
      <c r="AJ40">
        <f t="shared" si="21"/>
        <v>757227</v>
      </c>
      <c r="AK40">
        <f t="shared" si="21"/>
        <v>757227</v>
      </c>
    </row>
    <row r="41" spans="2:37">
      <c r="B41" t="str">
        <f t="shared" si="0"/>
        <v>HYD_TOT_NEW</v>
      </c>
      <c r="C41" t="str">
        <f t="shared" si="1"/>
        <v>NEP C</v>
      </c>
      <c r="D41">
        <f t="shared" si="2"/>
        <v>2015</v>
      </c>
      <c r="E41">
        <f t="shared" si="3"/>
        <v>973.18219518938349</v>
      </c>
      <c r="F41">
        <f t="shared" si="4"/>
        <v>1</v>
      </c>
      <c r="H41">
        <f t="shared" si="6"/>
        <v>2</v>
      </c>
      <c r="I41">
        <f t="shared" si="7"/>
        <v>4</v>
      </c>
      <c r="J41">
        <f t="shared" si="8"/>
        <v>1</v>
      </c>
      <c r="K41" t="str">
        <f t="shared" si="5"/>
        <v>NEP C.HYD_TOT_NEW</v>
      </c>
    </row>
    <row r="42" spans="2:37">
      <c r="B42" t="str">
        <f t="shared" si="0"/>
        <v>NUC_ELC</v>
      </c>
      <c r="C42" t="str">
        <f t="shared" si="1"/>
        <v>NEP C</v>
      </c>
      <c r="D42">
        <f t="shared" si="2"/>
        <v>2015</v>
      </c>
      <c r="E42">
        <f t="shared" si="3"/>
        <v>3273.569256289743</v>
      </c>
      <c r="F42">
        <f t="shared" si="4"/>
        <v>1</v>
      </c>
      <c r="H42">
        <f t="shared" si="6"/>
        <v>3</v>
      </c>
      <c r="I42">
        <f t="shared" si="7"/>
        <v>4</v>
      </c>
      <c r="J42">
        <f t="shared" si="8"/>
        <v>1</v>
      </c>
      <c r="K42" t="str">
        <f t="shared" si="5"/>
        <v>NEP C.NUC_ELC</v>
      </c>
      <c r="U42" t="s">
        <v>296</v>
      </c>
      <c r="V42" t="str">
        <f>INDEX($U$13:$U$20,MATCH(U42,$T$13:$T$20,0))</f>
        <v>Figure 9-52</v>
      </c>
      <c r="W42" t="str">
        <f>INDEX($V$13:$V$20,MATCH(U42,$T$13:$T$20,0))</f>
        <v>p659</v>
      </c>
    </row>
    <row r="43" spans="2:37">
      <c r="B43" t="str">
        <f t="shared" si="0"/>
        <v>FSS_ELC</v>
      </c>
      <c r="C43" t="str">
        <f t="shared" si="1"/>
        <v>NEP C</v>
      </c>
      <c r="D43">
        <f t="shared" si="2"/>
        <v>2015</v>
      </c>
      <c r="E43">
        <f t="shared" si="3"/>
        <v>0</v>
      </c>
      <c r="F43">
        <f t="shared" si="4"/>
        <v>1</v>
      </c>
      <c r="H43">
        <f t="shared" si="6"/>
        <v>4</v>
      </c>
      <c r="I43">
        <f t="shared" si="7"/>
        <v>4</v>
      </c>
      <c r="J43">
        <f t="shared" si="8"/>
        <v>1</v>
      </c>
      <c r="K43" t="str">
        <f t="shared" si="5"/>
        <v>NEP C.FSS_ELC</v>
      </c>
      <c r="U43">
        <v>2015</v>
      </c>
      <c r="V43">
        <v>2020</v>
      </c>
      <c r="W43">
        <v>2025</v>
      </c>
      <c r="X43">
        <v>2030</v>
      </c>
      <c r="Y43">
        <v>2035</v>
      </c>
      <c r="Z43">
        <v>2040</v>
      </c>
      <c r="AA43">
        <v>2045</v>
      </c>
      <c r="AB43">
        <v>2050</v>
      </c>
      <c r="AD43">
        <v>2015</v>
      </c>
      <c r="AE43">
        <v>2020</v>
      </c>
      <c r="AF43">
        <v>2025</v>
      </c>
      <c r="AG43">
        <v>2030</v>
      </c>
      <c r="AH43">
        <v>2035</v>
      </c>
      <c r="AI43">
        <v>2040</v>
      </c>
      <c r="AJ43">
        <v>2045</v>
      </c>
      <c r="AK43">
        <v>2050</v>
      </c>
    </row>
    <row r="44" spans="2:37">
      <c r="B44" t="str">
        <f t="shared" si="0"/>
        <v>FSS_CHP</v>
      </c>
      <c r="C44" t="str">
        <f t="shared" si="1"/>
        <v>NEP C</v>
      </c>
      <c r="D44">
        <f t="shared" si="2"/>
        <v>2015</v>
      </c>
      <c r="E44">
        <f t="shared" si="3"/>
        <v>309.51064418025987</v>
      </c>
      <c r="F44">
        <f t="shared" si="4"/>
        <v>1</v>
      </c>
      <c r="H44">
        <f t="shared" si="6"/>
        <v>5</v>
      </c>
      <c r="I44">
        <f t="shared" si="7"/>
        <v>4</v>
      </c>
      <c r="J44">
        <f t="shared" si="8"/>
        <v>1</v>
      </c>
      <c r="K44" t="str">
        <f t="shared" si="5"/>
        <v>NEP C.FSS_CHP</v>
      </c>
      <c r="AC44">
        <v>0</v>
      </c>
      <c r="AD44">
        <v>660827</v>
      </c>
      <c r="AE44">
        <v>661067</v>
      </c>
      <c r="AF44">
        <v>661067</v>
      </c>
      <c r="AG44">
        <v>661067</v>
      </c>
      <c r="AH44">
        <v>661067</v>
      </c>
      <c r="AI44">
        <v>661067</v>
      </c>
      <c r="AJ44">
        <v>661067</v>
      </c>
      <c r="AK44">
        <v>661067</v>
      </c>
    </row>
    <row r="45" spans="2:37">
      <c r="B45" t="str">
        <f t="shared" si="0"/>
        <v>SOL_WIN_BAL_WASREN</v>
      </c>
      <c r="C45" t="str">
        <f t="shared" si="1"/>
        <v>NEP C</v>
      </c>
      <c r="D45">
        <f t="shared" si="2"/>
        <v>2015</v>
      </c>
      <c r="E45">
        <f t="shared" si="3"/>
        <v>243.29554879734587</v>
      </c>
      <c r="F45">
        <f t="shared" si="4"/>
        <v>1</v>
      </c>
      <c r="H45">
        <f t="shared" si="6"/>
        <v>6</v>
      </c>
      <c r="I45">
        <f t="shared" si="7"/>
        <v>4</v>
      </c>
      <c r="J45">
        <f t="shared" si="8"/>
        <v>1</v>
      </c>
      <c r="K45" t="str">
        <f t="shared" si="5"/>
        <v>NEP C.SOL_WIN_BAL_WASREN</v>
      </c>
      <c r="Q45" t="str">
        <f t="shared" ref="Q45:Q54" si="22">R45&amp;"."&amp;S45</f>
        <v>POM C&amp;E.HYD_TOT</v>
      </c>
      <c r="R45" t="str">
        <f>U42</f>
        <v>POM C&amp;E</v>
      </c>
      <c r="S45" t="s">
        <v>145</v>
      </c>
      <c r="T45" s="130" t="s">
        <v>347</v>
      </c>
      <c r="U45">
        <f t="shared" ref="U45:U54" si="23">(AD45-AD44)*($AC$57-$AC$44)/(AD$57-AD$44)</f>
        <v>13753.106876553438</v>
      </c>
      <c r="V45">
        <f t="shared" ref="V45:V54" si="24">(AE45-AE44)*($AC$57-$AC$44)/(AE$57-AE$44)</f>
        <v>13731.343283582089</v>
      </c>
      <c r="W45">
        <f t="shared" ref="W45:W54" si="25">(AF45-AF44)*($AC$57-$AC$44)/(AF$57-AF$44)</f>
        <v>13731.343283582089</v>
      </c>
      <c r="X45">
        <f t="shared" ref="X45:X54" si="26">(AG45-AG44)*($AC$57-$AC$44)/(AG$57-AG$44)</f>
        <v>13731.343283582089</v>
      </c>
      <c r="Y45">
        <f t="shared" ref="Y45:Y54" si="27">(AH45-AH44)*($AC$57-$AC$44)/(AH$57-AH$44)</f>
        <v>13731.343283582089</v>
      </c>
      <c r="Z45">
        <f t="shared" ref="Z45:Z54" si="28">(AI45-AI44)*($AC$57-$AC$44)/(AI$57-AI$44)</f>
        <v>13731.343283582089</v>
      </c>
      <c r="AA45">
        <f t="shared" ref="AA45:AA54" si="29">(AJ45-AJ44)*($AC$57-$AC$44)/(AJ$57-AJ$44)</f>
        <v>13731.343283582089</v>
      </c>
      <c r="AB45">
        <f t="shared" ref="AB45:AB54" si="30">(AK45-AK44)*($AC$57-$AC$44)/(AK$57-AK$44)</f>
        <v>13731.343283582089</v>
      </c>
      <c r="AC45" s="130" t="s">
        <v>347</v>
      </c>
      <c r="AD45">
        <v>760427</v>
      </c>
      <c r="AE45">
        <v>760427</v>
      </c>
      <c r="AF45">
        <v>760427</v>
      </c>
      <c r="AG45">
        <v>760427</v>
      </c>
      <c r="AH45">
        <v>760427</v>
      </c>
      <c r="AI45">
        <v>760427</v>
      </c>
      <c r="AJ45">
        <v>760427</v>
      </c>
      <c r="AK45">
        <v>760427</v>
      </c>
    </row>
    <row r="46" spans="2:37">
      <c r="B46" t="str">
        <f t="shared" si="0"/>
        <v>FSS_CHP_NEW</v>
      </c>
      <c r="C46" t="str">
        <f t="shared" si="1"/>
        <v>NEP C</v>
      </c>
      <c r="D46">
        <f t="shared" si="2"/>
        <v>2015</v>
      </c>
      <c r="E46">
        <f t="shared" si="3"/>
        <v>154.82444014376554</v>
      </c>
      <c r="F46">
        <f t="shared" si="4"/>
        <v>1</v>
      </c>
      <c r="H46">
        <f t="shared" si="6"/>
        <v>7</v>
      </c>
      <c r="I46">
        <f t="shared" si="7"/>
        <v>4</v>
      </c>
      <c r="J46">
        <f t="shared" si="8"/>
        <v>1</v>
      </c>
      <c r="K46" t="str">
        <f t="shared" si="5"/>
        <v>NEP C.FSS_CHP_NEW</v>
      </c>
      <c r="Q46" t="str">
        <f t="shared" si="22"/>
        <v>POM C&amp;E.HYD_TOT_NEW</v>
      </c>
      <c r="R46" t="str">
        <f t="shared" ref="R46:R54" si="31">R45</f>
        <v>POM C&amp;E</v>
      </c>
      <c r="S46" t="s">
        <v>314</v>
      </c>
      <c r="T46" s="130" t="s">
        <v>348</v>
      </c>
      <c r="U46">
        <f t="shared" si="23"/>
        <v>1038.5252692626345</v>
      </c>
      <c r="V46">
        <f t="shared" si="24"/>
        <v>3736.8711995577669</v>
      </c>
      <c r="W46">
        <f t="shared" si="25"/>
        <v>3891.6528468767274</v>
      </c>
      <c r="X46">
        <f t="shared" si="26"/>
        <v>3980.0995024875624</v>
      </c>
      <c r="Y46">
        <f t="shared" si="27"/>
        <v>4135.0193477059147</v>
      </c>
      <c r="Z46">
        <f t="shared" si="28"/>
        <v>4289.6627971254838</v>
      </c>
      <c r="AA46">
        <f t="shared" si="29"/>
        <v>4532.8911000552789</v>
      </c>
      <c r="AB46">
        <f t="shared" si="30"/>
        <v>4776.1194029850749</v>
      </c>
      <c r="AC46" s="130" t="s">
        <v>348</v>
      </c>
      <c r="AD46">
        <v>767948</v>
      </c>
      <c r="AE46">
        <v>787467</v>
      </c>
      <c r="AF46">
        <v>788587</v>
      </c>
      <c r="AG46">
        <v>789227</v>
      </c>
      <c r="AH46">
        <v>790348</v>
      </c>
      <c r="AI46">
        <v>791467</v>
      </c>
      <c r="AJ46">
        <v>793227</v>
      </c>
      <c r="AK46">
        <v>794987</v>
      </c>
    </row>
    <row r="47" spans="2:37">
      <c r="B47" t="str">
        <f t="shared" si="0"/>
        <v>SOL_WIN_BAL_WASREN_NEW</v>
      </c>
      <c r="C47" t="str">
        <f t="shared" si="1"/>
        <v>NEP C</v>
      </c>
      <c r="D47">
        <f t="shared" si="2"/>
        <v>2015</v>
      </c>
      <c r="E47">
        <f t="shared" si="3"/>
        <v>154.82444014376554</v>
      </c>
      <c r="F47">
        <f t="shared" si="4"/>
        <v>1</v>
      </c>
      <c r="H47">
        <f t="shared" si="6"/>
        <v>8</v>
      </c>
      <c r="I47">
        <f t="shared" si="7"/>
        <v>4</v>
      </c>
      <c r="J47">
        <f t="shared" si="8"/>
        <v>1</v>
      </c>
      <c r="K47" t="str">
        <f t="shared" si="5"/>
        <v>NEP C.SOL_WIN_BAL_WASREN_NEW</v>
      </c>
      <c r="Q47" t="str">
        <f t="shared" si="22"/>
        <v>POM C&amp;E.NUC_ELC</v>
      </c>
      <c r="R47" t="str">
        <f t="shared" si="31"/>
        <v>POM C&amp;E</v>
      </c>
      <c r="S47" t="s">
        <v>95</v>
      </c>
      <c r="T47" s="130" t="s">
        <v>349</v>
      </c>
      <c r="U47">
        <f t="shared" si="23"/>
        <v>3247.5835404584368</v>
      </c>
      <c r="V47">
        <f t="shared" si="24"/>
        <v>2874.516307352128</v>
      </c>
      <c r="W47">
        <f t="shared" si="25"/>
        <v>2166.9430624654506</v>
      </c>
      <c r="X47">
        <f t="shared" si="26"/>
        <v>1194.0298507462687</v>
      </c>
      <c r="Y47">
        <f t="shared" si="27"/>
        <v>0</v>
      </c>
      <c r="Z47">
        <f t="shared" si="28"/>
        <v>0</v>
      </c>
      <c r="AA47">
        <f t="shared" si="29"/>
        <v>0</v>
      </c>
      <c r="AB47">
        <f t="shared" si="30"/>
        <v>0</v>
      </c>
      <c r="AC47" s="130" t="s">
        <v>349</v>
      </c>
      <c r="AD47">
        <v>791467</v>
      </c>
      <c r="AE47">
        <v>808267</v>
      </c>
      <c r="AF47">
        <v>804267</v>
      </c>
      <c r="AG47">
        <v>797867</v>
      </c>
      <c r="AH47">
        <f t="shared" ref="AH47:AK48" si="32">AH46</f>
        <v>790348</v>
      </c>
      <c r="AI47">
        <f t="shared" si="32"/>
        <v>791467</v>
      </c>
      <c r="AJ47">
        <f t="shared" si="32"/>
        <v>793227</v>
      </c>
      <c r="AK47">
        <f t="shared" si="32"/>
        <v>794987</v>
      </c>
    </row>
    <row r="48" spans="2:37">
      <c r="B48" t="str">
        <f t="shared" si="0"/>
        <v>FSS_ELC_NEW</v>
      </c>
      <c r="C48" t="str">
        <f t="shared" si="1"/>
        <v>NEP C</v>
      </c>
      <c r="D48">
        <f t="shared" si="2"/>
        <v>2015</v>
      </c>
      <c r="E48">
        <f t="shared" si="3"/>
        <v>0</v>
      </c>
      <c r="F48">
        <f t="shared" si="4"/>
        <v>1</v>
      </c>
      <c r="H48">
        <f t="shared" si="6"/>
        <v>9</v>
      </c>
      <c r="I48">
        <f t="shared" si="7"/>
        <v>4</v>
      </c>
      <c r="J48">
        <f t="shared" si="8"/>
        <v>1</v>
      </c>
      <c r="K48" t="str">
        <f t="shared" si="5"/>
        <v>NEP C.FSS_ELC_NEW</v>
      </c>
      <c r="Q48" t="str">
        <f t="shared" si="22"/>
        <v>POM C&amp;E.FSS_ELC</v>
      </c>
      <c r="R48" t="str">
        <f t="shared" si="31"/>
        <v>POM C&amp;E</v>
      </c>
      <c r="S48" t="s">
        <v>300</v>
      </c>
      <c r="T48" s="130" t="s">
        <v>350</v>
      </c>
      <c r="U48">
        <f t="shared" si="23"/>
        <v>0</v>
      </c>
      <c r="V48">
        <f t="shared" si="24"/>
        <v>0</v>
      </c>
      <c r="W48">
        <f t="shared" si="25"/>
        <v>0</v>
      </c>
      <c r="X48">
        <f t="shared" si="26"/>
        <v>0</v>
      </c>
      <c r="Y48">
        <f t="shared" si="27"/>
        <v>0</v>
      </c>
      <c r="Z48">
        <f t="shared" si="28"/>
        <v>0</v>
      </c>
      <c r="AA48">
        <f t="shared" si="29"/>
        <v>0</v>
      </c>
      <c r="AB48">
        <f t="shared" si="30"/>
        <v>0</v>
      </c>
      <c r="AC48" s="130" t="s">
        <v>350</v>
      </c>
      <c r="AD48">
        <f>AD47</f>
        <v>791467</v>
      </c>
      <c r="AE48">
        <f>AE47</f>
        <v>808267</v>
      </c>
      <c r="AF48">
        <f>AF47</f>
        <v>804267</v>
      </c>
      <c r="AG48">
        <f>AG47</f>
        <v>797867</v>
      </c>
      <c r="AH48">
        <f t="shared" si="32"/>
        <v>790348</v>
      </c>
      <c r="AI48">
        <f t="shared" si="32"/>
        <v>791467</v>
      </c>
      <c r="AJ48">
        <f t="shared" si="32"/>
        <v>793227</v>
      </c>
      <c r="AK48">
        <f t="shared" si="32"/>
        <v>794987</v>
      </c>
    </row>
    <row r="49" spans="2:37">
      <c r="B49" t="str">
        <f t="shared" si="0"/>
        <v>HYD_TOT</v>
      </c>
      <c r="C49" t="str">
        <f t="shared" si="1"/>
        <v>NEP C&amp;E</v>
      </c>
      <c r="D49">
        <f t="shared" si="2"/>
        <v>2015</v>
      </c>
      <c r="E49">
        <f t="shared" si="3"/>
        <v>13735.139618468344</v>
      </c>
      <c r="F49">
        <f t="shared" si="4"/>
        <v>1</v>
      </c>
      <c r="H49">
        <f t="shared" si="6"/>
        <v>1</v>
      </c>
      <c r="I49">
        <f t="shared" si="7"/>
        <v>5</v>
      </c>
      <c r="J49">
        <f t="shared" si="8"/>
        <v>1</v>
      </c>
      <c r="K49" t="str">
        <f t="shared" si="5"/>
        <v>NEP C&amp;E.HYD_TOT</v>
      </c>
      <c r="Q49" t="str">
        <f t="shared" si="22"/>
        <v>POM C&amp;E.FSS_CHP</v>
      </c>
      <c r="R49" t="str">
        <f t="shared" si="31"/>
        <v>POM C&amp;E</v>
      </c>
      <c r="S49" t="s">
        <v>299</v>
      </c>
      <c r="T49" s="130" t="s">
        <v>351</v>
      </c>
      <c r="U49">
        <f t="shared" si="23"/>
        <v>331.40016570008282</v>
      </c>
      <c r="V49">
        <f t="shared" si="24"/>
        <v>331.6749585406302</v>
      </c>
      <c r="W49">
        <f t="shared" si="25"/>
        <v>154.64344941956881</v>
      </c>
      <c r="X49">
        <f t="shared" si="26"/>
        <v>88.308457711442784</v>
      </c>
      <c r="Y49">
        <f t="shared" si="27"/>
        <v>88.170259812050858</v>
      </c>
      <c r="Z49">
        <f t="shared" si="28"/>
        <v>0</v>
      </c>
      <c r="AA49">
        <f t="shared" si="29"/>
        <v>0</v>
      </c>
      <c r="AB49">
        <f t="shared" si="30"/>
        <v>0</v>
      </c>
      <c r="AC49" s="130" t="s">
        <v>351</v>
      </c>
      <c r="AD49">
        <v>793867</v>
      </c>
      <c r="AE49">
        <v>810667</v>
      </c>
      <c r="AF49">
        <v>805386</v>
      </c>
      <c r="AG49">
        <v>798506</v>
      </c>
      <c r="AH49">
        <v>790986</v>
      </c>
      <c r="AI49">
        <f>AI48</f>
        <v>791467</v>
      </c>
      <c r="AJ49">
        <f>AJ48</f>
        <v>793227</v>
      </c>
      <c r="AK49">
        <f>AK48</f>
        <v>794987</v>
      </c>
    </row>
    <row r="50" spans="2:37">
      <c r="B50" t="str">
        <f t="shared" si="0"/>
        <v>HYD_TOT_NEW</v>
      </c>
      <c r="C50" t="str">
        <f t="shared" si="1"/>
        <v>NEP C&amp;E</v>
      </c>
      <c r="D50">
        <f t="shared" si="2"/>
        <v>2015</v>
      </c>
      <c r="E50">
        <f t="shared" si="3"/>
        <v>1039.5355266795686</v>
      </c>
      <c r="F50">
        <f t="shared" si="4"/>
        <v>1</v>
      </c>
      <c r="H50">
        <f t="shared" si="6"/>
        <v>2</v>
      </c>
      <c r="I50">
        <f t="shared" si="7"/>
        <v>5</v>
      </c>
      <c r="J50">
        <f t="shared" si="8"/>
        <v>1</v>
      </c>
      <c r="K50" t="str">
        <f t="shared" si="5"/>
        <v>NEP C&amp;E.HYD_TOT_NEW</v>
      </c>
      <c r="Q50" t="str">
        <f t="shared" si="22"/>
        <v>POM C&amp;E.</v>
      </c>
      <c r="R50" t="str">
        <f t="shared" si="31"/>
        <v>POM C&amp;E</v>
      </c>
      <c r="T50" s="130" t="s">
        <v>352</v>
      </c>
      <c r="U50">
        <f t="shared" si="23"/>
        <v>2474.4545705606188</v>
      </c>
      <c r="V50">
        <f t="shared" si="24"/>
        <v>1415.1464897733554</v>
      </c>
      <c r="W50">
        <f t="shared" si="25"/>
        <v>1282.6147042564953</v>
      </c>
      <c r="X50">
        <f t="shared" si="26"/>
        <v>1260.5030403537867</v>
      </c>
      <c r="Y50">
        <f t="shared" si="27"/>
        <v>398.14814814814815</v>
      </c>
      <c r="Z50">
        <f t="shared" si="28"/>
        <v>177.03150912106136</v>
      </c>
      <c r="AA50">
        <f t="shared" si="29"/>
        <v>0</v>
      </c>
      <c r="AB50">
        <f t="shared" si="30"/>
        <v>0</v>
      </c>
      <c r="AC50" s="130" t="s">
        <v>352</v>
      </c>
      <c r="AD50">
        <v>811787</v>
      </c>
      <c r="AE50">
        <v>820907</v>
      </c>
      <c r="AF50">
        <v>814667</v>
      </c>
      <c r="AG50">
        <v>807627</v>
      </c>
      <c r="AH50">
        <v>793867</v>
      </c>
      <c r="AI50">
        <v>792748</v>
      </c>
      <c r="AJ50">
        <f>AJ49</f>
        <v>793227</v>
      </c>
      <c r="AK50">
        <f>AK49</f>
        <v>794987</v>
      </c>
    </row>
    <row r="51" spans="2:37">
      <c r="B51" t="str">
        <f t="shared" si="0"/>
        <v>NUC_ELC</v>
      </c>
      <c r="C51" t="str">
        <f t="shared" si="1"/>
        <v>NEP C&amp;E</v>
      </c>
      <c r="D51">
        <f t="shared" si="2"/>
        <v>2015</v>
      </c>
      <c r="E51">
        <f t="shared" si="3"/>
        <v>3273.4310201824715</v>
      </c>
      <c r="F51">
        <f t="shared" si="4"/>
        <v>1</v>
      </c>
      <c r="H51">
        <f t="shared" si="6"/>
        <v>3</v>
      </c>
      <c r="I51">
        <f t="shared" si="7"/>
        <v>5</v>
      </c>
      <c r="J51">
        <f t="shared" si="8"/>
        <v>1</v>
      </c>
      <c r="K51" t="str">
        <f t="shared" si="5"/>
        <v>NEP C&amp;E.NUC_ELC</v>
      </c>
      <c r="Q51" t="str">
        <f t="shared" si="22"/>
        <v>POM C&amp;E.SOL_WIN_BAL_WASREN</v>
      </c>
      <c r="R51" t="str">
        <f t="shared" si="31"/>
        <v>POM C&amp;E</v>
      </c>
      <c r="S51" t="s">
        <v>318</v>
      </c>
      <c r="T51" s="130" t="s">
        <v>353</v>
      </c>
      <c r="U51">
        <f t="shared" si="23"/>
        <v>243.16487158243578</v>
      </c>
      <c r="V51">
        <f t="shared" si="24"/>
        <v>243.22830292979546</v>
      </c>
      <c r="W51">
        <f t="shared" si="25"/>
        <v>154.78164731896075</v>
      </c>
      <c r="X51">
        <f t="shared" si="26"/>
        <v>176.89331122166942</v>
      </c>
      <c r="Y51">
        <f t="shared" si="27"/>
        <v>0</v>
      </c>
      <c r="Z51">
        <f t="shared" si="28"/>
        <v>0</v>
      </c>
      <c r="AA51">
        <f t="shared" si="29"/>
        <v>0</v>
      </c>
      <c r="AB51">
        <f t="shared" si="30"/>
        <v>0</v>
      </c>
      <c r="AC51" s="130" t="s">
        <v>353</v>
      </c>
      <c r="AD51">
        <v>813548</v>
      </c>
      <c r="AE51">
        <v>822667</v>
      </c>
      <c r="AF51">
        <v>815787</v>
      </c>
      <c r="AG51">
        <v>808907</v>
      </c>
      <c r="AH51">
        <f>AH50</f>
        <v>793867</v>
      </c>
      <c r="AI51">
        <f>AI50</f>
        <v>792748</v>
      </c>
      <c r="AJ51">
        <f>AJ50</f>
        <v>793227</v>
      </c>
      <c r="AK51">
        <f>AK50</f>
        <v>794987</v>
      </c>
    </row>
    <row r="52" spans="2:37">
      <c r="B52" t="str">
        <f t="shared" si="0"/>
        <v>FSS_ELC</v>
      </c>
      <c r="C52" t="str">
        <f t="shared" si="1"/>
        <v>NEP C&amp;E</v>
      </c>
      <c r="D52">
        <f t="shared" si="2"/>
        <v>2015</v>
      </c>
      <c r="E52">
        <f t="shared" si="3"/>
        <v>0</v>
      </c>
      <c r="F52">
        <f t="shared" si="4"/>
        <v>1</v>
      </c>
      <c r="H52">
        <f t="shared" si="6"/>
        <v>4</v>
      </c>
      <c r="I52">
        <f t="shared" si="7"/>
        <v>5</v>
      </c>
      <c r="J52">
        <f t="shared" si="8"/>
        <v>1</v>
      </c>
      <c r="K52" t="str">
        <f t="shared" si="5"/>
        <v>NEP C&amp;E.FSS_ELC</v>
      </c>
      <c r="Q52" t="str">
        <f t="shared" si="22"/>
        <v>POM C&amp;E.FSS_CHP_NEW</v>
      </c>
      <c r="R52" t="str">
        <f t="shared" si="31"/>
        <v>POM C&amp;E</v>
      </c>
      <c r="S52" t="s">
        <v>312</v>
      </c>
      <c r="T52" s="130" t="s">
        <v>354</v>
      </c>
      <c r="U52">
        <f t="shared" si="23"/>
        <v>154.51532725766364</v>
      </c>
      <c r="V52">
        <f t="shared" si="24"/>
        <v>331.6749585406302</v>
      </c>
      <c r="W52">
        <f t="shared" si="25"/>
        <v>486.45660585959092</v>
      </c>
      <c r="X52">
        <f t="shared" si="26"/>
        <v>552.79159756771696</v>
      </c>
      <c r="Y52">
        <f t="shared" si="27"/>
        <v>641.10005527915973</v>
      </c>
      <c r="Z52">
        <f t="shared" si="28"/>
        <v>707.29684908789386</v>
      </c>
      <c r="AA52">
        <f t="shared" si="29"/>
        <v>729.68490878938644</v>
      </c>
      <c r="AB52">
        <f t="shared" si="30"/>
        <v>729.54671088999453</v>
      </c>
      <c r="AC52" s="130" t="s">
        <v>354</v>
      </c>
      <c r="AD52">
        <v>814667</v>
      </c>
      <c r="AE52">
        <v>825067</v>
      </c>
      <c r="AF52">
        <v>819307</v>
      </c>
      <c r="AG52">
        <v>812907</v>
      </c>
      <c r="AH52">
        <v>798506</v>
      </c>
      <c r="AI52">
        <v>797866</v>
      </c>
      <c r="AJ52">
        <v>798507</v>
      </c>
      <c r="AK52">
        <v>800266</v>
      </c>
    </row>
    <row r="53" spans="2:37">
      <c r="B53" t="str">
        <f t="shared" si="0"/>
        <v>FSS_CHP</v>
      </c>
      <c r="C53" t="str">
        <f t="shared" si="1"/>
        <v>NEP C&amp;E</v>
      </c>
      <c r="D53">
        <f t="shared" si="2"/>
        <v>2015</v>
      </c>
      <c r="E53">
        <f t="shared" si="3"/>
        <v>309.64888028753109</v>
      </c>
      <c r="F53">
        <f t="shared" si="4"/>
        <v>1</v>
      </c>
      <c r="H53">
        <f t="shared" si="6"/>
        <v>5</v>
      </c>
      <c r="I53">
        <f t="shared" si="7"/>
        <v>5</v>
      </c>
      <c r="J53">
        <f t="shared" si="8"/>
        <v>1</v>
      </c>
      <c r="K53" t="str">
        <f t="shared" si="5"/>
        <v>NEP C&amp;E.FSS_CHP</v>
      </c>
      <c r="Q53" t="str">
        <f t="shared" si="22"/>
        <v>POM C&amp;E.SOL_WIN_BAL_WASREN_NEW</v>
      </c>
      <c r="R53" t="str">
        <f t="shared" si="31"/>
        <v>POM C&amp;E</v>
      </c>
      <c r="S53" t="s">
        <v>320</v>
      </c>
      <c r="T53" s="130" t="s">
        <v>355</v>
      </c>
      <c r="U53">
        <f t="shared" si="23"/>
        <v>463.96023198011596</v>
      </c>
      <c r="V53">
        <f t="shared" si="24"/>
        <v>1105.5831951354339</v>
      </c>
      <c r="W53">
        <f t="shared" si="25"/>
        <v>1989.9115533443892</v>
      </c>
      <c r="X53">
        <f t="shared" si="26"/>
        <v>3338.7230514096186</v>
      </c>
      <c r="Y53">
        <f t="shared" si="27"/>
        <v>5727.1973466003319</v>
      </c>
      <c r="Z53">
        <f t="shared" si="28"/>
        <v>8137.3687119955775</v>
      </c>
      <c r="AA53">
        <f t="shared" si="29"/>
        <v>10679.795467108899</v>
      </c>
      <c r="AB53">
        <f t="shared" si="30"/>
        <v>12670.259812050857</v>
      </c>
      <c r="AC53" s="130" t="s">
        <v>355</v>
      </c>
      <c r="AD53">
        <v>818027</v>
      </c>
      <c r="AE53">
        <v>833067</v>
      </c>
      <c r="AF53">
        <v>833706</v>
      </c>
      <c r="AG53">
        <v>837066</v>
      </c>
      <c r="AH53">
        <v>839948</v>
      </c>
      <c r="AI53">
        <v>856748</v>
      </c>
      <c r="AJ53">
        <v>875786</v>
      </c>
      <c r="AK53">
        <v>891948</v>
      </c>
    </row>
    <row r="54" spans="2:37">
      <c r="B54" t="str">
        <f t="shared" si="0"/>
        <v>SOL_WIN_BAL_WASREN</v>
      </c>
      <c r="C54" t="str">
        <f t="shared" si="1"/>
        <v>NEP C&amp;E</v>
      </c>
      <c r="D54">
        <f t="shared" si="2"/>
        <v>2015</v>
      </c>
      <c r="E54">
        <f t="shared" si="3"/>
        <v>243.29554879734587</v>
      </c>
      <c r="F54">
        <f t="shared" si="4"/>
        <v>1</v>
      </c>
      <c r="H54">
        <f t="shared" si="6"/>
        <v>6</v>
      </c>
      <c r="I54">
        <f t="shared" si="7"/>
        <v>5</v>
      </c>
      <c r="J54">
        <f t="shared" si="8"/>
        <v>1</v>
      </c>
      <c r="K54" t="str">
        <f t="shared" si="5"/>
        <v>NEP C&amp;E.SOL_WIN_BAL_WASREN</v>
      </c>
      <c r="Q54" t="str">
        <f t="shared" si="22"/>
        <v>POM C&amp;E.FSS_ELC_NEW</v>
      </c>
      <c r="R54" t="str">
        <f t="shared" si="31"/>
        <v>POM C&amp;E</v>
      </c>
      <c r="S54" t="s">
        <v>313</v>
      </c>
      <c r="T54" s="130" t="s">
        <v>356</v>
      </c>
      <c r="U54">
        <f t="shared" si="23"/>
        <v>0</v>
      </c>
      <c r="V54">
        <f t="shared" si="24"/>
        <v>0</v>
      </c>
      <c r="W54">
        <f t="shared" si="25"/>
        <v>552.92979546710887</v>
      </c>
      <c r="X54">
        <f t="shared" si="26"/>
        <v>1127.8330569375346</v>
      </c>
      <c r="Y54">
        <f t="shared" si="27"/>
        <v>2719.5964621337757</v>
      </c>
      <c r="Z54">
        <f t="shared" si="28"/>
        <v>2785.9314538419017</v>
      </c>
      <c r="AA54">
        <f t="shared" si="29"/>
        <v>2786.3460475400775</v>
      </c>
      <c r="AB54">
        <f t="shared" si="30"/>
        <v>2719.5964621337757</v>
      </c>
      <c r="AC54" s="130" t="s">
        <v>356</v>
      </c>
      <c r="AD54">
        <f>AD53</f>
        <v>818027</v>
      </c>
      <c r="AE54">
        <f>AE53</f>
        <v>833067</v>
      </c>
      <c r="AF54">
        <v>837707</v>
      </c>
      <c r="AG54">
        <v>845227</v>
      </c>
      <c r="AH54">
        <v>859627</v>
      </c>
      <c r="AI54">
        <v>876907</v>
      </c>
      <c r="AJ54">
        <v>895948</v>
      </c>
      <c r="AK54">
        <v>911627</v>
      </c>
    </row>
    <row r="55" spans="2:37">
      <c r="B55" t="str">
        <f t="shared" si="0"/>
        <v>FSS_CHP_NEW</v>
      </c>
      <c r="C55" t="str">
        <f t="shared" si="1"/>
        <v>NEP C&amp;E</v>
      </c>
      <c r="D55">
        <f t="shared" si="2"/>
        <v>2015</v>
      </c>
      <c r="E55">
        <f t="shared" si="3"/>
        <v>154.82444014376554</v>
      </c>
      <c r="F55">
        <f t="shared" si="4"/>
        <v>1</v>
      </c>
      <c r="H55">
        <f t="shared" si="6"/>
        <v>7</v>
      </c>
      <c r="I55">
        <f t="shared" si="7"/>
        <v>5</v>
      </c>
      <c r="J55">
        <f t="shared" si="8"/>
        <v>1</v>
      </c>
      <c r="K55" t="str">
        <f t="shared" si="5"/>
        <v>NEP C&amp;E.FSS_CHP_NEW</v>
      </c>
    </row>
    <row r="56" spans="2:37">
      <c r="B56" t="str">
        <f t="shared" si="0"/>
        <v>SOL_WIN_BAL_WASREN_NEW</v>
      </c>
      <c r="C56" t="str">
        <f t="shared" si="1"/>
        <v>NEP C&amp;E</v>
      </c>
      <c r="D56">
        <f t="shared" si="2"/>
        <v>2015</v>
      </c>
      <c r="E56">
        <f t="shared" si="3"/>
        <v>486.59109759469175</v>
      </c>
      <c r="F56">
        <f t="shared" si="4"/>
        <v>1</v>
      </c>
      <c r="H56">
        <f t="shared" si="6"/>
        <v>8</v>
      </c>
      <c r="I56">
        <f t="shared" si="7"/>
        <v>5</v>
      </c>
      <c r="J56">
        <f t="shared" si="8"/>
        <v>1</v>
      </c>
      <c r="K56" t="str">
        <f t="shared" si="5"/>
        <v>NEP C&amp;E.SOL_WIN_BAL_WASREN_NEW</v>
      </c>
    </row>
    <row r="57" spans="2:37">
      <c r="B57" t="str">
        <f t="shared" si="0"/>
        <v>FSS_ELC_NEW</v>
      </c>
      <c r="C57" t="str">
        <f t="shared" si="1"/>
        <v>NEP C&amp;E</v>
      </c>
      <c r="D57">
        <f t="shared" si="2"/>
        <v>2015</v>
      </c>
      <c r="E57">
        <f t="shared" si="3"/>
        <v>0</v>
      </c>
      <c r="F57">
        <f t="shared" si="4"/>
        <v>1</v>
      </c>
      <c r="H57">
        <f t="shared" si="6"/>
        <v>9</v>
      </c>
      <c r="I57">
        <f t="shared" si="7"/>
        <v>5</v>
      </c>
      <c r="J57">
        <f t="shared" si="8"/>
        <v>1</v>
      </c>
      <c r="K57" t="str">
        <f t="shared" si="5"/>
        <v>NEP C&amp;E.FSS_ELC_NEW</v>
      </c>
      <c r="AC57">
        <v>40000</v>
      </c>
      <c r="AD57">
        <v>950507</v>
      </c>
      <c r="AE57">
        <f t="shared" ref="AE57:AK57" si="33">AD57</f>
        <v>950507</v>
      </c>
      <c r="AF57">
        <f t="shared" si="33"/>
        <v>950507</v>
      </c>
      <c r="AG57">
        <f t="shared" si="33"/>
        <v>950507</v>
      </c>
      <c r="AH57">
        <f t="shared" si="33"/>
        <v>950507</v>
      </c>
      <c r="AI57">
        <f t="shared" si="33"/>
        <v>950507</v>
      </c>
      <c r="AJ57">
        <f t="shared" si="33"/>
        <v>950507</v>
      </c>
      <c r="AK57">
        <f t="shared" si="33"/>
        <v>950507</v>
      </c>
    </row>
    <row r="58" spans="2:37">
      <c r="B58" t="str">
        <f t="shared" si="0"/>
        <v>HYD_TOT</v>
      </c>
      <c r="C58" t="str">
        <f t="shared" si="1"/>
        <v>NEP E</v>
      </c>
      <c r="D58">
        <f t="shared" si="2"/>
        <v>2015</v>
      </c>
      <c r="E58">
        <f t="shared" si="3"/>
        <v>13735.139618468344</v>
      </c>
      <c r="F58">
        <f t="shared" si="4"/>
        <v>1</v>
      </c>
      <c r="H58">
        <f t="shared" si="6"/>
        <v>1</v>
      </c>
      <c r="I58">
        <f t="shared" si="7"/>
        <v>6</v>
      </c>
      <c r="J58">
        <f t="shared" si="8"/>
        <v>1</v>
      </c>
      <c r="K58" t="str">
        <f t="shared" si="5"/>
        <v>NEP E.HYD_TOT</v>
      </c>
    </row>
    <row r="59" spans="2:37">
      <c r="B59" t="str">
        <f t="shared" si="0"/>
        <v>HYD_TOT_NEW</v>
      </c>
      <c r="C59" t="str">
        <f t="shared" si="1"/>
        <v>NEP E</v>
      </c>
      <c r="D59">
        <f t="shared" si="2"/>
        <v>2015</v>
      </c>
      <c r="E59">
        <f t="shared" si="3"/>
        <v>1039.6737627868399</v>
      </c>
      <c r="F59">
        <f t="shared" si="4"/>
        <v>1</v>
      </c>
      <c r="H59">
        <f t="shared" si="6"/>
        <v>2</v>
      </c>
      <c r="I59">
        <f t="shared" si="7"/>
        <v>6</v>
      </c>
      <c r="J59">
        <f t="shared" si="8"/>
        <v>1</v>
      </c>
      <c r="K59" t="str">
        <f t="shared" si="5"/>
        <v>NEP E.HYD_TOT_NEW</v>
      </c>
      <c r="U59" t="s">
        <v>143</v>
      </c>
      <c r="V59" t="str">
        <f>INDEX($U$13:$U$20,MATCH(U59,$T$13:$T$20,0))</f>
        <v>Figure 9-53</v>
      </c>
    </row>
    <row r="60" spans="2:37">
      <c r="B60" t="str">
        <f t="shared" si="0"/>
        <v>NUC_ELC</v>
      </c>
      <c r="C60" t="str">
        <f t="shared" si="1"/>
        <v>NEP E</v>
      </c>
      <c r="D60">
        <f t="shared" si="2"/>
        <v>2015</v>
      </c>
      <c r="E60">
        <f t="shared" si="3"/>
        <v>3273.2927840752004</v>
      </c>
      <c r="F60">
        <f t="shared" si="4"/>
        <v>1</v>
      </c>
      <c r="H60">
        <f t="shared" si="6"/>
        <v>3</v>
      </c>
      <c r="I60">
        <f t="shared" si="7"/>
        <v>6</v>
      </c>
      <c r="J60">
        <f t="shared" si="8"/>
        <v>1</v>
      </c>
      <c r="K60" t="str">
        <f t="shared" si="5"/>
        <v>NEP E.NUC_ELC</v>
      </c>
      <c r="U60">
        <v>2015</v>
      </c>
      <c r="V60">
        <v>2020</v>
      </c>
      <c r="W60">
        <v>2025</v>
      </c>
      <c r="X60">
        <v>2030</v>
      </c>
      <c r="Y60">
        <v>2035</v>
      </c>
      <c r="Z60">
        <v>2040</v>
      </c>
      <c r="AA60">
        <v>2045</v>
      </c>
      <c r="AB60">
        <v>2050</v>
      </c>
      <c r="AD60">
        <v>2015</v>
      </c>
      <c r="AE60">
        <v>2020</v>
      </c>
      <c r="AF60">
        <v>2025</v>
      </c>
      <c r="AG60">
        <v>2030</v>
      </c>
      <c r="AH60">
        <v>2035</v>
      </c>
      <c r="AI60">
        <v>2040</v>
      </c>
      <c r="AJ60">
        <v>2045</v>
      </c>
      <c r="AK60">
        <v>2050</v>
      </c>
    </row>
    <row r="61" spans="2:37">
      <c r="B61" t="str">
        <f t="shared" si="0"/>
        <v>FSS_ELC</v>
      </c>
      <c r="C61" t="str">
        <f t="shared" si="1"/>
        <v>NEP E</v>
      </c>
      <c r="D61">
        <f t="shared" si="2"/>
        <v>2015</v>
      </c>
      <c r="E61">
        <f t="shared" si="3"/>
        <v>0</v>
      </c>
      <c r="F61">
        <f t="shared" si="4"/>
        <v>1</v>
      </c>
      <c r="H61">
        <f t="shared" si="6"/>
        <v>4</v>
      </c>
      <c r="I61">
        <f t="shared" si="7"/>
        <v>6</v>
      </c>
      <c r="J61">
        <f t="shared" si="8"/>
        <v>1</v>
      </c>
      <c r="K61" t="str">
        <f t="shared" si="5"/>
        <v>NEP E.FSS_ELC</v>
      </c>
      <c r="AC61">
        <v>0</v>
      </c>
      <c r="AD61">
        <v>217707</v>
      </c>
      <c r="AE61">
        <v>217707</v>
      </c>
      <c r="AF61">
        <v>217707</v>
      </c>
      <c r="AG61">
        <v>217707</v>
      </c>
      <c r="AH61">
        <v>217707</v>
      </c>
      <c r="AI61">
        <v>217707</v>
      </c>
      <c r="AJ61">
        <v>217707</v>
      </c>
      <c r="AK61">
        <v>217707</v>
      </c>
    </row>
    <row r="62" spans="2:37">
      <c r="B62" t="str">
        <f t="shared" si="0"/>
        <v>FSS_CHP</v>
      </c>
      <c r="C62" t="str">
        <f t="shared" si="1"/>
        <v>NEP E</v>
      </c>
      <c r="D62">
        <f t="shared" si="2"/>
        <v>2015</v>
      </c>
      <c r="E62">
        <f t="shared" si="3"/>
        <v>331.76665745092617</v>
      </c>
      <c r="F62">
        <f t="shared" si="4"/>
        <v>1</v>
      </c>
      <c r="H62">
        <f t="shared" si="6"/>
        <v>5</v>
      </c>
      <c r="I62">
        <f t="shared" si="7"/>
        <v>6</v>
      </c>
      <c r="J62">
        <f t="shared" si="8"/>
        <v>1</v>
      </c>
      <c r="K62" t="str">
        <f t="shared" si="5"/>
        <v>NEP E.FSS_CHP</v>
      </c>
      <c r="Q62" t="str">
        <f t="shared" ref="Q62:Q71" si="34">R62&amp;"."&amp;S62</f>
        <v>POM E.HYD_TOT</v>
      </c>
      <c r="R62" t="str">
        <f>U59</f>
        <v>POM E</v>
      </c>
      <c r="S62" t="s">
        <v>145</v>
      </c>
      <c r="T62" s="130" t="s">
        <v>347</v>
      </c>
      <c r="U62">
        <f t="shared" ref="U62:U71" si="35">(AD62-AD61)*($AC$74-$AC$61)/(AD$74-AD$61)</f>
        <v>13713.02184130495</v>
      </c>
      <c r="V62">
        <f t="shared" ref="V62:V71" si="36">(AE62-AE61)*($AC$74-$AC$61)/(AE$74-AE$61)</f>
        <v>13713.02184130495</v>
      </c>
      <c r="W62">
        <f t="shared" ref="W62:W71" si="37">(AF62-AF61)*($AC$74-$AC$61)/(AF$74-AF$61)</f>
        <v>13713.02184130495</v>
      </c>
      <c r="X62">
        <f t="shared" ref="X62:X71" si="38">(AG62-AG61)*($AC$74-$AC$61)/(AG$74-AG$61)</f>
        <v>13713.02184130495</v>
      </c>
      <c r="Y62">
        <f t="shared" ref="Y62:Y71" si="39">(AH62-AH61)*($AC$74-$AC$61)/(AH$74-AH$61)</f>
        <v>13713.02184130495</v>
      </c>
      <c r="Z62">
        <f t="shared" ref="Z62:Z71" si="40">(AI62-AI61)*($AC$74-$AC$61)/(AI$74-AI$61)</f>
        <v>13713.02184130495</v>
      </c>
      <c r="AA62">
        <f t="shared" ref="AA62:AA71" si="41">(AJ62-AJ61)*($AC$74-$AC$61)/(AJ$74-AJ$61)</f>
        <v>13713.02184130495</v>
      </c>
      <c r="AB62">
        <f t="shared" ref="AB62:AB71" si="42">(AK62-AK61)*($AC$74-$AC$61)/(AK$74-AK$61)</f>
        <v>13713.02184130495</v>
      </c>
      <c r="AC62" s="130" t="s">
        <v>347</v>
      </c>
      <c r="AD62">
        <v>316907</v>
      </c>
      <c r="AE62">
        <v>316907</v>
      </c>
      <c r="AF62">
        <v>316907</v>
      </c>
      <c r="AG62">
        <v>316907</v>
      </c>
      <c r="AH62">
        <v>316907</v>
      </c>
      <c r="AI62">
        <v>316907</v>
      </c>
      <c r="AJ62">
        <v>316907</v>
      </c>
      <c r="AK62">
        <v>316907</v>
      </c>
    </row>
    <row r="63" spans="2:37">
      <c r="B63" t="str">
        <f t="shared" si="0"/>
        <v>SOL_WIN_BAL_WASREN</v>
      </c>
      <c r="C63" t="str">
        <f t="shared" si="1"/>
        <v>NEP E</v>
      </c>
      <c r="D63">
        <f t="shared" si="2"/>
        <v>2015</v>
      </c>
      <c r="E63">
        <f t="shared" si="3"/>
        <v>221.17777163395078</v>
      </c>
      <c r="F63">
        <f t="shared" si="4"/>
        <v>1</v>
      </c>
      <c r="H63">
        <f t="shared" si="6"/>
        <v>6</v>
      </c>
      <c r="I63">
        <f t="shared" si="7"/>
        <v>6</v>
      </c>
      <c r="J63">
        <f t="shared" si="8"/>
        <v>1</v>
      </c>
      <c r="K63" t="str">
        <f t="shared" si="5"/>
        <v>NEP E.SOL_WIN_BAL_WASREN</v>
      </c>
      <c r="Q63" t="str">
        <f t="shared" si="34"/>
        <v>POM E.HYD_TOT_NEW</v>
      </c>
      <c r="R63" t="str">
        <f t="shared" ref="R63:R71" si="43">R62</f>
        <v>POM E</v>
      </c>
      <c r="S63" t="s">
        <v>314</v>
      </c>
      <c r="T63" s="130" t="s">
        <v>348</v>
      </c>
      <c r="U63">
        <f t="shared" si="35"/>
        <v>1039.5355266795686</v>
      </c>
      <c r="V63">
        <f t="shared" si="36"/>
        <v>3760.0221177771632</v>
      </c>
      <c r="W63">
        <f t="shared" si="37"/>
        <v>3914.8465579209292</v>
      </c>
      <c r="X63">
        <f t="shared" si="38"/>
        <v>3981.1998894111143</v>
      </c>
      <c r="Y63">
        <f t="shared" si="39"/>
        <v>4158.1421067182746</v>
      </c>
      <c r="Z63">
        <f t="shared" si="40"/>
        <v>4312.9665468620406</v>
      </c>
      <c r="AA63">
        <f t="shared" si="41"/>
        <v>4556.2620956593864</v>
      </c>
      <c r="AB63">
        <f t="shared" si="42"/>
        <v>4777.4398672933366</v>
      </c>
      <c r="AC63" s="130" t="s">
        <v>348</v>
      </c>
      <c r="AD63">
        <v>324427</v>
      </c>
      <c r="AE63">
        <v>344107</v>
      </c>
      <c r="AF63">
        <v>345227</v>
      </c>
      <c r="AG63">
        <v>345707</v>
      </c>
      <c r="AH63">
        <v>346987</v>
      </c>
      <c r="AI63">
        <v>348107</v>
      </c>
      <c r="AJ63">
        <v>349867</v>
      </c>
      <c r="AK63">
        <v>351467</v>
      </c>
    </row>
    <row r="64" spans="2:37">
      <c r="B64" t="str">
        <f t="shared" si="0"/>
        <v>FSS_CHP_NEW</v>
      </c>
      <c r="C64" t="str">
        <f t="shared" si="1"/>
        <v>NEP E</v>
      </c>
      <c r="D64">
        <f t="shared" si="2"/>
        <v>2015</v>
      </c>
      <c r="E64">
        <f t="shared" si="3"/>
        <v>176.80398119988942</v>
      </c>
      <c r="F64">
        <f t="shared" si="4"/>
        <v>1</v>
      </c>
      <c r="H64">
        <f t="shared" si="6"/>
        <v>7</v>
      </c>
      <c r="I64">
        <f t="shared" si="7"/>
        <v>6</v>
      </c>
      <c r="J64">
        <f t="shared" si="8"/>
        <v>1</v>
      </c>
      <c r="K64" t="str">
        <f t="shared" si="5"/>
        <v>NEP E.FSS_CHP_NEW</v>
      </c>
      <c r="Q64" t="str">
        <f t="shared" si="34"/>
        <v>POM E.NUC_ELC</v>
      </c>
      <c r="R64" t="str">
        <f t="shared" si="43"/>
        <v>POM E</v>
      </c>
      <c r="S64" t="s">
        <v>95</v>
      </c>
      <c r="T64" s="130" t="s">
        <v>349</v>
      </c>
      <c r="U64">
        <f t="shared" si="35"/>
        <v>3273.4310201824715</v>
      </c>
      <c r="V64">
        <f t="shared" si="36"/>
        <v>2853.3314901852364</v>
      </c>
      <c r="W64">
        <f t="shared" si="37"/>
        <v>2145.5626209565939</v>
      </c>
      <c r="X64">
        <f t="shared" si="38"/>
        <v>1194.4982029306054</v>
      </c>
      <c r="Y64">
        <f t="shared" si="39"/>
        <v>0</v>
      </c>
      <c r="Z64">
        <f t="shared" si="40"/>
        <v>0</v>
      </c>
      <c r="AA64">
        <f t="shared" si="41"/>
        <v>0</v>
      </c>
      <c r="AB64">
        <f t="shared" si="42"/>
        <v>0</v>
      </c>
      <c r="AC64" s="130" t="s">
        <v>349</v>
      </c>
      <c r="AD64">
        <v>348107</v>
      </c>
      <c r="AE64">
        <v>364748</v>
      </c>
      <c r="AF64">
        <v>360748</v>
      </c>
      <c r="AG64">
        <v>354348</v>
      </c>
      <c r="AH64">
        <f t="shared" ref="AH64:AK65" si="44">AH63</f>
        <v>346987</v>
      </c>
      <c r="AI64">
        <f t="shared" si="44"/>
        <v>348107</v>
      </c>
      <c r="AJ64">
        <f t="shared" si="44"/>
        <v>349867</v>
      </c>
      <c r="AK64">
        <f t="shared" si="44"/>
        <v>351467</v>
      </c>
    </row>
    <row r="65" spans="2:37">
      <c r="B65" t="str">
        <f t="shared" si="0"/>
        <v>SOL_WIN_BAL_WASREN_NEW</v>
      </c>
      <c r="C65" t="str">
        <f t="shared" si="1"/>
        <v>NEP E</v>
      </c>
      <c r="D65">
        <f t="shared" si="2"/>
        <v>2015</v>
      </c>
      <c r="E65">
        <f t="shared" si="3"/>
        <v>464.47332043129666</v>
      </c>
      <c r="F65">
        <f t="shared" si="4"/>
        <v>1</v>
      </c>
      <c r="H65">
        <f t="shared" si="6"/>
        <v>8</v>
      </c>
      <c r="I65">
        <f t="shared" si="7"/>
        <v>6</v>
      </c>
      <c r="J65">
        <f t="shared" si="8"/>
        <v>1</v>
      </c>
      <c r="K65" t="str">
        <f t="shared" si="5"/>
        <v>NEP E.SOL_WIN_BAL_WASREN_NEW</v>
      </c>
      <c r="Q65" t="str">
        <f t="shared" si="34"/>
        <v>POM E.FSS_ELC</v>
      </c>
      <c r="R65" t="str">
        <f t="shared" si="43"/>
        <v>POM E</v>
      </c>
      <c r="S65" t="s">
        <v>300</v>
      </c>
      <c r="T65" s="130" t="s">
        <v>350</v>
      </c>
      <c r="U65">
        <f t="shared" si="35"/>
        <v>0</v>
      </c>
      <c r="V65">
        <f t="shared" si="36"/>
        <v>0</v>
      </c>
      <c r="W65">
        <f t="shared" si="37"/>
        <v>0</v>
      </c>
      <c r="X65">
        <f t="shared" si="38"/>
        <v>0</v>
      </c>
      <c r="Y65">
        <f t="shared" si="39"/>
        <v>0</v>
      </c>
      <c r="Z65">
        <f t="shared" si="40"/>
        <v>0</v>
      </c>
      <c r="AA65">
        <f t="shared" si="41"/>
        <v>0</v>
      </c>
      <c r="AB65">
        <f t="shared" si="42"/>
        <v>0</v>
      </c>
      <c r="AC65" s="130" t="s">
        <v>350</v>
      </c>
      <c r="AD65">
        <f>AD64</f>
        <v>348107</v>
      </c>
      <c r="AE65">
        <f>AE64</f>
        <v>364748</v>
      </c>
      <c r="AF65">
        <f>AF64</f>
        <v>360748</v>
      </c>
      <c r="AG65">
        <f>AG64</f>
        <v>354348</v>
      </c>
      <c r="AH65">
        <f t="shared" si="44"/>
        <v>346987</v>
      </c>
      <c r="AI65">
        <f t="shared" si="44"/>
        <v>348107</v>
      </c>
      <c r="AJ65">
        <f t="shared" si="44"/>
        <v>349867</v>
      </c>
      <c r="AK65">
        <f t="shared" si="44"/>
        <v>351467</v>
      </c>
    </row>
    <row r="66" spans="2:37">
      <c r="B66" t="str">
        <f t="shared" si="0"/>
        <v>FSS_ELC_NEW</v>
      </c>
      <c r="C66" t="str">
        <f t="shared" si="1"/>
        <v>NEP E</v>
      </c>
      <c r="D66">
        <f t="shared" si="2"/>
        <v>2015</v>
      </c>
      <c r="E66">
        <f t="shared" si="3"/>
        <v>0</v>
      </c>
      <c r="F66">
        <f t="shared" si="4"/>
        <v>1</v>
      </c>
      <c r="H66">
        <f t="shared" si="6"/>
        <v>9</v>
      </c>
      <c r="I66">
        <f t="shared" si="7"/>
        <v>6</v>
      </c>
      <c r="J66">
        <f t="shared" si="8"/>
        <v>1</v>
      </c>
      <c r="K66" t="str">
        <f t="shared" si="5"/>
        <v>NEP E.FSS_ELC_NEW</v>
      </c>
      <c r="Q66" t="str">
        <f t="shared" si="34"/>
        <v>POM E.FSS_CHP</v>
      </c>
      <c r="R66" t="str">
        <f t="shared" si="43"/>
        <v>POM E</v>
      </c>
      <c r="S66" t="s">
        <v>299</v>
      </c>
      <c r="T66" s="130" t="s">
        <v>351</v>
      </c>
      <c r="U66">
        <f t="shared" si="35"/>
        <v>309.7871163948023</v>
      </c>
      <c r="V66">
        <f t="shared" si="36"/>
        <v>331.76665745092617</v>
      </c>
      <c r="W66">
        <f t="shared" si="37"/>
        <v>154.68620403649433</v>
      </c>
      <c r="X66">
        <f t="shared" si="38"/>
        <v>88.33287254630909</v>
      </c>
      <c r="Y66">
        <f t="shared" si="39"/>
        <v>66.353331490185241</v>
      </c>
      <c r="Z66">
        <f t="shared" si="40"/>
        <v>0</v>
      </c>
      <c r="AA66">
        <f t="shared" si="41"/>
        <v>0</v>
      </c>
      <c r="AB66">
        <f t="shared" si="42"/>
        <v>0</v>
      </c>
      <c r="AC66" s="130" t="s">
        <v>351</v>
      </c>
      <c r="AD66">
        <v>350348</v>
      </c>
      <c r="AE66">
        <v>367148</v>
      </c>
      <c r="AF66">
        <v>361867</v>
      </c>
      <c r="AG66">
        <v>354987</v>
      </c>
      <c r="AH66">
        <v>347467</v>
      </c>
      <c r="AI66">
        <f>AI65</f>
        <v>348107</v>
      </c>
      <c r="AJ66">
        <f>AJ65</f>
        <v>349867</v>
      </c>
      <c r="AK66">
        <f>AK65</f>
        <v>351467</v>
      </c>
    </row>
    <row r="67" spans="2:37">
      <c r="B67" t="str">
        <f t="shared" si="0"/>
        <v>HYD_TOT</v>
      </c>
      <c r="C67" t="str">
        <f t="shared" si="1"/>
        <v>WWB C</v>
      </c>
      <c r="D67">
        <f t="shared" si="2"/>
        <v>2015</v>
      </c>
      <c r="E67">
        <f t="shared" si="3"/>
        <v>13779.375172795135</v>
      </c>
      <c r="F67">
        <f t="shared" si="4"/>
        <v>1</v>
      </c>
      <c r="H67">
        <f t="shared" si="6"/>
        <v>1</v>
      </c>
      <c r="I67">
        <f t="shared" si="7"/>
        <v>7</v>
      </c>
      <c r="J67">
        <f t="shared" si="8"/>
        <v>1</v>
      </c>
      <c r="K67" t="str">
        <f t="shared" si="5"/>
        <v>WWB C.HYD_TOT</v>
      </c>
      <c r="Q67" t="str">
        <f t="shared" si="34"/>
        <v>POM E.</v>
      </c>
      <c r="R67" t="str">
        <f t="shared" si="43"/>
        <v>POM E</v>
      </c>
      <c r="T67" s="130" t="s">
        <v>352</v>
      </c>
      <c r="U67">
        <f t="shared" si="35"/>
        <v>2477.0528061929776</v>
      </c>
      <c r="V67">
        <f t="shared" si="36"/>
        <v>1437.65551562068</v>
      </c>
      <c r="W67">
        <f t="shared" si="37"/>
        <v>1282.9693115841858</v>
      </c>
      <c r="X67">
        <f t="shared" si="38"/>
        <v>1282.8310754769145</v>
      </c>
      <c r="Y67">
        <f t="shared" si="39"/>
        <v>398.25822504838266</v>
      </c>
      <c r="Z67">
        <f t="shared" si="40"/>
        <v>154.82444014376554</v>
      </c>
      <c r="AA67">
        <f t="shared" si="41"/>
        <v>0</v>
      </c>
      <c r="AB67">
        <f t="shared" si="42"/>
        <v>0</v>
      </c>
      <c r="AC67" s="130" t="s">
        <v>352</v>
      </c>
      <c r="AD67">
        <v>368267</v>
      </c>
      <c r="AE67">
        <v>377548</v>
      </c>
      <c r="AF67">
        <v>371148</v>
      </c>
      <c r="AG67">
        <v>364267</v>
      </c>
      <c r="AH67">
        <v>350348</v>
      </c>
      <c r="AI67">
        <v>349227</v>
      </c>
      <c r="AJ67">
        <f>AJ66</f>
        <v>349867</v>
      </c>
      <c r="AK67">
        <f>AK66</f>
        <v>351467</v>
      </c>
    </row>
    <row r="68" spans="2:37">
      <c r="B68" t="str">
        <f t="shared" si="0"/>
        <v>HYD_TOT_NEW</v>
      </c>
      <c r="C68" t="str">
        <f t="shared" si="1"/>
        <v>WWB C</v>
      </c>
      <c r="D68">
        <f t="shared" si="2"/>
        <v>2015</v>
      </c>
      <c r="E68">
        <f t="shared" si="3"/>
        <v>951.0644180259884</v>
      </c>
      <c r="F68">
        <f t="shared" si="4"/>
        <v>1</v>
      </c>
      <c r="H68">
        <f t="shared" si="6"/>
        <v>2</v>
      </c>
      <c r="I68">
        <f t="shared" si="7"/>
        <v>7</v>
      </c>
      <c r="J68">
        <f t="shared" si="8"/>
        <v>1</v>
      </c>
      <c r="K68" t="str">
        <f t="shared" si="5"/>
        <v>WWB C.HYD_TOT_NEW</v>
      </c>
      <c r="Q68" t="str">
        <f t="shared" si="34"/>
        <v>POM E.SOL_WIN_BAL_WASREN</v>
      </c>
      <c r="R68" t="str">
        <f t="shared" si="43"/>
        <v>POM E</v>
      </c>
      <c r="S68" t="s">
        <v>318</v>
      </c>
      <c r="T68" s="130" t="s">
        <v>353</v>
      </c>
      <c r="U68">
        <f t="shared" si="35"/>
        <v>243.29554879734587</v>
      </c>
      <c r="V68">
        <f t="shared" si="36"/>
        <v>243.15731269007466</v>
      </c>
      <c r="W68">
        <f t="shared" si="37"/>
        <v>154.68620403649433</v>
      </c>
      <c r="X68">
        <f t="shared" si="38"/>
        <v>154.82444014376554</v>
      </c>
      <c r="Y68">
        <f t="shared" si="39"/>
        <v>88.33287254630909</v>
      </c>
      <c r="Z68">
        <f t="shared" si="40"/>
        <v>88.471108653580316</v>
      </c>
      <c r="AA68">
        <f t="shared" si="41"/>
        <v>0</v>
      </c>
      <c r="AB68">
        <f t="shared" si="42"/>
        <v>0</v>
      </c>
      <c r="AC68" s="130" t="s">
        <v>353</v>
      </c>
      <c r="AD68">
        <v>370027</v>
      </c>
      <c r="AE68">
        <v>379307</v>
      </c>
      <c r="AF68">
        <v>372267</v>
      </c>
      <c r="AG68">
        <v>365387</v>
      </c>
      <c r="AH68">
        <v>350987</v>
      </c>
      <c r="AI68">
        <v>349867</v>
      </c>
      <c r="AJ68">
        <f>AJ67</f>
        <v>349867</v>
      </c>
      <c r="AK68">
        <f>AK67</f>
        <v>351467</v>
      </c>
    </row>
    <row r="69" spans="2:37">
      <c r="B69" t="str">
        <f t="shared" si="0"/>
        <v>NUC_ELC</v>
      </c>
      <c r="C69" t="str">
        <f t="shared" si="1"/>
        <v>WWB C</v>
      </c>
      <c r="D69">
        <f t="shared" si="2"/>
        <v>2015</v>
      </c>
      <c r="E69">
        <f t="shared" si="3"/>
        <v>3273.569256289743</v>
      </c>
      <c r="F69">
        <f t="shared" si="4"/>
        <v>1</v>
      </c>
      <c r="H69">
        <f t="shared" si="6"/>
        <v>3</v>
      </c>
      <c r="I69">
        <f t="shared" si="7"/>
        <v>7</v>
      </c>
      <c r="J69">
        <f t="shared" si="8"/>
        <v>1</v>
      </c>
      <c r="K69" t="str">
        <f t="shared" si="5"/>
        <v>WWB C.NUC_ELC</v>
      </c>
      <c r="Q69" t="str">
        <f t="shared" si="34"/>
        <v>POM E.FSS_CHP_NEW</v>
      </c>
      <c r="R69" t="str">
        <f t="shared" si="43"/>
        <v>POM E</v>
      </c>
      <c r="S69" t="s">
        <v>312</v>
      </c>
      <c r="T69" s="130" t="s">
        <v>354</v>
      </c>
      <c r="U69">
        <f t="shared" si="35"/>
        <v>154.96267625103678</v>
      </c>
      <c r="V69">
        <f t="shared" si="36"/>
        <v>309.7871163948023</v>
      </c>
      <c r="W69">
        <f t="shared" si="37"/>
        <v>486.59109759469175</v>
      </c>
      <c r="X69">
        <f t="shared" si="38"/>
        <v>552.94442908487702</v>
      </c>
      <c r="Y69">
        <f t="shared" si="39"/>
        <v>552.94442908487702</v>
      </c>
      <c r="Z69">
        <f t="shared" si="40"/>
        <v>619.43599668233344</v>
      </c>
      <c r="AA69">
        <f t="shared" si="41"/>
        <v>707.76886922864253</v>
      </c>
      <c r="AB69">
        <f t="shared" si="42"/>
        <v>730.02488249930877</v>
      </c>
      <c r="AC69" s="130" t="s">
        <v>354</v>
      </c>
      <c r="AD69">
        <v>371148</v>
      </c>
      <c r="AE69">
        <v>381548</v>
      </c>
      <c r="AF69">
        <v>375787</v>
      </c>
      <c r="AG69">
        <v>369387</v>
      </c>
      <c r="AH69">
        <v>354987</v>
      </c>
      <c r="AI69">
        <v>354348</v>
      </c>
      <c r="AJ69">
        <v>354987</v>
      </c>
      <c r="AK69">
        <v>356748</v>
      </c>
    </row>
    <row r="70" spans="2:37">
      <c r="B70" t="str">
        <f t="shared" si="0"/>
        <v>FSS_ELC</v>
      </c>
      <c r="C70" t="str">
        <f t="shared" si="1"/>
        <v>WWB C</v>
      </c>
      <c r="D70">
        <f t="shared" si="2"/>
        <v>2015</v>
      </c>
      <c r="E70">
        <f t="shared" si="3"/>
        <v>0</v>
      </c>
      <c r="F70">
        <f t="shared" si="4"/>
        <v>1</v>
      </c>
      <c r="H70">
        <f t="shared" si="6"/>
        <v>4</v>
      </c>
      <c r="I70">
        <f t="shared" si="7"/>
        <v>7</v>
      </c>
      <c r="J70">
        <f t="shared" si="8"/>
        <v>1</v>
      </c>
      <c r="K70" t="str">
        <f t="shared" si="5"/>
        <v>WWB C.FSS_ELC</v>
      </c>
      <c r="Q70" t="str">
        <f t="shared" si="34"/>
        <v>POM E.SOL_WIN_BAL_WASREN_NEW</v>
      </c>
      <c r="R70" t="str">
        <f t="shared" si="43"/>
        <v>POM E</v>
      </c>
      <c r="S70" t="s">
        <v>320</v>
      </c>
      <c r="T70" s="130" t="s">
        <v>355</v>
      </c>
      <c r="U70">
        <f t="shared" si="35"/>
        <v>486.45286148742053</v>
      </c>
      <c r="V70">
        <f t="shared" si="36"/>
        <v>1105.888858169754</v>
      </c>
      <c r="W70">
        <f t="shared" si="37"/>
        <v>1990.5999447055572</v>
      </c>
      <c r="X70">
        <f t="shared" si="38"/>
        <v>3361.9021288360518</v>
      </c>
      <c r="Y70">
        <f t="shared" si="39"/>
        <v>5750.6220624827201</v>
      </c>
      <c r="Z70">
        <f t="shared" si="40"/>
        <v>8139.2037600221174</v>
      </c>
      <c r="AA70">
        <f t="shared" si="41"/>
        <v>10682.886369919823</v>
      </c>
      <c r="AB70">
        <f t="shared" si="42"/>
        <v>12673.348078518109</v>
      </c>
      <c r="AC70" s="130" t="s">
        <v>355</v>
      </c>
      <c r="AD70">
        <v>374667</v>
      </c>
      <c r="AE70">
        <v>389548</v>
      </c>
      <c r="AF70">
        <v>390187</v>
      </c>
      <c r="AG70">
        <v>393707</v>
      </c>
      <c r="AH70">
        <v>396587</v>
      </c>
      <c r="AI70">
        <v>413227</v>
      </c>
      <c r="AJ70">
        <v>432267</v>
      </c>
      <c r="AK70">
        <v>448427</v>
      </c>
    </row>
    <row r="71" spans="2:37">
      <c r="B71" t="str">
        <f t="shared" si="0"/>
        <v>FSS_CHP</v>
      </c>
      <c r="C71" t="str">
        <f t="shared" si="1"/>
        <v>WWB C</v>
      </c>
      <c r="D71">
        <f t="shared" si="2"/>
        <v>2015</v>
      </c>
      <c r="E71">
        <f t="shared" si="3"/>
        <v>331.76665745092617</v>
      </c>
      <c r="F71">
        <f t="shared" si="4"/>
        <v>1</v>
      </c>
      <c r="H71">
        <f t="shared" si="6"/>
        <v>5</v>
      </c>
      <c r="I71">
        <f t="shared" si="7"/>
        <v>7</v>
      </c>
      <c r="J71">
        <f t="shared" si="8"/>
        <v>1</v>
      </c>
      <c r="K71" t="str">
        <f t="shared" si="5"/>
        <v>WWB C.FSS_CHP</v>
      </c>
      <c r="Q71" t="str">
        <f t="shared" si="34"/>
        <v>POM E.FSS_ELC_NEW</v>
      </c>
      <c r="R71" t="str">
        <f t="shared" si="43"/>
        <v>POM E</v>
      </c>
      <c r="S71" t="s">
        <v>313</v>
      </c>
      <c r="T71" s="130" t="s">
        <v>356</v>
      </c>
      <c r="U71">
        <f t="shared" si="35"/>
        <v>0</v>
      </c>
      <c r="V71">
        <f t="shared" si="36"/>
        <v>0</v>
      </c>
      <c r="W71">
        <f t="shared" si="37"/>
        <v>0</v>
      </c>
      <c r="X71">
        <f t="shared" si="38"/>
        <v>0</v>
      </c>
      <c r="Y71">
        <f t="shared" si="39"/>
        <v>0</v>
      </c>
      <c r="Z71">
        <f t="shared" si="40"/>
        <v>0</v>
      </c>
      <c r="AA71">
        <f t="shared" si="41"/>
        <v>0</v>
      </c>
      <c r="AB71">
        <f t="shared" si="42"/>
        <v>0</v>
      </c>
      <c r="AC71" s="130" t="s">
        <v>356</v>
      </c>
      <c r="AD71">
        <f t="shared" ref="AD71:AK71" si="45">AD70</f>
        <v>374667</v>
      </c>
      <c r="AE71">
        <f t="shared" si="45"/>
        <v>389548</v>
      </c>
      <c r="AF71">
        <f t="shared" si="45"/>
        <v>390187</v>
      </c>
      <c r="AG71">
        <f t="shared" si="45"/>
        <v>393707</v>
      </c>
      <c r="AH71">
        <f t="shared" si="45"/>
        <v>396587</v>
      </c>
      <c r="AI71">
        <f t="shared" si="45"/>
        <v>413227</v>
      </c>
      <c r="AJ71">
        <f t="shared" si="45"/>
        <v>432267</v>
      </c>
      <c r="AK71">
        <f t="shared" si="45"/>
        <v>448427</v>
      </c>
    </row>
    <row r="72" spans="2:37">
      <c r="B72" t="str">
        <f t="shared" si="0"/>
        <v>SOL_WIN_BAL_WASREN</v>
      </c>
      <c r="C72" t="str">
        <f t="shared" si="1"/>
        <v>WWB C</v>
      </c>
      <c r="D72">
        <f t="shared" si="2"/>
        <v>2015</v>
      </c>
      <c r="E72">
        <f t="shared" si="3"/>
        <v>243.29554879734587</v>
      </c>
      <c r="F72">
        <f t="shared" si="4"/>
        <v>1</v>
      </c>
      <c r="H72">
        <f t="shared" si="6"/>
        <v>6</v>
      </c>
      <c r="I72">
        <f t="shared" si="7"/>
        <v>7</v>
      </c>
      <c r="J72">
        <f t="shared" si="8"/>
        <v>1</v>
      </c>
      <c r="K72" t="str">
        <f t="shared" si="5"/>
        <v>WWB C.SOL_WIN_BAL_WASREN</v>
      </c>
    </row>
    <row r="73" spans="2:37">
      <c r="B73" t="str">
        <f t="shared" si="0"/>
        <v>FSS_CHP_NEW</v>
      </c>
      <c r="C73" t="str">
        <f t="shared" si="1"/>
        <v>WWB C</v>
      </c>
      <c r="D73">
        <f t="shared" si="2"/>
        <v>2015</v>
      </c>
      <c r="E73">
        <f t="shared" si="3"/>
        <v>154.96267625103678</v>
      </c>
      <c r="F73">
        <f t="shared" si="4"/>
        <v>1</v>
      </c>
      <c r="H73">
        <f t="shared" si="6"/>
        <v>7</v>
      </c>
      <c r="I73">
        <f t="shared" si="7"/>
        <v>7</v>
      </c>
      <c r="J73">
        <f t="shared" si="8"/>
        <v>1</v>
      </c>
      <c r="K73" t="str">
        <f t="shared" si="5"/>
        <v>WWB C.FSS_CHP_NEW</v>
      </c>
    </row>
    <row r="74" spans="2:37">
      <c r="B74" t="str">
        <f t="shared" si="0"/>
        <v>SOL_WIN_BAL_WASREN_NEW</v>
      </c>
      <c r="C74" t="str">
        <f t="shared" si="1"/>
        <v>WWB C</v>
      </c>
      <c r="D74">
        <f t="shared" si="2"/>
        <v>2015</v>
      </c>
      <c r="E74">
        <f t="shared" si="3"/>
        <v>154.68620403649433</v>
      </c>
      <c r="F74">
        <f t="shared" si="4"/>
        <v>1</v>
      </c>
      <c r="H74">
        <f t="shared" si="6"/>
        <v>8</v>
      </c>
      <c r="I74">
        <f t="shared" si="7"/>
        <v>7</v>
      </c>
      <c r="J74">
        <f t="shared" si="8"/>
        <v>1</v>
      </c>
      <c r="K74" t="str">
        <f t="shared" si="5"/>
        <v>WWB C.SOL_WIN_BAL_WASREN_NEW</v>
      </c>
      <c r="AC74">
        <v>40000</v>
      </c>
      <c r="AD74">
        <v>507067</v>
      </c>
      <c r="AE74">
        <v>507067</v>
      </c>
      <c r="AF74">
        <v>507067</v>
      </c>
      <c r="AG74">
        <v>507067</v>
      </c>
      <c r="AH74">
        <v>507067</v>
      </c>
      <c r="AI74">
        <v>507067</v>
      </c>
      <c r="AJ74">
        <v>507067</v>
      </c>
      <c r="AK74">
        <v>507067</v>
      </c>
    </row>
    <row r="75" spans="2:37">
      <c r="B75" t="str">
        <f t="shared" si="0"/>
        <v>FSS_ELC_NEW</v>
      </c>
      <c r="C75" t="str">
        <f t="shared" si="1"/>
        <v>WWB C</v>
      </c>
      <c r="D75">
        <f t="shared" si="2"/>
        <v>2015</v>
      </c>
      <c r="E75">
        <f t="shared" si="3"/>
        <v>0</v>
      </c>
      <c r="F75">
        <f t="shared" si="4"/>
        <v>1</v>
      </c>
      <c r="H75">
        <f t="shared" si="6"/>
        <v>9</v>
      </c>
      <c r="I75">
        <f t="shared" si="7"/>
        <v>7</v>
      </c>
      <c r="J75">
        <f t="shared" si="8"/>
        <v>1</v>
      </c>
      <c r="K75" t="str">
        <f t="shared" si="5"/>
        <v>WWB C.FSS_ELC_NEW</v>
      </c>
    </row>
    <row r="76" spans="2:37">
      <c r="B76" t="str">
        <f t="shared" si="0"/>
        <v>HYD_TOT</v>
      </c>
      <c r="C76" t="str">
        <f t="shared" si="1"/>
        <v>WWB C&amp;E</v>
      </c>
      <c r="D76">
        <f t="shared" si="2"/>
        <v>2015</v>
      </c>
      <c r="E76">
        <f t="shared" si="3"/>
        <v>13757.395631739009</v>
      </c>
      <c r="F76">
        <f t="shared" si="4"/>
        <v>1</v>
      </c>
      <c r="H76">
        <f t="shared" si="6"/>
        <v>1</v>
      </c>
      <c r="I76">
        <f t="shared" si="7"/>
        <v>8</v>
      </c>
      <c r="J76">
        <f t="shared" si="8"/>
        <v>1</v>
      </c>
      <c r="K76" t="str">
        <f t="shared" si="5"/>
        <v>WWB C&amp;E.HYD_TOT</v>
      </c>
      <c r="U76" t="s">
        <v>307</v>
      </c>
      <c r="V76" t="str">
        <f>INDEX($U$13:$U$20,MATCH(U76,$T$13:$T$20,0))</f>
        <v>Figure 8-56</v>
      </c>
      <c r="W76" t="str">
        <f>INDEX($V$13:$V$20,MATCH(U76,$T$13:$T$20,0))</f>
        <v>p535</v>
      </c>
    </row>
    <row r="77" spans="2:37">
      <c r="B77" t="str">
        <f t="shared" ref="B77:B140" si="46">INDEX(H$3:H$11,H77)</f>
        <v>HYD_TOT_NEW</v>
      </c>
      <c r="C77" t="str">
        <f t="shared" ref="C77:C140" si="47">INDEX(I$3:I$11,I77)</f>
        <v>WWB C&amp;E</v>
      </c>
      <c r="D77">
        <f t="shared" ref="D77:D140" si="48">INDEX(J$3:J$11,J77)</f>
        <v>2015</v>
      </c>
      <c r="E77">
        <f t="shared" ref="E77:E140" si="49">INDEX($U$28:$AB$156,MATCH(K77,$Q$28:$Q$156,0),MATCH(D77,$U$26:$AB$26,0))</f>
        <v>1039.3972905722974</v>
      </c>
      <c r="F77">
        <f t="shared" ref="F77:F140" si="50">MATCH(D77,$U$26:$AB$26,0)</f>
        <v>1</v>
      </c>
      <c r="H77">
        <f t="shared" si="6"/>
        <v>2</v>
      </c>
      <c r="I77">
        <f t="shared" si="7"/>
        <v>8</v>
      </c>
      <c r="J77">
        <f t="shared" si="8"/>
        <v>1</v>
      </c>
      <c r="K77" t="str">
        <f t="shared" ref="K77:K140" si="51">C77&amp;"."&amp;B77</f>
        <v>WWB C&amp;E.HYD_TOT_NEW</v>
      </c>
      <c r="U77">
        <v>2015</v>
      </c>
      <c r="V77">
        <v>2020</v>
      </c>
      <c r="W77">
        <v>2025</v>
      </c>
      <c r="X77">
        <v>2030</v>
      </c>
      <c r="Y77">
        <v>2035</v>
      </c>
      <c r="Z77">
        <v>2040</v>
      </c>
      <c r="AA77">
        <v>2045</v>
      </c>
      <c r="AB77">
        <v>2050</v>
      </c>
      <c r="AD77">
        <v>2015</v>
      </c>
      <c r="AE77">
        <v>2020</v>
      </c>
      <c r="AF77">
        <v>2025</v>
      </c>
      <c r="AG77">
        <v>2030</v>
      </c>
      <c r="AH77">
        <v>2035</v>
      </c>
      <c r="AI77">
        <v>2040</v>
      </c>
      <c r="AJ77">
        <v>2045</v>
      </c>
      <c r="AK77">
        <v>2050</v>
      </c>
    </row>
    <row r="78" spans="2:37">
      <c r="B78" t="str">
        <f t="shared" si="46"/>
        <v>NUC_ELC</v>
      </c>
      <c r="C78" t="str">
        <f t="shared" si="47"/>
        <v>WWB C&amp;E</v>
      </c>
      <c r="D78">
        <f t="shared" si="48"/>
        <v>2015</v>
      </c>
      <c r="E78">
        <f t="shared" si="49"/>
        <v>3273.569256289743</v>
      </c>
      <c r="F78">
        <f t="shared" si="50"/>
        <v>1</v>
      </c>
      <c r="H78">
        <f t="shared" ref="H78:H141" si="52">IF(H77=COUNTA($H$3:$H$11),1,H77+1)</f>
        <v>3</v>
      </c>
      <c r="I78">
        <f t="shared" ref="I78:I141" si="53">IF(H78=1,IF(I77=COUNTA($I$3:$I$11),1,I77+1),I77)</f>
        <v>8</v>
      </c>
      <c r="J78">
        <f t="shared" ref="J78:J141" si="54">IF(AND(I78=1,I77&gt;1),IF(J77=$J$2,1,J77+1),J77)</f>
        <v>1</v>
      </c>
      <c r="K78" t="str">
        <f t="shared" si="51"/>
        <v>WWB C&amp;E.NUC_ELC</v>
      </c>
      <c r="AC78">
        <v>0</v>
      </c>
      <c r="AD78">
        <v>467467</v>
      </c>
      <c r="AE78">
        <v>467467</v>
      </c>
      <c r="AF78">
        <v>467467</v>
      </c>
      <c r="AG78">
        <v>467467</v>
      </c>
      <c r="AH78">
        <v>467467</v>
      </c>
      <c r="AI78">
        <v>467467</v>
      </c>
      <c r="AJ78">
        <v>467467</v>
      </c>
      <c r="AK78">
        <v>467467</v>
      </c>
    </row>
    <row r="79" spans="2:37">
      <c r="B79" t="str">
        <f t="shared" si="46"/>
        <v>FSS_ELC</v>
      </c>
      <c r="C79" t="str">
        <f t="shared" si="47"/>
        <v>WWB C&amp;E</v>
      </c>
      <c r="D79">
        <f t="shared" si="48"/>
        <v>2015</v>
      </c>
      <c r="E79">
        <f t="shared" si="49"/>
        <v>0</v>
      </c>
      <c r="F79">
        <f t="shared" si="50"/>
        <v>1</v>
      </c>
      <c r="H79">
        <f t="shared" si="52"/>
        <v>4</v>
      </c>
      <c r="I79">
        <f t="shared" si="53"/>
        <v>8</v>
      </c>
      <c r="J79">
        <f t="shared" si="54"/>
        <v>1</v>
      </c>
      <c r="K79" t="str">
        <f t="shared" si="51"/>
        <v>WWB C&amp;E.FSS_ELC</v>
      </c>
      <c r="Q79" t="str">
        <f t="shared" ref="Q79:Q88" si="55">R79&amp;"."&amp;S79</f>
        <v>NEP C.HYD_TOT</v>
      </c>
      <c r="R79" t="str">
        <f>U76</f>
        <v>NEP C</v>
      </c>
      <c r="S79" t="s">
        <v>145</v>
      </c>
      <c r="T79" s="130" t="s">
        <v>347</v>
      </c>
      <c r="U79">
        <f t="shared" ref="U79:U88" si="56">(AD79-AD78)*($AC$74-$AC$61)/(AD$74-AD$61)</f>
        <v>13735.139618468344</v>
      </c>
      <c r="V79">
        <f t="shared" ref="V79:V88" si="57">(AE79-AE78)*($AC$74-$AC$61)/(AE$74-AE$61)</f>
        <v>13735.139618468344</v>
      </c>
      <c r="W79">
        <f t="shared" ref="W79:W88" si="58">(AF79-AF78)*($AC$74-$AC$61)/(AF$74-AF$61)</f>
        <v>13735.139618468344</v>
      </c>
      <c r="X79">
        <f t="shared" ref="X79:X88" si="59">(AG79-AG78)*($AC$74-$AC$61)/(AG$74-AG$61)</f>
        <v>13735.139618468344</v>
      </c>
      <c r="Y79">
        <f t="shared" ref="Y79:Y88" si="60">(AH79-AH78)*($AC$74-$AC$61)/(AH$74-AH$61)</f>
        <v>13735.139618468344</v>
      </c>
      <c r="Z79">
        <f t="shared" ref="Z79:Z88" si="61">(AI79-AI78)*($AC$74-$AC$61)/(AI$74-AI$61)</f>
        <v>13735.139618468344</v>
      </c>
      <c r="AA79">
        <f t="shared" ref="AA79:AA88" si="62">(AJ79-AJ78)*($AC$74-$AC$61)/(AJ$74-AJ$61)</f>
        <v>13735.139618468344</v>
      </c>
      <c r="AB79">
        <f t="shared" ref="AB79:AB88" si="63">(AK79-AK78)*($AC$74-$AC$61)/(AK$74-AK$61)</f>
        <v>13735.139618468344</v>
      </c>
      <c r="AC79" s="130" t="s">
        <v>347</v>
      </c>
      <c r="AD79">
        <v>566827</v>
      </c>
      <c r="AE79">
        <v>566827</v>
      </c>
      <c r="AF79">
        <v>566827</v>
      </c>
      <c r="AG79">
        <v>566827</v>
      </c>
      <c r="AH79">
        <v>566827</v>
      </c>
      <c r="AI79">
        <v>566827</v>
      </c>
      <c r="AJ79">
        <v>566827</v>
      </c>
      <c r="AK79">
        <v>566827</v>
      </c>
    </row>
    <row r="80" spans="2:37">
      <c r="B80" t="str">
        <f t="shared" si="46"/>
        <v>FSS_CHP</v>
      </c>
      <c r="C80" t="str">
        <f t="shared" si="47"/>
        <v>WWB C&amp;E</v>
      </c>
      <c r="D80">
        <f t="shared" si="48"/>
        <v>2015</v>
      </c>
      <c r="E80">
        <f t="shared" si="49"/>
        <v>309.51064418025987</v>
      </c>
      <c r="F80">
        <f t="shared" si="50"/>
        <v>1</v>
      </c>
      <c r="H80">
        <f t="shared" si="52"/>
        <v>5</v>
      </c>
      <c r="I80">
        <f t="shared" si="53"/>
        <v>8</v>
      </c>
      <c r="J80">
        <f t="shared" si="54"/>
        <v>1</v>
      </c>
      <c r="K80" t="str">
        <f t="shared" si="51"/>
        <v>WWB C&amp;E.FSS_CHP</v>
      </c>
      <c r="Q80" t="str">
        <f t="shared" si="55"/>
        <v>NEP C.HYD_TOT_NEW</v>
      </c>
      <c r="R80" t="str">
        <f t="shared" ref="R80:R88" si="64">R79</f>
        <v>NEP C</v>
      </c>
      <c r="S80" t="s">
        <v>314</v>
      </c>
      <c r="T80" s="130" t="s">
        <v>348</v>
      </c>
      <c r="U80">
        <f t="shared" si="56"/>
        <v>973.18219518938349</v>
      </c>
      <c r="V80">
        <f t="shared" si="57"/>
        <v>3671.5510091235833</v>
      </c>
      <c r="W80">
        <f t="shared" si="58"/>
        <v>3671.5510091235833</v>
      </c>
      <c r="X80">
        <f t="shared" si="59"/>
        <v>3760.0221177771632</v>
      </c>
      <c r="Y80">
        <f t="shared" si="60"/>
        <v>3760.0221177771632</v>
      </c>
      <c r="Z80">
        <f t="shared" si="61"/>
        <v>3848.4932264307436</v>
      </c>
      <c r="AA80">
        <f t="shared" si="62"/>
        <v>3914.9847940282002</v>
      </c>
      <c r="AB80">
        <f t="shared" si="63"/>
        <v>4003.3176665745091</v>
      </c>
      <c r="AC80" s="130" t="s">
        <v>348</v>
      </c>
      <c r="AD80">
        <v>573867</v>
      </c>
      <c r="AE80">
        <v>593387</v>
      </c>
      <c r="AF80">
        <v>593387</v>
      </c>
      <c r="AG80">
        <v>594027</v>
      </c>
      <c r="AH80">
        <v>594027</v>
      </c>
      <c r="AI80">
        <v>594667</v>
      </c>
      <c r="AJ80">
        <v>595148</v>
      </c>
      <c r="AK80">
        <v>595787</v>
      </c>
    </row>
    <row r="81" spans="2:37">
      <c r="B81" t="str">
        <f t="shared" si="46"/>
        <v>SOL_WIN_BAL_WASREN</v>
      </c>
      <c r="C81" t="str">
        <f t="shared" si="47"/>
        <v>WWB C&amp;E</v>
      </c>
      <c r="D81">
        <f t="shared" si="48"/>
        <v>2015</v>
      </c>
      <c r="E81">
        <f t="shared" si="49"/>
        <v>1470.8321813657728</v>
      </c>
      <c r="F81">
        <f t="shared" si="50"/>
        <v>1</v>
      </c>
      <c r="H81">
        <f t="shared" si="52"/>
        <v>6</v>
      </c>
      <c r="I81">
        <f t="shared" si="53"/>
        <v>8</v>
      </c>
      <c r="J81">
        <f t="shared" si="54"/>
        <v>1</v>
      </c>
      <c r="K81" t="str">
        <f t="shared" si="51"/>
        <v>WWB C&amp;E.SOL_WIN_BAL_WASREN</v>
      </c>
      <c r="Q81" t="str">
        <f t="shared" si="55"/>
        <v>NEP C.NUC_ELC</v>
      </c>
      <c r="R81" t="str">
        <f t="shared" si="64"/>
        <v>NEP C</v>
      </c>
      <c r="S81" t="s">
        <v>95</v>
      </c>
      <c r="T81" s="130" t="s">
        <v>349</v>
      </c>
      <c r="U81">
        <f t="shared" si="56"/>
        <v>3273.569256289743</v>
      </c>
      <c r="V81">
        <f t="shared" si="57"/>
        <v>2875.3110312413601</v>
      </c>
      <c r="W81">
        <f t="shared" si="58"/>
        <v>2167.5421620127177</v>
      </c>
      <c r="X81">
        <f t="shared" si="59"/>
        <v>1194.3599668233342</v>
      </c>
      <c r="Y81">
        <f t="shared" si="60"/>
        <v>0</v>
      </c>
      <c r="Z81">
        <f t="shared" si="61"/>
        <v>0</v>
      </c>
      <c r="AA81">
        <f t="shared" si="62"/>
        <v>0</v>
      </c>
      <c r="AB81">
        <f t="shared" si="63"/>
        <v>0</v>
      </c>
      <c r="AC81" s="130" t="s">
        <v>349</v>
      </c>
      <c r="AD81">
        <v>597548</v>
      </c>
      <c r="AE81">
        <v>614187</v>
      </c>
      <c r="AF81">
        <v>609067</v>
      </c>
      <c r="AG81">
        <v>602667</v>
      </c>
      <c r="AH81">
        <f t="shared" ref="AH81:AK82" si="65">AH80</f>
        <v>594027</v>
      </c>
      <c r="AI81">
        <f t="shared" si="65"/>
        <v>594667</v>
      </c>
      <c r="AJ81">
        <f t="shared" si="65"/>
        <v>595148</v>
      </c>
      <c r="AK81">
        <f t="shared" si="65"/>
        <v>595787</v>
      </c>
    </row>
    <row r="82" spans="2:37">
      <c r="B82" t="str">
        <f t="shared" si="46"/>
        <v>FSS_CHP_NEW</v>
      </c>
      <c r="C82" t="str">
        <f t="shared" si="47"/>
        <v>WWB C&amp;E</v>
      </c>
      <c r="D82">
        <f t="shared" si="48"/>
        <v>2015</v>
      </c>
      <c r="E82">
        <f t="shared" si="49"/>
        <v>177.08045341443184</v>
      </c>
      <c r="F82">
        <f t="shared" si="50"/>
        <v>1</v>
      </c>
      <c r="H82">
        <f t="shared" si="52"/>
        <v>7</v>
      </c>
      <c r="I82">
        <f t="shared" si="53"/>
        <v>8</v>
      </c>
      <c r="J82">
        <f t="shared" si="54"/>
        <v>1</v>
      </c>
      <c r="K82" t="str">
        <f t="shared" si="51"/>
        <v>WWB C&amp;E.FSS_CHP_NEW</v>
      </c>
      <c r="Q82" t="str">
        <f t="shared" si="55"/>
        <v>NEP C.FSS_ELC</v>
      </c>
      <c r="R82" t="str">
        <f t="shared" si="64"/>
        <v>NEP C</v>
      </c>
      <c r="S82" t="s">
        <v>300</v>
      </c>
      <c r="T82" s="130" t="s">
        <v>350</v>
      </c>
      <c r="U82">
        <f t="shared" si="56"/>
        <v>0</v>
      </c>
      <c r="V82">
        <f t="shared" si="57"/>
        <v>0</v>
      </c>
      <c r="W82">
        <f t="shared" si="58"/>
        <v>0</v>
      </c>
      <c r="X82">
        <f t="shared" si="59"/>
        <v>0</v>
      </c>
      <c r="Y82">
        <f t="shared" si="60"/>
        <v>0</v>
      </c>
      <c r="Z82">
        <f t="shared" si="61"/>
        <v>0</v>
      </c>
      <c r="AA82">
        <f t="shared" si="62"/>
        <v>0</v>
      </c>
      <c r="AB82">
        <f t="shared" si="63"/>
        <v>0</v>
      </c>
      <c r="AC82" s="130" t="s">
        <v>350</v>
      </c>
      <c r="AD82">
        <f>AD81</f>
        <v>597548</v>
      </c>
      <c r="AE82">
        <f>AE81</f>
        <v>614187</v>
      </c>
      <c r="AF82">
        <f>AF81</f>
        <v>609067</v>
      </c>
      <c r="AG82">
        <f>AG81</f>
        <v>602667</v>
      </c>
      <c r="AH82">
        <f t="shared" si="65"/>
        <v>594027</v>
      </c>
      <c r="AI82">
        <f t="shared" si="65"/>
        <v>594667</v>
      </c>
      <c r="AJ82">
        <f t="shared" si="65"/>
        <v>595148</v>
      </c>
      <c r="AK82">
        <f t="shared" si="65"/>
        <v>595787</v>
      </c>
    </row>
    <row r="83" spans="2:37">
      <c r="B83" t="str">
        <f t="shared" si="46"/>
        <v>SOL_WIN_BAL_WASREN_NEW</v>
      </c>
      <c r="C83" t="str">
        <f t="shared" si="47"/>
        <v>WWB C&amp;E</v>
      </c>
      <c r="D83">
        <f t="shared" si="48"/>
        <v>2015</v>
      </c>
      <c r="E83">
        <f t="shared" si="49"/>
        <v>464.33508432402544</v>
      </c>
      <c r="F83">
        <f t="shared" si="50"/>
        <v>1</v>
      </c>
      <c r="H83">
        <f t="shared" si="52"/>
        <v>8</v>
      </c>
      <c r="I83">
        <f t="shared" si="53"/>
        <v>8</v>
      </c>
      <c r="J83">
        <f t="shared" si="54"/>
        <v>1</v>
      </c>
      <c r="K83" t="str">
        <f t="shared" si="51"/>
        <v>WWB C&amp;E.SOL_WIN_BAL_WASREN_NEW</v>
      </c>
      <c r="Q83" t="str">
        <f t="shared" si="55"/>
        <v>NEP C.FSS_CHP</v>
      </c>
      <c r="R83" t="str">
        <f t="shared" si="64"/>
        <v>NEP C</v>
      </c>
      <c r="S83" t="s">
        <v>299</v>
      </c>
      <c r="T83" s="130" t="s">
        <v>351</v>
      </c>
      <c r="U83">
        <f t="shared" si="56"/>
        <v>309.51064418025987</v>
      </c>
      <c r="V83">
        <f t="shared" si="57"/>
        <v>243.43378490461708</v>
      </c>
      <c r="W83">
        <f t="shared" si="58"/>
        <v>154.82444014376554</v>
      </c>
      <c r="X83">
        <f t="shared" si="59"/>
        <v>88.471108653580316</v>
      </c>
      <c r="Y83">
        <f t="shared" si="60"/>
        <v>154.96267625103678</v>
      </c>
      <c r="Z83">
        <f t="shared" si="61"/>
        <v>0</v>
      </c>
      <c r="AA83">
        <f t="shared" si="62"/>
        <v>0</v>
      </c>
      <c r="AB83">
        <f t="shared" si="63"/>
        <v>0</v>
      </c>
      <c r="AC83" s="130" t="s">
        <v>351</v>
      </c>
      <c r="AD83">
        <v>599787</v>
      </c>
      <c r="AE83">
        <v>615948</v>
      </c>
      <c r="AF83">
        <v>610187</v>
      </c>
      <c r="AG83">
        <v>603307</v>
      </c>
      <c r="AH83">
        <v>595148</v>
      </c>
      <c r="AI83">
        <f>AI82</f>
        <v>594667</v>
      </c>
      <c r="AJ83">
        <f>AJ82</f>
        <v>595148</v>
      </c>
      <c r="AK83">
        <f>AK82</f>
        <v>595787</v>
      </c>
    </row>
    <row r="84" spans="2:37">
      <c r="B84" t="str">
        <f t="shared" si="46"/>
        <v>FSS_ELC_NEW</v>
      </c>
      <c r="C84" t="str">
        <f t="shared" si="47"/>
        <v>WWB C&amp;E</v>
      </c>
      <c r="D84">
        <f t="shared" si="48"/>
        <v>2015</v>
      </c>
      <c r="E84">
        <f t="shared" si="49"/>
        <v>0</v>
      </c>
      <c r="F84">
        <f t="shared" si="50"/>
        <v>1</v>
      </c>
      <c r="H84">
        <f t="shared" si="52"/>
        <v>9</v>
      </c>
      <c r="I84">
        <f t="shared" si="53"/>
        <v>8</v>
      </c>
      <c r="J84">
        <f t="shared" si="54"/>
        <v>1</v>
      </c>
      <c r="K84" t="str">
        <f t="shared" si="51"/>
        <v>WWB C&amp;E.FSS_ELC_NEW</v>
      </c>
      <c r="Q84" t="str">
        <f t="shared" si="55"/>
        <v>NEP C.</v>
      </c>
      <c r="R84" t="str">
        <f t="shared" si="64"/>
        <v>NEP C</v>
      </c>
      <c r="T84" s="130" t="s">
        <v>352</v>
      </c>
      <c r="U84">
        <f t="shared" si="56"/>
        <v>2477.1910423002487</v>
      </c>
      <c r="V84">
        <f t="shared" si="57"/>
        <v>1525.9883881669891</v>
      </c>
      <c r="W84">
        <f t="shared" si="58"/>
        <v>1282.8310754769145</v>
      </c>
      <c r="X84">
        <f t="shared" si="59"/>
        <v>1282.8310754769145</v>
      </c>
      <c r="Y84">
        <f t="shared" si="60"/>
        <v>331.76665745092617</v>
      </c>
      <c r="Z84">
        <f t="shared" si="61"/>
        <v>221.17777163395078</v>
      </c>
      <c r="AA84">
        <f t="shared" si="62"/>
        <v>0</v>
      </c>
      <c r="AB84">
        <f t="shared" si="63"/>
        <v>0</v>
      </c>
      <c r="AC84" s="130" t="s">
        <v>352</v>
      </c>
      <c r="AD84">
        <v>617707</v>
      </c>
      <c r="AE84">
        <v>626987</v>
      </c>
      <c r="AF84">
        <v>619467</v>
      </c>
      <c r="AG84">
        <v>612587</v>
      </c>
      <c r="AH84">
        <v>597548</v>
      </c>
      <c r="AI84">
        <v>596267</v>
      </c>
      <c r="AJ84">
        <f>AJ83</f>
        <v>595148</v>
      </c>
      <c r="AK84">
        <f>AK83</f>
        <v>595787</v>
      </c>
    </row>
    <row r="85" spans="2:37">
      <c r="B85" t="str">
        <f t="shared" si="46"/>
        <v>HYD_TOT</v>
      </c>
      <c r="C85" t="str">
        <f t="shared" si="47"/>
        <v>POM C</v>
      </c>
      <c r="D85">
        <f t="shared" si="48"/>
        <v>2020</v>
      </c>
      <c r="E85">
        <f t="shared" si="49"/>
        <v>13709.231619679382</v>
      </c>
      <c r="F85">
        <f t="shared" si="50"/>
        <v>2</v>
      </c>
      <c r="H85">
        <f t="shared" si="52"/>
        <v>1</v>
      </c>
      <c r="I85">
        <f t="shared" si="53"/>
        <v>1</v>
      </c>
      <c r="J85">
        <f t="shared" si="54"/>
        <v>2</v>
      </c>
      <c r="K85" t="str">
        <f t="shared" si="51"/>
        <v>POM C.HYD_TOT</v>
      </c>
      <c r="Q85" t="str">
        <f t="shared" si="55"/>
        <v>NEP C.SOL_WIN_BAL_WASREN</v>
      </c>
      <c r="R85" t="str">
        <f t="shared" si="64"/>
        <v>NEP C</v>
      </c>
      <c r="S85" t="s">
        <v>318</v>
      </c>
      <c r="T85" s="130" t="s">
        <v>353</v>
      </c>
      <c r="U85">
        <f t="shared" si="56"/>
        <v>243.29554879734587</v>
      </c>
      <c r="V85">
        <f t="shared" si="57"/>
        <v>154.82444014376554</v>
      </c>
      <c r="W85">
        <f t="shared" si="58"/>
        <v>243.29554879734587</v>
      </c>
      <c r="X85">
        <f t="shared" si="59"/>
        <v>154.82444014376554</v>
      </c>
      <c r="Y85">
        <f t="shared" si="60"/>
        <v>66.215095382914015</v>
      </c>
      <c r="Z85">
        <f t="shared" si="61"/>
        <v>88.471108653580316</v>
      </c>
      <c r="AA85">
        <f t="shared" si="62"/>
        <v>0</v>
      </c>
      <c r="AB85">
        <f t="shared" si="63"/>
        <v>0</v>
      </c>
      <c r="AC85" s="130" t="s">
        <v>353</v>
      </c>
      <c r="AD85">
        <v>619467</v>
      </c>
      <c r="AE85">
        <v>628107</v>
      </c>
      <c r="AF85">
        <v>621227</v>
      </c>
      <c r="AG85">
        <v>613707</v>
      </c>
      <c r="AH85">
        <v>598027</v>
      </c>
      <c r="AI85">
        <v>596907</v>
      </c>
      <c r="AJ85">
        <f>AJ84</f>
        <v>595148</v>
      </c>
      <c r="AK85">
        <f>AK84</f>
        <v>595787</v>
      </c>
    </row>
    <row r="86" spans="2:37">
      <c r="B86" t="str">
        <f t="shared" si="46"/>
        <v>HYD_TOT_NEW</v>
      </c>
      <c r="C86" t="str">
        <f t="shared" si="47"/>
        <v>POM C</v>
      </c>
      <c r="D86">
        <f t="shared" si="48"/>
        <v>2020</v>
      </c>
      <c r="E86">
        <f t="shared" si="49"/>
        <v>3637.3687119955775</v>
      </c>
      <c r="F86">
        <f t="shared" si="50"/>
        <v>2</v>
      </c>
      <c r="H86">
        <f t="shared" si="52"/>
        <v>2</v>
      </c>
      <c r="I86">
        <f t="shared" si="53"/>
        <v>1</v>
      </c>
      <c r="J86">
        <f t="shared" si="54"/>
        <v>2</v>
      </c>
      <c r="K86" t="str">
        <f t="shared" si="51"/>
        <v>POM C.HYD_TOT_NEW</v>
      </c>
      <c r="Q86" t="str">
        <f t="shared" si="55"/>
        <v>NEP C.FSS_CHP_NEW</v>
      </c>
      <c r="R86" t="str">
        <f t="shared" si="64"/>
        <v>NEP C</v>
      </c>
      <c r="S86" t="s">
        <v>312</v>
      </c>
      <c r="T86" s="130" t="s">
        <v>354</v>
      </c>
      <c r="U86">
        <f t="shared" si="56"/>
        <v>154.82444014376554</v>
      </c>
      <c r="V86">
        <f t="shared" si="57"/>
        <v>398.11998894111144</v>
      </c>
      <c r="W86">
        <f t="shared" si="58"/>
        <v>464.47332043129666</v>
      </c>
      <c r="X86">
        <f t="shared" si="59"/>
        <v>552.94442908487702</v>
      </c>
      <c r="Y86">
        <f t="shared" si="60"/>
        <v>641.41553773845726</v>
      </c>
      <c r="Z86">
        <f t="shared" si="61"/>
        <v>641.55377384572853</v>
      </c>
      <c r="AA86">
        <f t="shared" si="62"/>
        <v>729.74841028476635</v>
      </c>
      <c r="AB86">
        <f t="shared" si="63"/>
        <v>707.76886922864253</v>
      </c>
      <c r="AC86" s="130" t="s">
        <v>354</v>
      </c>
      <c r="AD86">
        <v>620587</v>
      </c>
      <c r="AE86">
        <v>630987</v>
      </c>
      <c r="AF86">
        <v>624587</v>
      </c>
      <c r="AG86">
        <v>617707</v>
      </c>
      <c r="AH86">
        <v>602667</v>
      </c>
      <c r="AI86">
        <v>601548</v>
      </c>
      <c r="AJ86">
        <v>600427</v>
      </c>
      <c r="AK86">
        <v>600907</v>
      </c>
    </row>
    <row r="87" spans="2:37">
      <c r="B87" t="str">
        <f t="shared" si="46"/>
        <v>NUC_ELC</v>
      </c>
      <c r="C87" t="str">
        <f t="shared" si="47"/>
        <v>POM C</v>
      </c>
      <c r="D87">
        <f t="shared" si="48"/>
        <v>2020</v>
      </c>
      <c r="E87">
        <f t="shared" si="49"/>
        <v>2907.8220011055832</v>
      </c>
      <c r="F87">
        <f t="shared" si="50"/>
        <v>2</v>
      </c>
      <c r="H87">
        <f t="shared" si="52"/>
        <v>3</v>
      </c>
      <c r="I87">
        <f t="shared" si="53"/>
        <v>1</v>
      </c>
      <c r="J87">
        <f t="shared" si="54"/>
        <v>2</v>
      </c>
      <c r="K87" t="str">
        <f t="shared" si="51"/>
        <v>POM C.NUC_ELC</v>
      </c>
      <c r="Q87" t="str">
        <f t="shared" si="55"/>
        <v>NEP C.SOL_WIN_BAL_WASREN_NEW</v>
      </c>
      <c r="R87" t="str">
        <f t="shared" si="64"/>
        <v>NEP C</v>
      </c>
      <c r="S87" t="s">
        <v>320</v>
      </c>
      <c r="T87" s="130" t="s">
        <v>355</v>
      </c>
      <c r="U87">
        <f t="shared" si="56"/>
        <v>154.82444014376554</v>
      </c>
      <c r="V87">
        <f t="shared" si="57"/>
        <v>398.11998894111144</v>
      </c>
      <c r="W87">
        <f t="shared" si="58"/>
        <v>796.37821398949404</v>
      </c>
      <c r="X87">
        <f t="shared" si="59"/>
        <v>1437.65551562068</v>
      </c>
      <c r="Y87">
        <f t="shared" si="60"/>
        <v>2963.7821398949404</v>
      </c>
      <c r="Z87">
        <f t="shared" si="61"/>
        <v>3826.2372131600773</v>
      </c>
      <c r="AA87">
        <f t="shared" si="62"/>
        <v>5020.8736521979545</v>
      </c>
      <c r="AB87">
        <f t="shared" si="63"/>
        <v>5993.917611280066</v>
      </c>
      <c r="AC87" s="130" t="s">
        <v>355</v>
      </c>
      <c r="AD87">
        <v>621707</v>
      </c>
      <c r="AE87">
        <v>633867</v>
      </c>
      <c r="AF87">
        <v>630348</v>
      </c>
      <c r="AG87">
        <v>628107</v>
      </c>
      <c r="AH87">
        <v>624107</v>
      </c>
      <c r="AI87">
        <v>629227</v>
      </c>
      <c r="AJ87">
        <v>636748</v>
      </c>
      <c r="AK87">
        <v>644267</v>
      </c>
    </row>
    <row r="88" spans="2:37">
      <c r="B88" t="str">
        <f t="shared" si="46"/>
        <v>FSS_ELC</v>
      </c>
      <c r="C88" t="str">
        <f t="shared" si="47"/>
        <v>POM C</v>
      </c>
      <c r="D88">
        <f t="shared" si="48"/>
        <v>2020</v>
      </c>
      <c r="E88">
        <f t="shared" si="49"/>
        <v>0</v>
      </c>
      <c r="F88">
        <f t="shared" si="50"/>
        <v>2</v>
      </c>
      <c r="H88">
        <f t="shared" si="52"/>
        <v>4</v>
      </c>
      <c r="I88">
        <f t="shared" si="53"/>
        <v>1</v>
      </c>
      <c r="J88">
        <f t="shared" si="54"/>
        <v>2</v>
      </c>
      <c r="K88" t="str">
        <f t="shared" si="51"/>
        <v>POM C.FSS_ELC</v>
      </c>
      <c r="Q88" t="str">
        <f t="shared" si="55"/>
        <v>NEP C.FSS_ELC_NEW</v>
      </c>
      <c r="R88" t="str">
        <f t="shared" si="64"/>
        <v>NEP C</v>
      </c>
      <c r="S88" t="s">
        <v>313</v>
      </c>
      <c r="T88" s="130" t="s">
        <v>356</v>
      </c>
      <c r="U88">
        <f t="shared" si="56"/>
        <v>0</v>
      </c>
      <c r="V88">
        <f t="shared" si="57"/>
        <v>0</v>
      </c>
      <c r="W88">
        <f t="shared" si="58"/>
        <v>574.92397014100084</v>
      </c>
      <c r="X88">
        <f t="shared" si="59"/>
        <v>1680.9510644180259</v>
      </c>
      <c r="Y88">
        <f t="shared" si="60"/>
        <v>2698.3688139341998</v>
      </c>
      <c r="Z88">
        <f t="shared" si="61"/>
        <v>2720.4865910975946</v>
      </c>
      <c r="AA88">
        <f t="shared" si="62"/>
        <v>2720.3483549903235</v>
      </c>
      <c r="AB88">
        <f t="shared" si="63"/>
        <v>2720.6248272048661</v>
      </c>
      <c r="AC88" s="130" t="s">
        <v>356</v>
      </c>
      <c r="AD88">
        <f>AD87</f>
        <v>621707</v>
      </c>
      <c r="AE88">
        <f>AE87</f>
        <v>633867</v>
      </c>
      <c r="AF88">
        <v>634507</v>
      </c>
      <c r="AG88">
        <v>640267</v>
      </c>
      <c r="AH88">
        <v>643627</v>
      </c>
      <c r="AI88">
        <v>648907</v>
      </c>
      <c r="AJ88">
        <v>656427</v>
      </c>
      <c r="AK88">
        <v>663948</v>
      </c>
    </row>
    <row r="89" spans="2:37">
      <c r="B89" t="str">
        <f t="shared" si="46"/>
        <v>FSS_CHP</v>
      </c>
      <c r="C89" t="str">
        <f t="shared" si="47"/>
        <v>POM C</v>
      </c>
      <c r="D89">
        <f t="shared" si="48"/>
        <v>2020</v>
      </c>
      <c r="E89">
        <f t="shared" si="49"/>
        <v>243.09010503040355</v>
      </c>
      <c r="F89">
        <f t="shared" si="50"/>
        <v>2</v>
      </c>
      <c r="H89">
        <f t="shared" si="52"/>
        <v>5</v>
      </c>
      <c r="I89">
        <f t="shared" si="53"/>
        <v>1</v>
      </c>
      <c r="J89">
        <f t="shared" si="54"/>
        <v>2</v>
      </c>
      <c r="K89" t="str">
        <f t="shared" si="51"/>
        <v>POM C.FSS_CHP</v>
      </c>
    </row>
    <row r="90" spans="2:37">
      <c r="B90" t="str">
        <f t="shared" si="46"/>
        <v>SOL_WIN_BAL_WASREN</v>
      </c>
      <c r="C90" t="str">
        <f t="shared" si="47"/>
        <v>POM C</v>
      </c>
      <c r="D90">
        <f t="shared" si="48"/>
        <v>2020</v>
      </c>
      <c r="E90">
        <f t="shared" si="49"/>
        <v>154.78164731896075</v>
      </c>
      <c r="F90">
        <f t="shared" si="50"/>
        <v>2</v>
      </c>
      <c r="H90">
        <f t="shared" si="52"/>
        <v>6</v>
      </c>
      <c r="I90">
        <f t="shared" si="53"/>
        <v>1</v>
      </c>
      <c r="J90">
        <f t="shared" si="54"/>
        <v>2</v>
      </c>
      <c r="K90" t="str">
        <f t="shared" si="51"/>
        <v>POM C.SOL_WIN_BAL_WASREN</v>
      </c>
    </row>
    <row r="91" spans="2:37">
      <c r="B91" t="str">
        <f t="shared" si="46"/>
        <v>FSS_CHP_NEW</v>
      </c>
      <c r="C91" t="str">
        <f t="shared" si="47"/>
        <v>POM C</v>
      </c>
      <c r="D91">
        <f t="shared" si="48"/>
        <v>2020</v>
      </c>
      <c r="E91">
        <f t="shared" si="49"/>
        <v>398.00995024875624</v>
      </c>
      <c r="F91">
        <f t="shared" si="50"/>
        <v>2</v>
      </c>
      <c r="H91">
        <f t="shared" si="52"/>
        <v>7</v>
      </c>
      <c r="I91">
        <f t="shared" si="53"/>
        <v>1</v>
      </c>
      <c r="J91">
        <f t="shared" si="54"/>
        <v>2</v>
      </c>
      <c r="K91" t="str">
        <f t="shared" si="51"/>
        <v>POM C.FSS_CHP_NEW</v>
      </c>
      <c r="AC91">
        <v>40000</v>
      </c>
      <c r="AD91">
        <v>757227</v>
      </c>
      <c r="AE91">
        <v>757227</v>
      </c>
      <c r="AF91">
        <v>757227</v>
      </c>
      <c r="AG91">
        <v>757227</v>
      </c>
      <c r="AH91">
        <v>757227</v>
      </c>
      <c r="AI91">
        <v>757227</v>
      </c>
      <c r="AJ91">
        <v>757227</v>
      </c>
      <c r="AK91">
        <v>757227</v>
      </c>
    </row>
    <row r="92" spans="2:37">
      <c r="B92" t="str">
        <f t="shared" si="46"/>
        <v>SOL_WIN_BAL_WASREN_NEW</v>
      </c>
      <c r="C92" t="str">
        <f t="shared" si="47"/>
        <v>POM C</v>
      </c>
      <c r="D92">
        <f t="shared" si="48"/>
        <v>2020</v>
      </c>
      <c r="E92">
        <f t="shared" si="49"/>
        <v>397.87175234936427</v>
      </c>
      <c r="F92">
        <f t="shared" si="50"/>
        <v>2</v>
      </c>
      <c r="H92">
        <f t="shared" si="52"/>
        <v>8</v>
      </c>
      <c r="I92">
        <f t="shared" si="53"/>
        <v>1</v>
      </c>
      <c r="J92">
        <f t="shared" si="54"/>
        <v>2</v>
      </c>
      <c r="K92" t="str">
        <f t="shared" si="51"/>
        <v>POM C.SOL_WIN_BAL_WASREN_NEW</v>
      </c>
    </row>
    <row r="93" spans="2:37">
      <c r="B93" t="str">
        <f t="shared" si="46"/>
        <v>FSS_ELC_NEW</v>
      </c>
      <c r="C93" t="str">
        <f t="shared" si="47"/>
        <v>POM C</v>
      </c>
      <c r="D93">
        <f t="shared" si="48"/>
        <v>2020</v>
      </c>
      <c r="E93">
        <f t="shared" si="49"/>
        <v>0</v>
      </c>
      <c r="F93">
        <f t="shared" si="50"/>
        <v>2</v>
      </c>
      <c r="H93">
        <f t="shared" si="52"/>
        <v>9</v>
      </c>
      <c r="I93">
        <f t="shared" si="53"/>
        <v>1</v>
      </c>
      <c r="J93">
        <f t="shared" si="54"/>
        <v>2</v>
      </c>
      <c r="K93" t="str">
        <f t="shared" si="51"/>
        <v>POM C.FSS_ELC_NEW</v>
      </c>
      <c r="U93" t="s">
        <v>308</v>
      </c>
      <c r="V93" t="str">
        <f>INDEX($U$13:$U$20,MATCH(U93,$T$13:$T$20))</f>
        <v>Figure 8-57</v>
      </c>
      <c r="W93" t="str">
        <f>INDEX($V$13:$V$20,MATCH(U93,$T$13:$T$20,0))</f>
        <v>p536</v>
      </c>
    </row>
    <row r="94" spans="2:37">
      <c r="B94" t="str">
        <f t="shared" si="46"/>
        <v>HYD_TOT</v>
      </c>
      <c r="C94" t="str">
        <f t="shared" si="47"/>
        <v>POM C&amp;E</v>
      </c>
      <c r="D94">
        <f t="shared" si="48"/>
        <v>2020</v>
      </c>
      <c r="E94">
        <f t="shared" si="49"/>
        <v>13731.343283582089</v>
      </c>
      <c r="F94">
        <f t="shared" si="50"/>
        <v>2</v>
      </c>
      <c r="H94">
        <f t="shared" si="52"/>
        <v>1</v>
      </c>
      <c r="I94">
        <f t="shared" si="53"/>
        <v>2</v>
      </c>
      <c r="J94">
        <f t="shared" si="54"/>
        <v>2</v>
      </c>
      <c r="K94" t="str">
        <f t="shared" si="51"/>
        <v>POM C&amp;E.HYD_TOT</v>
      </c>
      <c r="U94">
        <v>2015</v>
      </c>
      <c r="V94">
        <v>2020</v>
      </c>
      <c r="W94">
        <v>2025</v>
      </c>
      <c r="X94">
        <v>2030</v>
      </c>
      <c r="Y94">
        <v>2035</v>
      </c>
      <c r="Z94">
        <v>2040</v>
      </c>
      <c r="AA94">
        <v>2045</v>
      </c>
      <c r="AB94">
        <v>2050</v>
      </c>
      <c r="AD94">
        <v>2015</v>
      </c>
      <c r="AE94">
        <v>2020</v>
      </c>
      <c r="AF94">
        <v>2025</v>
      </c>
      <c r="AG94">
        <v>2030</v>
      </c>
      <c r="AH94">
        <v>2035</v>
      </c>
      <c r="AI94">
        <v>2040</v>
      </c>
      <c r="AJ94">
        <v>2045</v>
      </c>
      <c r="AK94">
        <v>2050</v>
      </c>
    </row>
    <row r="95" spans="2:37">
      <c r="B95" t="str">
        <f t="shared" si="46"/>
        <v>HYD_TOT_NEW</v>
      </c>
      <c r="C95" t="str">
        <f t="shared" si="47"/>
        <v>POM C&amp;E</v>
      </c>
      <c r="D95">
        <f t="shared" si="48"/>
        <v>2020</v>
      </c>
      <c r="E95">
        <f t="shared" si="49"/>
        <v>3736.8711995577669</v>
      </c>
      <c r="F95">
        <f t="shared" si="50"/>
        <v>2</v>
      </c>
      <c r="H95">
        <f t="shared" si="52"/>
        <v>2</v>
      </c>
      <c r="I95">
        <f t="shared" si="53"/>
        <v>2</v>
      </c>
      <c r="J95">
        <f t="shared" si="54"/>
        <v>2</v>
      </c>
      <c r="K95" t="str">
        <f t="shared" si="51"/>
        <v>POM C&amp;E.HYD_TOT_NEW</v>
      </c>
      <c r="AC95">
        <v>0</v>
      </c>
      <c r="AD95">
        <v>660907</v>
      </c>
      <c r="AE95">
        <v>660907</v>
      </c>
      <c r="AF95">
        <v>660907</v>
      </c>
      <c r="AG95">
        <v>660907</v>
      </c>
      <c r="AH95">
        <v>660907</v>
      </c>
      <c r="AI95">
        <v>660907</v>
      </c>
      <c r="AJ95">
        <v>660907</v>
      </c>
      <c r="AK95">
        <v>660907</v>
      </c>
    </row>
    <row r="96" spans="2:37">
      <c r="B96" t="str">
        <f t="shared" si="46"/>
        <v>NUC_ELC</v>
      </c>
      <c r="C96" t="str">
        <f t="shared" si="47"/>
        <v>POM C&amp;E</v>
      </c>
      <c r="D96">
        <f t="shared" si="48"/>
        <v>2020</v>
      </c>
      <c r="E96">
        <f t="shared" si="49"/>
        <v>2874.516307352128</v>
      </c>
      <c r="F96">
        <f t="shared" si="50"/>
        <v>2</v>
      </c>
      <c r="H96">
        <f t="shared" si="52"/>
        <v>3</v>
      </c>
      <c r="I96">
        <f t="shared" si="53"/>
        <v>2</v>
      </c>
      <c r="J96">
        <f t="shared" si="54"/>
        <v>2</v>
      </c>
      <c r="K96" t="str">
        <f t="shared" si="51"/>
        <v>POM C&amp;E.NUC_ELC</v>
      </c>
      <c r="Q96" t="str">
        <f t="shared" ref="Q96:Q105" si="66">R96&amp;"."&amp;S96</f>
        <v>NEP C&amp;E.HYD_TOT</v>
      </c>
      <c r="R96" t="str">
        <f>U93</f>
        <v>NEP C&amp;E</v>
      </c>
      <c r="S96" t="s">
        <v>145</v>
      </c>
      <c r="T96" s="130" t="s">
        <v>347</v>
      </c>
      <c r="U96">
        <f t="shared" ref="U96:U105" si="67">(AD96-AD95)*($AC$74-$AC$61)/(AD$74-AD$61)</f>
        <v>13735.139618468344</v>
      </c>
      <c r="V96">
        <f t="shared" ref="V96:V105" si="68">(AE96-AE95)*($AC$74-$AC$61)/(AE$74-AE$61)</f>
        <v>13735.139618468344</v>
      </c>
      <c r="W96">
        <f t="shared" ref="W96:W105" si="69">(AF96-AF95)*($AC$74-$AC$61)/(AF$74-AF$61)</f>
        <v>13735.139618468344</v>
      </c>
      <c r="X96">
        <f t="shared" ref="X96:X105" si="70">(AG96-AG95)*($AC$74-$AC$61)/(AG$74-AG$61)</f>
        <v>13735.139618468344</v>
      </c>
      <c r="Y96">
        <f t="shared" ref="Y96:Y105" si="71">(AH96-AH95)*($AC$74-$AC$61)/(AH$74-AH$61)</f>
        <v>13735.139618468344</v>
      </c>
      <c r="Z96">
        <f t="shared" ref="Z96:Z105" si="72">(AI96-AI95)*($AC$74-$AC$61)/(AI$74-AI$61)</f>
        <v>13735.139618468344</v>
      </c>
      <c r="AA96">
        <f t="shared" ref="AA96:AA105" si="73">(AJ96-AJ95)*($AC$74-$AC$61)/(AJ$74-AJ$61)</f>
        <v>13735.139618468344</v>
      </c>
      <c r="AB96">
        <f t="shared" ref="AB96:AB105" si="74">(AK96-AK95)*($AC$74-$AC$61)/(AK$74-AK$61)</f>
        <v>13735.139618468344</v>
      </c>
      <c r="AC96" s="130" t="s">
        <v>347</v>
      </c>
      <c r="AD96">
        <v>760267</v>
      </c>
      <c r="AE96">
        <v>760267</v>
      </c>
      <c r="AF96">
        <v>760267</v>
      </c>
      <c r="AG96">
        <v>760267</v>
      </c>
      <c r="AH96">
        <v>760267</v>
      </c>
      <c r="AI96">
        <v>760267</v>
      </c>
      <c r="AJ96">
        <v>760267</v>
      </c>
      <c r="AK96">
        <v>760267</v>
      </c>
    </row>
    <row r="97" spans="2:37">
      <c r="B97" t="str">
        <f t="shared" si="46"/>
        <v>FSS_ELC</v>
      </c>
      <c r="C97" t="str">
        <f t="shared" si="47"/>
        <v>POM C&amp;E</v>
      </c>
      <c r="D97">
        <f t="shared" si="48"/>
        <v>2020</v>
      </c>
      <c r="E97">
        <f t="shared" si="49"/>
        <v>0</v>
      </c>
      <c r="F97">
        <f t="shared" si="50"/>
        <v>2</v>
      </c>
      <c r="H97">
        <f t="shared" si="52"/>
        <v>4</v>
      </c>
      <c r="I97">
        <f t="shared" si="53"/>
        <v>2</v>
      </c>
      <c r="J97">
        <f t="shared" si="54"/>
        <v>2</v>
      </c>
      <c r="K97" t="str">
        <f t="shared" si="51"/>
        <v>POM C&amp;E.FSS_ELC</v>
      </c>
      <c r="Q97" t="str">
        <f t="shared" si="66"/>
        <v>NEP C&amp;E.HYD_TOT_NEW</v>
      </c>
      <c r="R97" t="str">
        <f t="shared" ref="R97:R105" si="75">R96</f>
        <v>NEP C&amp;E</v>
      </c>
      <c r="S97" t="s">
        <v>314</v>
      </c>
      <c r="T97" s="130" t="s">
        <v>348</v>
      </c>
      <c r="U97">
        <f t="shared" si="67"/>
        <v>1039.5355266795686</v>
      </c>
      <c r="V97">
        <f t="shared" si="68"/>
        <v>3737.9043406137685</v>
      </c>
      <c r="W97">
        <f t="shared" si="69"/>
        <v>3914.8465579209292</v>
      </c>
      <c r="X97">
        <f t="shared" si="70"/>
        <v>3981.1998894111143</v>
      </c>
      <c r="Y97">
        <f t="shared" si="71"/>
        <v>4136.0243295548798</v>
      </c>
      <c r="Z97">
        <f t="shared" si="72"/>
        <v>4312.9665468620406</v>
      </c>
      <c r="AA97">
        <f t="shared" si="73"/>
        <v>4534.1443184959908</v>
      </c>
      <c r="AB97">
        <f t="shared" si="74"/>
        <v>4777.4398672933366</v>
      </c>
      <c r="AC97" s="130" t="s">
        <v>348</v>
      </c>
      <c r="AD97">
        <v>767787</v>
      </c>
      <c r="AE97">
        <v>787307</v>
      </c>
      <c r="AF97">
        <v>788587</v>
      </c>
      <c r="AG97">
        <v>789067</v>
      </c>
      <c r="AH97">
        <v>790187</v>
      </c>
      <c r="AI97">
        <v>791467</v>
      </c>
      <c r="AJ97">
        <v>793067</v>
      </c>
      <c r="AK97">
        <v>794827</v>
      </c>
    </row>
    <row r="98" spans="2:37">
      <c r="B98" t="str">
        <f t="shared" si="46"/>
        <v>FSS_CHP</v>
      </c>
      <c r="C98" t="str">
        <f t="shared" si="47"/>
        <v>POM C&amp;E</v>
      </c>
      <c r="D98">
        <f t="shared" si="48"/>
        <v>2020</v>
      </c>
      <c r="E98">
        <f t="shared" si="49"/>
        <v>331.6749585406302</v>
      </c>
      <c r="F98">
        <f t="shared" si="50"/>
        <v>2</v>
      </c>
      <c r="H98">
        <f t="shared" si="52"/>
        <v>5</v>
      </c>
      <c r="I98">
        <f t="shared" si="53"/>
        <v>2</v>
      </c>
      <c r="J98">
        <f t="shared" si="54"/>
        <v>2</v>
      </c>
      <c r="K98" t="str">
        <f t="shared" si="51"/>
        <v>POM C&amp;E.FSS_CHP</v>
      </c>
      <c r="Q98" t="str">
        <f t="shared" si="66"/>
        <v>NEP C&amp;E.NUC_ELC</v>
      </c>
      <c r="R98" t="str">
        <f t="shared" si="75"/>
        <v>NEP C&amp;E</v>
      </c>
      <c r="S98" t="s">
        <v>95</v>
      </c>
      <c r="T98" s="130" t="s">
        <v>349</v>
      </c>
      <c r="U98">
        <f t="shared" si="67"/>
        <v>3273.4310201824715</v>
      </c>
      <c r="V98">
        <f t="shared" si="68"/>
        <v>2875.3110312413601</v>
      </c>
      <c r="W98">
        <f t="shared" si="69"/>
        <v>2145.4243848493225</v>
      </c>
      <c r="X98">
        <f t="shared" si="70"/>
        <v>1194.3599668233342</v>
      </c>
      <c r="Y98">
        <f t="shared" si="71"/>
        <v>0</v>
      </c>
      <c r="Z98">
        <f t="shared" si="72"/>
        <v>0</v>
      </c>
      <c r="AA98">
        <f t="shared" si="73"/>
        <v>0</v>
      </c>
      <c r="AB98">
        <f t="shared" si="74"/>
        <v>0</v>
      </c>
      <c r="AC98" s="130" t="s">
        <v>349</v>
      </c>
      <c r="AD98">
        <v>791467</v>
      </c>
      <c r="AE98">
        <v>808107</v>
      </c>
      <c r="AF98">
        <v>804107</v>
      </c>
      <c r="AG98">
        <v>797707</v>
      </c>
      <c r="AH98">
        <f t="shared" ref="AH98:AK99" si="76">AH97</f>
        <v>790187</v>
      </c>
      <c r="AI98">
        <f t="shared" si="76"/>
        <v>791467</v>
      </c>
      <c r="AJ98">
        <f t="shared" si="76"/>
        <v>793067</v>
      </c>
      <c r="AK98">
        <f t="shared" si="76"/>
        <v>794827</v>
      </c>
    </row>
    <row r="99" spans="2:37">
      <c r="B99" t="str">
        <f t="shared" si="46"/>
        <v>SOL_WIN_BAL_WASREN</v>
      </c>
      <c r="C99" t="str">
        <f t="shared" si="47"/>
        <v>POM C&amp;E</v>
      </c>
      <c r="D99">
        <f t="shared" si="48"/>
        <v>2020</v>
      </c>
      <c r="E99">
        <f t="shared" si="49"/>
        <v>243.22830292979546</v>
      </c>
      <c r="F99">
        <f t="shared" si="50"/>
        <v>2</v>
      </c>
      <c r="H99">
        <f t="shared" si="52"/>
        <v>6</v>
      </c>
      <c r="I99">
        <f t="shared" si="53"/>
        <v>2</v>
      </c>
      <c r="J99">
        <f t="shared" si="54"/>
        <v>2</v>
      </c>
      <c r="K99" t="str">
        <f t="shared" si="51"/>
        <v>POM C&amp;E.SOL_WIN_BAL_WASREN</v>
      </c>
      <c r="Q99" t="str">
        <f t="shared" si="66"/>
        <v>NEP C&amp;E.FSS_ELC</v>
      </c>
      <c r="R99" t="str">
        <f t="shared" si="75"/>
        <v>NEP C&amp;E</v>
      </c>
      <c r="S99" t="s">
        <v>300</v>
      </c>
      <c r="T99" s="130" t="s">
        <v>350</v>
      </c>
      <c r="U99">
        <f t="shared" si="67"/>
        <v>0</v>
      </c>
      <c r="V99">
        <f t="shared" si="68"/>
        <v>0</v>
      </c>
      <c r="W99">
        <f t="shared" si="69"/>
        <v>0</v>
      </c>
      <c r="X99">
        <f t="shared" si="70"/>
        <v>0</v>
      </c>
      <c r="Y99">
        <f t="shared" si="71"/>
        <v>0</v>
      </c>
      <c r="Z99">
        <f t="shared" si="72"/>
        <v>0</v>
      </c>
      <c r="AA99">
        <f t="shared" si="73"/>
        <v>0</v>
      </c>
      <c r="AB99">
        <f t="shared" si="74"/>
        <v>0</v>
      </c>
      <c r="AC99" s="130" t="s">
        <v>350</v>
      </c>
      <c r="AD99">
        <f>AD98</f>
        <v>791467</v>
      </c>
      <c r="AE99">
        <f>AE98</f>
        <v>808107</v>
      </c>
      <c r="AF99">
        <f>AF98</f>
        <v>804107</v>
      </c>
      <c r="AG99">
        <f>AG98</f>
        <v>797707</v>
      </c>
      <c r="AH99">
        <f t="shared" si="76"/>
        <v>790187</v>
      </c>
      <c r="AI99">
        <f t="shared" si="76"/>
        <v>791467</v>
      </c>
      <c r="AJ99">
        <f t="shared" si="76"/>
        <v>793067</v>
      </c>
      <c r="AK99">
        <f t="shared" si="76"/>
        <v>794827</v>
      </c>
    </row>
    <row r="100" spans="2:37">
      <c r="B100" t="str">
        <f t="shared" si="46"/>
        <v>FSS_CHP_NEW</v>
      </c>
      <c r="C100" t="str">
        <f t="shared" si="47"/>
        <v>POM C&amp;E</v>
      </c>
      <c r="D100">
        <f t="shared" si="48"/>
        <v>2020</v>
      </c>
      <c r="E100">
        <f t="shared" si="49"/>
        <v>331.6749585406302</v>
      </c>
      <c r="F100">
        <f t="shared" si="50"/>
        <v>2</v>
      </c>
      <c r="H100">
        <f t="shared" si="52"/>
        <v>7</v>
      </c>
      <c r="I100">
        <f t="shared" si="53"/>
        <v>2</v>
      </c>
      <c r="J100">
        <f t="shared" si="54"/>
        <v>2</v>
      </c>
      <c r="K100" t="str">
        <f t="shared" si="51"/>
        <v>POM C&amp;E.FSS_CHP_NEW</v>
      </c>
      <c r="Q100" t="str">
        <f t="shared" si="66"/>
        <v>NEP C&amp;E.FSS_CHP</v>
      </c>
      <c r="R100" t="str">
        <f t="shared" si="75"/>
        <v>NEP C&amp;E</v>
      </c>
      <c r="S100" t="s">
        <v>299</v>
      </c>
      <c r="T100" s="130" t="s">
        <v>351</v>
      </c>
      <c r="U100">
        <f t="shared" si="67"/>
        <v>309.64888028753109</v>
      </c>
      <c r="V100">
        <f t="shared" si="68"/>
        <v>331.76665745092617</v>
      </c>
      <c r="W100">
        <f t="shared" si="69"/>
        <v>154.82444014376554</v>
      </c>
      <c r="X100">
        <f t="shared" si="70"/>
        <v>88.609344760851528</v>
      </c>
      <c r="Y100">
        <f t="shared" si="71"/>
        <v>88.471108653580316</v>
      </c>
      <c r="Z100">
        <f t="shared" si="72"/>
        <v>0</v>
      </c>
      <c r="AA100">
        <f t="shared" si="73"/>
        <v>0</v>
      </c>
      <c r="AB100">
        <f t="shared" si="74"/>
        <v>0</v>
      </c>
      <c r="AC100" s="130" t="s">
        <v>351</v>
      </c>
      <c r="AD100">
        <v>793707</v>
      </c>
      <c r="AE100">
        <v>810507</v>
      </c>
      <c r="AF100">
        <v>805227</v>
      </c>
      <c r="AG100">
        <v>798348</v>
      </c>
      <c r="AH100">
        <v>790827</v>
      </c>
      <c r="AI100">
        <f>AI99</f>
        <v>791467</v>
      </c>
      <c r="AJ100">
        <f>AJ99</f>
        <v>793067</v>
      </c>
      <c r="AK100">
        <f>AK99</f>
        <v>794827</v>
      </c>
    </row>
    <row r="101" spans="2:37">
      <c r="B101" t="str">
        <f t="shared" si="46"/>
        <v>SOL_WIN_BAL_WASREN_NEW</v>
      </c>
      <c r="C101" t="str">
        <f t="shared" si="47"/>
        <v>POM C&amp;E</v>
      </c>
      <c r="D101">
        <f t="shared" si="48"/>
        <v>2020</v>
      </c>
      <c r="E101">
        <f t="shared" si="49"/>
        <v>1105.5831951354339</v>
      </c>
      <c r="F101">
        <f t="shared" si="50"/>
        <v>2</v>
      </c>
      <c r="H101">
        <f t="shared" si="52"/>
        <v>8</v>
      </c>
      <c r="I101">
        <f t="shared" si="53"/>
        <v>2</v>
      </c>
      <c r="J101">
        <f t="shared" si="54"/>
        <v>2</v>
      </c>
      <c r="K101" t="str">
        <f t="shared" si="51"/>
        <v>POM C&amp;E.SOL_WIN_BAL_WASREN_NEW</v>
      </c>
      <c r="Q101" t="str">
        <f t="shared" si="66"/>
        <v>NEP C&amp;E.</v>
      </c>
      <c r="R101" t="str">
        <f t="shared" si="75"/>
        <v>NEP C&amp;E</v>
      </c>
      <c r="T101" s="130" t="s">
        <v>352</v>
      </c>
      <c r="U101">
        <f t="shared" si="67"/>
        <v>2477.1910423002487</v>
      </c>
      <c r="V101">
        <f t="shared" si="68"/>
        <v>1437.65551562068</v>
      </c>
      <c r="W101">
        <f t="shared" si="69"/>
        <v>1282.8310754769145</v>
      </c>
      <c r="X101">
        <f t="shared" si="70"/>
        <v>1282.6928393696433</v>
      </c>
      <c r="Y101">
        <f t="shared" si="71"/>
        <v>398.11998894111144</v>
      </c>
      <c r="Z101">
        <f t="shared" si="72"/>
        <v>154.82444014376554</v>
      </c>
      <c r="AA101">
        <f t="shared" si="73"/>
        <v>0</v>
      </c>
      <c r="AB101">
        <f t="shared" si="74"/>
        <v>0</v>
      </c>
      <c r="AC101" s="130" t="s">
        <v>352</v>
      </c>
      <c r="AD101">
        <v>811627</v>
      </c>
      <c r="AE101">
        <v>820907</v>
      </c>
      <c r="AF101">
        <v>814507</v>
      </c>
      <c r="AG101">
        <v>807627</v>
      </c>
      <c r="AH101">
        <v>793707</v>
      </c>
      <c r="AI101">
        <v>792587</v>
      </c>
      <c r="AJ101">
        <f>AJ100</f>
        <v>793067</v>
      </c>
      <c r="AK101">
        <f>AK100</f>
        <v>794827</v>
      </c>
    </row>
    <row r="102" spans="2:37">
      <c r="B102" t="str">
        <f t="shared" si="46"/>
        <v>FSS_ELC_NEW</v>
      </c>
      <c r="C102" t="str">
        <f t="shared" si="47"/>
        <v>POM C&amp;E</v>
      </c>
      <c r="D102">
        <f t="shared" si="48"/>
        <v>2020</v>
      </c>
      <c r="E102">
        <f t="shared" si="49"/>
        <v>0</v>
      </c>
      <c r="F102">
        <f t="shared" si="50"/>
        <v>2</v>
      </c>
      <c r="H102">
        <f t="shared" si="52"/>
        <v>9</v>
      </c>
      <c r="I102">
        <f t="shared" si="53"/>
        <v>2</v>
      </c>
      <c r="J102">
        <f t="shared" si="54"/>
        <v>2</v>
      </c>
      <c r="K102" t="str">
        <f t="shared" si="51"/>
        <v>POM C&amp;E.FSS_ELC_NEW</v>
      </c>
      <c r="Q102" t="str">
        <f t="shared" si="66"/>
        <v>NEP C&amp;E.SOL_WIN_BAL_WASREN</v>
      </c>
      <c r="R102" t="str">
        <f t="shared" si="75"/>
        <v>NEP C&amp;E</v>
      </c>
      <c r="S102" t="s">
        <v>318</v>
      </c>
      <c r="T102" s="130" t="s">
        <v>353</v>
      </c>
      <c r="U102">
        <f t="shared" si="67"/>
        <v>243.29554879734587</v>
      </c>
      <c r="V102">
        <f t="shared" si="68"/>
        <v>243.29554879734587</v>
      </c>
      <c r="W102">
        <f t="shared" si="69"/>
        <v>154.82444014376554</v>
      </c>
      <c r="X102">
        <f t="shared" si="70"/>
        <v>154.96267625103678</v>
      </c>
      <c r="Y102">
        <f t="shared" si="71"/>
        <v>88.609344760851528</v>
      </c>
      <c r="Z102">
        <f t="shared" si="72"/>
        <v>66.353331490185241</v>
      </c>
      <c r="AA102">
        <f t="shared" si="73"/>
        <v>0</v>
      </c>
      <c r="AB102">
        <f t="shared" si="74"/>
        <v>0</v>
      </c>
      <c r="AC102" s="130" t="s">
        <v>353</v>
      </c>
      <c r="AD102">
        <v>813387</v>
      </c>
      <c r="AE102">
        <v>822667</v>
      </c>
      <c r="AF102">
        <v>815627</v>
      </c>
      <c r="AG102">
        <v>808748</v>
      </c>
      <c r="AH102">
        <v>794348</v>
      </c>
      <c r="AI102">
        <v>793067</v>
      </c>
      <c r="AJ102">
        <f>AJ101</f>
        <v>793067</v>
      </c>
      <c r="AK102">
        <f>AK101</f>
        <v>794827</v>
      </c>
    </row>
    <row r="103" spans="2:37">
      <c r="B103" t="str">
        <f t="shared" si="46"/>
        <v>HYD_TOT</v>
      </c>
      <c r="C103" t="str">
        <f t="shared" si="47"/>
        <v>POM E</v>
      </c>
      <c r="D103">
        <f t="shared" si="48"/>
        <v>2020</v>
      </c>
      <c r="E103">
        <f t="shared" si="49"/>
        <v>13713.02184130495</v>
      </c>
      <c r="F103">
        <f t="shared" si="50"/>
        <v>2</v>
      </c>
      <c r="H103">
        <f t="shared" si="52"/>
        <v>1</v>
      </c>
      <c r="I103">
        <f t="shared" si="53"/>
        <v>3</v>
      </c>
      <c r="J103">
        <f t="shared" si="54"/>
        <v>2</v>
      </c>
      <c r="K103" t="str">
        <f t="shared" si="51"/>
        <v>POM E.HYD_TOT</v>
      </c>
      <c r="Q103" t="str">
        <f t="shared" si="66"/>
        <v>NEP C&amp;E.FSS_CHP_NEW</v>
      </c>
      <c r="R103" t="str">
        <f t="shared" si="75"/>
        <v>NEP C&amp;E</v>
      </c>
      <c r="S103" t="s">
        <v>312</v>
      </c>
      <c r="T103" s="130" t="s">
        <v>354</v>
      </c>
      <c r="U103">
        <f t="shared" si="67"/>
        <v>154.82444014376554</v>
      </c>
      <c r="V103">
        <f t="shared" si="68"/>
        <v>309.64888028753109</v>
      </c>
      <c r="W103">
        <f t="shared" si="69"/>
        <v>486.72933370196296</v>
      </c>
      <c r="X103">
        <f t="shared" si="70"/>
        <v>552.94442908487702</v>
      </c>
      <c r="Y103">
        <f t="shared" si="71"/>
        <v>552.94442908487702</v>
      </c>
      <c r="Z103">
        <f t="shared" si="72"/>
        <v>641.41553773845726</v>
      </c>
      <c r="AA103">
        <f t="shared" si="73"/>
        <v>730.02488249930877</v>
      </c>
      <c r="AB103">
        <f t="shared" si="74"/>
        <v>729.88664639203762</v>
      </c>
      <c r="AC103" s="130" t="s">
        <v>354</v>
      </c>
      <c r="AD103">
        <v>814507</v>
      </c>
      <c r="AE103">
        <v>824907</v>
      </c>
      <c r="AF103">
        <v>819148</v>
      </c>
      <c r="AG103">
        <v>812748</v>
      </c>
      <c r="AH103">
        <v>798348</v>
      </c>
      <c r="AI103">
        <v>797707</v>
      </c>
      <c r="AJ103">
        <v>798348</v>
      </c>
      <c r="AK103">
        <v>800107</v>
      </c>
    </row>
    <row r="104" spans="2:37">
      <c r="B104" t="str">
        <f t="shared" si="46"/>
        <v>HYD_TOT_NEW</v>
      </c>
      <c r="C104" t="str">
        <f t="shared" si="47"/>
        <v>POM E</v>
      </c>
      <c r="D104">
        <f t="shared" si="48"/>
        <v>2020</v>
      </c>
      <c r="E104">
        <f t="shared" si="49"/>
        <v>3760.0221177771632</v>
      </c>
      <c r="F104">
        <f t="shared" si="50"/>
        <v>2</v>
      </c>
      <c r="H104">
        <f t="shared" si="52"/>
        <v>2</v>
      </c>
      <c r="I104">
        <f t="shared" si="53"/>
        <v>3</v>
      </c>
      <c r="J104">
        <f t="shared" si="54"/>
        <v>2</v>
      </c>
      <c r="K104" t="str">
        <f t="shared" si="51"/>
        <v>POM E.HYD_TOT_NEW</v>
      </c>
      <c r="Q104" t="str">
        <f t="shared" si="66"/>
        <v>NEP C&amp;E.SOL_WIN_BAL_WASREN_NEW</v>
      </c>
      <c r="R104" t="str">
        <f t="shared" si="75"/>
        <v>NEP C&amp;E</v>
      </c>
      <c r="S104" t="s">
        <v>320</v>
      </c>
      <c r="T104" s="130" t="s">
        <v>355</v>
      </c>
      <c r="U104">
        <f t="shared" si="67"/>
        <v>486.59109759469175</v>
      </c>
      <c r="V104">
        <f t="shared" si="68"/>
        <v>1128.006635333149</v>
      </c>
      <c r="W104">
        <f t="shared" si="69"/>
        <v>1990.5999447055572</v>
      </c>
      <c r="X104">
        <f t="shared" si="70"/>
        <v>3361.7638927287808</v>
      </c>
      <c r="Y104">
        <f t="shared" si="71"/>
        <v>5750.6220624827201</v>
      </c>
      <c r="Z104">
        <f t="shared" si="72"/>
        <v>8161.5980094000552</v>
      </c>
      <c r="AA104">
        <f t="shared" si="73"/>
        <v>10704.865910975946</v>
      </c>
      <c r="AB104">
        <f t="shared" si="74"/>
        <v>12695.742327896047</v>
      </c>
      <c r="AC104" s="130" t="s">
        <v>355</v>
      </c>
      <c r="AD104">
        <v>818027</v>
      </c>
      <c r="AE104">
        <v>833067</v>
      </c>
      <c r="AF104">
        <v>833548</v>
      </c>
      <c r="AG104">
        <v>837067</v>
      </c>
      <c r="AH104">
        <v>839948</v>
      </c>
      <c r="AI104">
        <v>856748</v>
      </c>
      <c r="AJ104">
        <v>875787</v>
      </c>
      <c r="AK104">
        <v>891948</v>
      </c>
    </row>
    <row r="105" spans="2:37">
      <c r="B105" t="str">
        <f t="shared" si="46"/>
        <v>NUC_ELC</v>
      </c>
      <c r="C105" t="str">
        <f t="shared" si="47"/>
        <v>POM E</v>
      </c>
      <c r="D105">
        <f t="shared" si="48"/>
        <v>2020</v>
      </c>
      <c r="E105">
        <f t="shared" si="49"/>
        <v>2853.3314901852364</v>
      </c>
      <c r="F105">
        <f t="shared" si="50"/>
        <v>2</v>
      </c>
      <c r="H105">
        <f t="shared" si="52"/>
        <v>3</v>
      </c>
      <c r="I105">
        <f t="shared" si="53"/>
        <v>3</v>
      </c>
      <c r="J105">
        <f t="shared" si="54"/>
        <v>2</v>
      </c>
      <c r="K105" t="str">
        <f t="shared" si="51"/>
        <v>POM E.NUC_ELC</v>
      </c>
      <c r="Q105" t="str">
        <f t="shared" si="66"/>
        <v>NEP C&amp;E.FSS_ELC_NEW</v>
      </c>
      <c r="R105" t="str">
        <f t="shared" si="75"/>
        <v>NEP C&amp;E</v>
      </c>
      <c r="S105" t="s">
        <v>313</v>
      </c>
      <c r="T105" s="130" t="s">
        <v>356</v>
      </c>
      <c r="U105">
        <f t="shared" si="67"/>
        <v>0</v>
      </c>
      <c r="V105">
        <f t="shared" si="68"/>
        <v>0</v>
      </c>
      <c r="W105">
        <f t="shared" si="69"/>
        <v>552.94442908487702</v>
      </c>
      <c r="X105">
        <f t="shared" si="70"/>
        <v>552.94442908487702</v>
      </c>
      <c r="Y105">
        <f t="shared" si="71"/>
        <v>2145.2861487420514</v>
      </c>
      <c r="Z105">
        <f t="shared" si="72"/>
        <v>2233.7572573956318</v>
      </c>
      <c r="AA105">
        <f t="shared" si="73"/>
        <v>2234.0337296101743</v>
      </c>
      <c r="AB105">
        <f t="shared" si="74"/>
        <v>2233.7572573956318</v>
      </c>
      <c r="AC105" s="130" t="s">
        <v>356</v>
      </c>
      <c r="AD105">
        <f>AD104</f>
        <v>818027</v>
      </c>
      <c r="AE105">
        <f>AE104</f>
        <v>833067</v>
      </c>
      <c r="AF105">
        <v>837548</v>
      </c>
      <c r="AG105">
        <v>841067</v>
      </c>
      <c r="AH105">
        <v>855467</v>
      </c>
      <c r="AI105">
        <v>872907</v>
      </c>
      <c r="AJ105">
        <v>891948</v>
      </c>
      <c r="AK105">
        <v>908107</v>
      </c>
    </row>
    <row r="106" spans="2:37">
      <c r="B106" t="str">
        <f t="shared" si="46"/>
        <v>FSS_ELC</v>
      </c>
      <c r="C106" t="str">
        <f t="shared" si="47"/>
        <v>POM E</v>
      </c>
      <c r="D106">
        <f t="shared" si="48"/>
        <v>2020</v>
      </c>
      <c r="E106">
        <f t="shared" si="49"/>
        <v>0</v>
      </c>
      <c r="F106">
        <f t="shared" si="50"/>
        <v>2</v>
      </c>
      <c r="H106">
        <f t="shared" si="52"/>
        <v>4</v>
      </c>
      <c r="I106">
        <f t="shared" si="53"/>
        <v>3</v>
      </c>
      <c r="J106">
        <f t="shared" si="54"/>
        <v>2</v>
      </c>
      <c r="K106" t="str">
        <f t="shared" si="51"/>
        <v>POM E.FSS_ELC</v>
      </c>
    </row>
    <row r="107" spans="2:37">
      <c r="B107" t="str">
        <f t="shared" si="46"/>
        <v>FSS_CHP</v>
      </c>
      <c r="C107" t="str">
        <f t="shared" si="47"/>
        <v>POM E</v>
      </c>
      <c r="D107">
        <f t="shared" si="48"/>
        <v>2020</v>
      </c>
      <c r="E107">
        <f t="shared" si="49"/>
        <v>331.76665745092617</v>
      </c>
      <c r="F107">
        <f t="shared" si="50"/>
        <v>2</v>
      </c>
      <c r="H107">
        <f t="shared" si="52"/>
        <v>5</v>
      </c>
      <c r="I107">
        <f t="shared" si="53"/>
        <v>3</v>
      </c>
      <c r="J107">
        <f t="shared" si="54"/>
        <v>2</v>
      </c>
      <c r="K107" t="str">
        <f t="shared" si="51"/>
        <v>POM E.FSS_CHP</v>
      </c>
    </row>
    <row r="108" spans="2:37">
      <c r="B108" t="str">
        <f t="shared" si="46"/>
        <v>SOL_WIN_BAL_WASREN</v>
      </c>
      <c r="C108" t="str">
        <f t="shared" si="47"/>
        <v>POM E</v>
      </c>
      <c r="D108">
        <f t="shared" si="48"/>
        <v>2020</v>
      </c>
      <c r="E108">
        <f t="shared" si="49"/>
        <v>243.15731269007466</v>
      </c>
      <c r="F108">
        <f t="shared" si="50"/>
        <v>2</v>
      </c>
      <c r="H108">
        <f t="shared" si="52"/>
        <v>6</v>
      </c>
      <c r="I108">
        <f t="shared" si="53"/>
        <v>3</v>
      </c>
      <c r="J108">
        <f t="shared" si="54"/>
        <v>2</v>
      </c>
      <c r="K108" t="str">
        <f t="shared" si="51"/>
        <v>POM E.SOL_WIN_BAL_WASREN</v>
      </c>
      <c r="AC108">
        <v>40000</v>
      </c>
      <c r="AD108">
        <v>950507</v>
      </c>
      <c r="AE108">
        <v>950507</v>
      </c>
      <c r="AF108">
        <v>950507</v>
      </c>
      <c r="AG108">
        <v>950507</v>
      </c>
      <c r="AH108">
        <v>950507</v>
      </c>
      <c r="AI108">
        <v>950507</v>
      </c>
      <c r="AJ108">
        <v>950507</v>
      </c>
      <c r="AK108">
        <v>950507</v>
      </c>
    </row>
    <row r="109" spans="2:37">
      <c r="B109" t="str">
        <f t="shared" si="46"/>
        <v>FSS_CHP_NEW</v>
      </c>
      <c r="C109" t="str">
        <f t="shared" si="47"/>
        <v>POM E</v>
      </c>
      <c r="D109">
        <f t="shared" si="48"/>
        <v>2020</v>
      </c>
      <c r="E109">
        <f t="shared" si="49"/>
        <v>309.7871163948023</v>
      </c>
      <c r="F109">
        <f t="shared" si="50"/>
        <v>2</v>
      </c>
      <c r="H109">
        <f t="shared" si="52"/>
        <v>7</v>
      </c>
      <c r="I109">
        <f t="shared" si="53"/>
        <v>3</v>
      </c>
      <c r="J109">
        <f t="shared" si="54"/>
        <v>2</v>
      </c>
      <c r="K109" t="str">
        <f t="shared" si="51"/>
        <v>POM E.FSS_CHP_NEW</v>
      </c>
    </row>
    <row r="110" spans="2:37">
      <c r="B110" t="str">
        <f t="shared" si="46"/>
        <v>SOL_WIN_BAL_WASREN_NEW</v>
      </c>
      <c r="C110" t="str">
        <f t="shared" si="47"/>
        <v>POM E</v>
      </c>
      <c r="D110">
        <f t="shared" si="48"/>
        <v>2020</v>
      </c>
      <c r="E110">
        <f t="shared" si="49"/>
        <v>1105.888858169754</v>
      </c>
      <c r="F110">
        <f t="shared" si="50"/>
        <v>2</v>
      </c>
      <c r="H110">
        <f t="shared" si="52"/>
        <v>8</v>
      </c>
      <c r="I110">
        <f t="shared" si="53"/>
        <v>3</v>
      </c>
      <c r="J110">
        <f t="shared" si="54"/>
        <v>2</v>
      </c>
      <c r="K110" t="str">
        <f t="shared" si="51"/>
        <v>POM E.SOL_WIN_BAL_WASREN_NEW</v>
      </c>
      <c r="U110" t="s">
        <v>309</v>
      </c>
      <c r="V110" t="str">
        <f>INDEX($U$13:$U$20,MATCH(U110,$T$13:$T$20,0))</f>
        <v>Figure 8-58</v>
      </c>
      <c r="W110" t="str">
        <f>INDEX($V$13:$V$20,MATCH(U110,$T$13:$T$20,0))</f>
        <v>p536</v>
      </c>
    </row>
    <row r="111" spans="2:37">
      <c r="B111" t="str">
        <f t="shared" si="46"/>
        <v>FSS_ELC_NEW</v>
      </c>
      <c r="C111" t="str">
        <f t="shared" si="47"/>
        <v>POM E</v>
      </c>
      <c r="D111">
        <f t="shared" si="48"/>
        <v>2020</v>
      </c>
      <c r="E111">
        <f t="shared" si="49"/>
        <v>0</v>
      </c>
      <c r="F111">
        <f t="shared" si="50"/>
        <v>2</v>
      </c>
      <c r="H111">
        <f t="shared" si="52"/>
        <v>9</v>
      </c>
      <c r="I111">
        <f t="shared" si="53"/>
        <v>3</v>
      </c>
      <c r="J111">
        <f t="shared" si="54"/>
        <v>2</v>
      </c>
      <c r="K111" t="str">
        <f t="shared" si="51"/>
        <v>POM E.FSS_ELC_NEW</v>
      </c>
      <c r="U111">
        <v>2015</v>
      </c>
      <c r="V111">
        <v>2020</v>
      </c>
      <c r="W111">
        <v>2025</v>
      </c>
      <c r="X111">
        <v>2030</v>
      </c>
      <c r="Y111">
        <v>2035</v>
      </c>
      <c r="Z111">
        <v>2040</v>
      </c>
      <c r="AA111">
        <v>2045</v>
      </c>
      <c r="AB111">
        <v>2050</v>
      </c>
      <c r="AD111">
        <v>2015</v>
      </c>
      <c r="AE111">
        <v>2020</v>
      </c>
      <c r="AF111">
        <v>2025</v>
      </c>
      <c r="AG111">
        <v>2030</v>
      </c>
      <c r="AH111">
        <v>2035</v>
      </c>
      <c r="AI111">
        <v>2040</v>
      </c>
      <c r="AJ111">
        <v>2045</v>
      </c>
      <c r="AK111">
        <v>2050</v>
      </c>
    </row>
    <row r="112" spans="2:37">
      <c r="B112" t="str">
        <f t="shared" si="46"/>
        <v>HYD_TOT</v>
      </c>
      <c r="C112" t="str">
        <f t="shared" si="47"/>
        <v>NEP C</v>
      </c>
      <c r="D112">
        <f t="shared" si="48"/>
        <v>2020</v>
      </c>
      <c r="E112">
        <f t="shared" si="49"/>
        <v>13735.139618468344</v>
      </c>
      <c r="F112">
        <f t="shared" si="50"/>
        <v>2</v>
      </c>
      <c r="H112">
        <f t="shared" si="52"/>
        <v>1</v>
      </c>
      <c r="I112">
        <f t="shared" si="53"/>
        <v>4</v>
      </c>
      <c r="J112">
        <f t="shared" si="54"/>
        <v>2</v>
      </c>
      <c r="K112" t="str">
        <f t="shared" si="51"/>
        <v>NEP C.HYD_TOT</v>
      </c>
      <c r="AC112">
        <v>0</v>
      </c>
      <c r="AD112">
        <v>217067</v>
      </c>
      <c r="AE112">
        <v>217067</v>
      </c>
      <c r="AF112">
        <v>217067</v>
      </c>
      <c r="AG112">
        <v>217067</v>
      </c>
      <c r="AH112">
        <v>217067</v>
      </c>
      <c r="AI112">
        <v>217067</v>
      </c>
      <c r="AJ112">
        <v>217067</v>
      </c>
      <c r="AK112">
        <v>217067</v>
      </c>
    </row>
    <row r="113" spans="2:37">
      <c r="B113" t="str">
        <f t="shared" si="46"/>
        <v>HYD_TOT_NEW</v>
      </c>
      <c r="C113" t="str">
        <f t="shared" si="47"/>
        <v>NEP C</v>
      </c>
      <c r="D113">
        <f t="shared" si="48"/>
        <v>2020</v>
      </c>
      <c r="E113">
        <f t="shared" si="49"/>
        <v>3671.5510091235833</v>
      </c>
      <c r="F113">
        <f t="shared" si="50"/>
        <v>2</v>
      </c>
      <c r="H113">
        <f t="shared" si="52"/>
        <v>2</v>
      </c>
      <c r="I113">
        <f t="shared" si="53"/>
        <v>4</v>
      </c>
      <c r="J113">
        <f t="shared" si="54"/>
        <v>2</v>
      </c>
      <c r="K113" t="str">
        <f t="shared" si="51"/>
        <v>NEP C.HYD_TOT_NEW</v>
      </c>
      <c r="Q113" t="str">
        <f t="shared" ref="Q113:Q122" si="77">R113&amp;"."&amp;S113</f>
        <v>NEP E.HYD_TOT</v>
      </c>
      <c r="R113" t="str">
        <f>U110</f>
        <v>NEP E</v>
      </c>
      <c r="S113" t="s">
        <v>145</v>
      </c>
      <c r="T113" s="130" t="s">
        <v>347</v>
      </c>
      <c r="U113">
        <f t="shared" ref="U113:U122" si="78">(AD113-AD112)*($AC$74-$AC$61)/(AD$74-AD$61)</f>
        <v>13735.139618468344</v>
      </c>
      <c r="V113">
        <f t="shared" ref="V113:V122" si="79">(AE113-AE112)*($AC$74-$AC$61)/(AE$74-AE$61)</f>
        <v>13735.139618468344</v>
      </c>
      <c r="W113">
        <f t="shared" ref="W113:W122" si="80">(AF113-AF112)*($AC$74-$AC$61)/(AF$74-AF$61)</f>
        <v>13735.139618468344</v>
      </c>
      <c r="X113">
        <f t="shared" ref="X113:X122" si="81">(AG113-AG112)*($AC$74-$AC$61)/(AG$74-AG$61)</f>
        <v>13735.139618468344</v>
      </c>
      <c r="Y113">
        <f t="shared" ref="Y113:Y122" si="82">(AH113-AH112)*($AC$74-$AC$61)/(AH$74-AH$61)</f>
        <v>13735.139618468344</v>
      </c>
      <c r="Z113">
        <f t="shared" ref="Z113:Z122" si="83">(AI113-AI112)*($AC$74-$AC$61)/(AI$74-AI$61)</f>
        <v>13735.139618468344</v>
      </c>
      <c r="AA113">
        <f t="shared" ref="AA113:AA122" si="84">(AJ113-AJ112)*($AC$74-$AC$61)/(AJ$74-AJ$61)</f>
        <v>13735.139618468344</v>
      </c>
      <c r="AB113">
        <f t="shared" ref="AB113:AB122" si="85">(AK113-AK112)*($AC$74-$AC$61)/(AK$74-AK$61)</f>
        <v>13735.139618468344</v>
      </c>
      <c r="AC113" s="130" t="s">
        <v>347</v>
      </c>
      <c r="AD113">
        <v>316427</v>
      </c>
      <c r="AE113">
        <v>316427</v>
      </c>
      <c r="AF113">
        <v>316427</v>
      </c>
      <c r="AG113">
        <v>316427</v>
      </c>
      <c r="AH113">
        <v>316427</v>
      </c>
      <c r="AI113">
        <v>316427</v>
      </c>
      <c r="AJ113">
        <v>316427</v>
      </c>
      <c r="AK113">
        <v>316427</v>
      </c>
    </row>
    <row r="114" spans="2:37">
      <c r="B114" t="str">
        <f t="shared" si="46"/>
        <v>NUC_ELC</v>
      </c>
      <c r="C114" t="str">
        <f t="shared" si="47"/>
        <v>NEP C</v>
      </c>
      <c r="D114">
        <f t="shared" si="48"/>
        <v>2020</v>
      </c>
      <c r="E114">
        <f t="shared" si="49"/>
        <v>2875.3110312413601</v>
      </c>
      <c r="F114">
        <f t="shared" si="50"/>
        <v>2</v>
      </c>
      <c r="H114">
        <f t="shared" si="52"/>
        <v>3</v>
      </c>
      <c r="I114">
        <f t="shared" si="53"/>
        <v>4</v>
      </c>
      <c r="J114">
        <f t="shared" si="54"/>
        <v>2</v>
      </c>
      <c r="K114" t="str">
        <f t="shared" si="51"/>
        <v>NEP C.NUC_ELC</v>
      </c>
      <c r="Q114" t="str">
        <f t="shared" si="77"/>
        <v>NEP E.HYD_TOT_NEW</v>
      </c>
      <c r="R114" t="str">
        <f t="shared" ref="R114:R122" si="86">R113</f>
        <v>NEP E</v>
      </c>
      <c r="S114" t="s">
        <v>314</v>
      </c>
      <c r="T114" s="130" t="s">
        <v>348</v>
      </c>
      <c r="U114">
        <f t="shared" si="78"/>
        <v>1039.6737627868399</v>
      </c>
      <c r="V114">
        <f t="shared" si="79"/>
        <v>3760.0221177771632</v>
      </c>
      <c r="W114">
        <f t="shared" si="80"/>
        <v>3914.9847940282002</v>
      </c>
      <c r="X114">
        <f t="shared" si="81"/>
        <v>4003.3176665745091</v>
      </c>
      <c r="Y114">
        <f t="shared" si="82"/>
        <v>4158.1421067182746</v>
      </c>
      <c r="Z114">
        <f t="shared" si="83"/>
        <v>4312.9665468620406</v>
      </c>
      <c r="AA114">
        <f t="shared" si="84"/>
        <v>4556.2620956593864</v>
      </c>
      <c r="AB114">
        <f t="shared" si="85"/>
        <v>4799.6958805640033</v>
      </c>
      <c r="AC114" s="130" t="s">
        <v>348</v>
      </c>
      <c r="AD114">
        <v>323948</v>
      </c>
      <c r="AE114">
        <v>343627</v>
      </c>
      <c r="AF114">
        <v>344748</v>
      </c>
      <c r="AG114">
        <v>345387</v>
      </c>
      <c r="AH114">
        <v>346507</v>
      </c>
      <c r="AI114">
        <v>347627</v>
      </c>
      <c r="AJ114">
        <v>349387</v>
      </c>
      <c r="AK114">
        <v>351148</v>
      </c>
    </row>
    <row r="115" spans="2:37">
      <c r="B115" t="str">
        <f t="shared" si="46"/>
        <v>FSS_ELC</v>
      </c>
      <c r="C115" t="str">
        <f t="shared" si="47"/>
        <v>NEP C</v>
      </c>
      <c r="D115">
        <f t="shared" si="48"/>
        <v>2020</v>
      </c>
      <c r="E115">
        <f t="shared" si="49"/>
        <v>0</v>
      </c>
      <c r="F115">
        <f t="shared" si="50"/>
        <v>2</v>
      </c>
      <c r="H115">
        <f t="shared" si="52"/>
        <v>4</v>
      </c>
      <c r="I115">
        <f t="shared" si="53"/>
        <v>4</v>
      </c>
      <c r="J115">
        <f t="shared" si="54"/>
        <v>2</v>
      </c>
      <c r="K115" t="str">
        <f t="shared" si="51"/>
        <v>NEP C.FSS_ELC</v>
      </c>
      <c r="Q115" t="str">
        <f t="shared" si="77"/>
        <v>NEP E.NUC_ELC</v>
      </c>
      <c r="R115" t="str">
        <f t="shared" si="86"/>
        <v>NEP E</v>
      </c>
      <c r="S115" t="s">
        <v>95</v>
      </c>
      <c r="T115" s="130" t="s">
        <v>349</v>
      </c>
      <c r="U115">
        <f t="shared" si="78"/>
        <v>3273.2927840752004</v>
      </c>
      <c r="V115">
        <f t="shared" si="79"/>
        <v>2875.3110312413601</v>
      </c>
      <c r="W115">
        <f t="shared" si="80"/>
        <v>2167.4039259054466</v>
      </c>
      <c r="X115">
        <f t="shared" si="81"/>
        <v>1194.3599668233342</v>
      </c>
      <c r="Y115">
        <f t="shared" si="82"/>
        <v>0</v>
      </c>
      <c r="Z115">
        <f t="shared" si="83"/>
        <v>0</v>
      </c>
      <c r="AA115">
        <f t="shared" si="84"/>
        <v>0</v>
      </c>
      <c r="AB115">
        <f t="shared" si="85"/>
        <v>0</v>
      </c>
      <c r="AC115" s="130" t="s">
        <v>349</v>
      </c>
      <c r="AD115">
        <v>347627</v>
      </c>
      <c r="AE115">
        <v>364427</v>
      </c>
      <c r="AF115">
        <v>360427</v>
      </c>
      <c r="AG115">
        <v>354027</v>
      </c>
      <c r="AH115">
        <f t="shared" ref="AH115:AK116" si="87">AH114</f>
        <v>346507</v>
      </c>
      <c r="AI115">
        <f t="shared" si="87"/>
        <v>347627</v>
      </c>
      <c r="AJ115">
        <f t="shared" si="87"/>
        <v>349387</v>
      </c>
      <c r="AK115">
        <f t="shared" si="87"/>
        <v>351148</v>
      </c>
    </row>
    <row r="116" spans="2:37">
      <c r="B116" t="str">
        <f t="shared" si="46"/>
        <v>FSS_CHP</v>
      </c>
      <c r="C116" t="str">
        <f t="shared" si="47"/>
        <v>NEP C</v>
      </c>
      <c r="D116">
        <f t="shared" si="48"/>
        <v>2020</v>
      </c>
      <c r="E116">
        <f t="shared" si="49"/>
        <v>243.43378490461708</v>
      </c>
      <c r="F116">
        <f t="shared" si="50"/>
        <v>2</v>
      </c>
      <c r="H116">
        <f t="shared" si="52"/>
        <v>5</v>
      </c>
      <c r="I116">
        <f t="shared" si="53"/>
        <v>4</v>
      </c>
      <c r="J116">
        <f t="shared" si="54"/>
        <v>2</v>
      </c>
      <c r="K116" t="str">
        <f t="shared" si="51"/>
        <v>NEP C.FSS_CHP</v>
      </c>
      <c r="Q116" t="str">
        <f t="shared" si="77"/>
        <v>NEP E.FSS_ELC</v>
      </c>
      <c r="R116" t="str">
        <f t="shared" si="86"/>
        <v>NEP E</v>
      </c>
      <c r="S116" t="s">
        <v>300</v>
      </c>
      <c r="T116" s="130" t="s">
        <v>350</v>
      </c>
      <c r="U116">
        <f t="shared" si="78"/>
        <v>0</v>
      </c>
      <c r="V116">
        <f t="shared" si="79"/>
        <v>0</v>
      </c>
      <c r="W116">
        <f t="shared" si="80"/>
        <v>0</v>
      </c>
      <c r="X116">
        <f t="shared" si="81"/>
        <v>0</v>
      </c>
      <c r="Y116">
        <f t="shared" si="82"/>
        <v>0</v>
      </c>
      <c r="Z116">
        <f t="shared" si="83"/>
        <v>0</v>
      </c>
      <c r="AA116">
        <f t="shared" si="84"/>
        <v>0</v>
      </c>
      <c r="AB116">
        <f t="shared" si="85"/>
        <v>0</v>
      </c>
      <c r="AC116" s="130" t="s">
        <v>350</v>
      </c>
      <c r="AD116">
        <f>AD115</f>
        <v>347627</v>
      </c>
      <c r="AE116">
        <f>AE115</f>
        <v>364427</v>
      </c>
      <c r="AF116">
        <f>AF115</f>
        <v>360427</v>
      </c>
      <c r="AG116">
        <f>AG115</f>
        <v>354027</v>
      </c>
      <c r="AH116">
        <f t="shared" si="87"/>
        <v>346507</v>
      </c>
      <c r="AI116">
        <f t="shared" si="87"/>
        <v>347627</v>
      </c>
      <c r="AJ116">
        <f t="shared" si="87"/>
        <v>349387</v>
      </c>
      <c r="AK116">
        <f t="shared" si="87"/>
        <v>351148</v>
      </c>
    </row>
    <row r="117" spans="2:37">
      <c r="B117" t="str">
        <f t="shared" si="46"/>
        <v>SOL_WIN_BAL_WASREN</v>
      </c>
      <c r="C117" t="str">
        <f t="shared" si="47"/>
        <v>NEP C</v>
      </c>
      <c r="D117">
        <f t="shared" si="48"/>
        <v>2020</v>
      </c>
      <c r="E117">
        <f t="shared" si="49"/>
        <v>154.82444014376554</v>
      </c>
      <c r="F117">
        <f t="shared" si="50"/>
        <v>2</v>
      </c>
      <c r="H117">
        <f t="shared" si="52"/>
        <v>6</v>
      </c>
      <c r="I117">
        <f t="shared" si="53"/>
        <v>4</v>
      </c>
      <c r="J117">
        <f t="shared" si="54"/>
        <v>2</v>
      </c>
      <c r="K117" t="str">
        <f t="shared" si="51"/>
        <v>NEP C.SOL_WIN_BAL_WASREN</v>
      </c>
      <c r="Q117" t="str">
        <f t="shared" si="77"/>
        <v>NEP E.FSS_CHP</v>
      </c>
      <c r="R117" t="str">
        <f t="shared" si="86"/>
        <v>NEP E</v>
      </c>
      <c r="S117" t="s">
        <v>299</v>
      </c>
      <c r="T117" s="130" t="s">
        <v>351</v>
      </c>
      <c r="U117">
        <f t="shared" si="78"/>
        <v>331.76665745092617</v>
      </c>
      <c r="V117">
        <f t="shared" si="79"/>
        <v>309.64888028753109</v>
      </c>
      <c r="W117">
        <f t="shared" si="80"/>
        <v>154.96267625103678</v>
      </c>
      <c r="X117">
        <f t="shared" si="81"/>
        <v>88.471108653580316</v>
      </c>
      <c r="Y117">
        <f t="shared" si="82"/>
        <v>88.609344760851528</v>
      </c>
      <c r="Z117">
        <f t="shared" si="83"/>
        <v>0</v>
      </c>
      <c r="AA117">
        <f t="shared" si="84"/>
        <v>0</v>
      </c>
      <c r="AB117">
        <f t="shared" si="85"/>
        <v>0</v>
      </c>
      <c r="AC117" s="130" t="s">
        <v>351</v>
      </c>
      <c r="AD117">
        <v>350027</v>
      </c>
      <c r="AE117">
        <v>366667</v>
      </c>
      <c r="AF117">
        <v>361548</v>
      </c>
      <c r="AG117">
        <v>354667</v>
      </c>
      <c r="AH117">
        <v>347148</v>
      </c>
      <c r="AI117">
        <f>AI116</f>
        <v>347627</v>
      </c>
      <c r="AJ117">
        <f>AJ116</f>
        <v>349387</v>
      </c>
      <c r="AK117">
        <f>AK116</f>
        <v>351148</v>
      </c>
    </row>
    <row r="118" spans="2:37">
      <c r="B118" t="str">
        <f t="shared" si="46"/>
        <v>FSS_CHP_NEW</v>
      </c>
      <c r="C118" t="str">
        <f t="shared" si="47"/>
        <v>NEP C</v>
      </c>
      <c r="D118">
        <f t="shared" si="48"/>
        <v>2020</v>
      </c>
      <c r="E118">
        <f t="shared" si="49"/>
        <v>398.11998894111144</v>
      </c>
      <c r="F118">
        <f t="shared" si="50"/>
        <v>2</v>
      </c>
      <c r="H118">
        <f t="shared" si="52"/>
        <v>7</v>
      </c>
      <c r="I118">
        <f t="shared" si="53"/>
        <v>4</v>
      </c>
      <c r="J118">
        <f t="shared" si="54"/>
        <v>2</v>
      </c>
      <c r="K118" t="str">
        <f t="shared" si="51"/>
        <v>NEP C.FSS_CHP_NEW</v>
      </c>
      <c r="Q118" t="str">
        <f t="shared" si="77"/>
        <v>NEP E.</v>
      </c>
      <c r="R118" t="str">
        <f t="shared" si="86"/>
        <v>NEP E</v>
      </c>
      <c r="T118" s="130" t="s">
        <v>352</v>
      </c>
      <c r="U118">
        <f t="shared" si="78"/>
        <v>2477.3292784075202</v>
      </c>
      <c r="V118">
        <f t="shared" si="79"/>
        <v>1437.65551562068</v>
      </c>
      <c r="W118">
        <f t="shared" si="80"/>
        <v>1282.6928393696433</v>
      </c>
      <c r="X118">
        <f t="shared" si="81"/>
        <v>1260.7132983135195</v>
      </c>
      <c r="Y118">
        <f t="shared" si="82"/>
        <v>397.98175283384018</v>
      </c>
      <c r="Z118">
        <f t="shared" si="83"/>
        <v>154.96267625103678</v>
      </c>
      <c r="AA118">
        <f t="shared" si="84"/>
        <v>0</v>
      </c>
      <c r="AB118">
        <f t="shared" si="85"/>
        <v>0</v>
      </c>
      <c r="AC118" s="130" t="s">
        <v>352</v>
      </c>
      <c r="AD118">
        <v>367948</v>
      </c>
      <c r="AE118">
        <v>377067</v>
      </c>
      <c r="AF118">
        <v>370827</v>
      </c>
      <c r="AG118">
        <v>363787</v>
      </c>
      <c r="AH118">
        <v>350027</v>
      </c>
      <c r="AI118">
        <v>348748</v>
      </c>
      <c r="AJ118">
        <f>AJ117</f>
        <v>349387</v>
      </c>
      <c r="AK118">
        <f>AK117</f>
        <v>351148</v>
      </c>
    </row>
    <row r="119" spans="2:37">
      <c r="B119" t="str">
        <f t="shared" si="46"/>
        <v>SOL_WIN_BAL_WASREN_NEW</v>
      </c>
      <c r="C119" t="str">
        <f t="shared" si="47"/>
        <v>NEP C</v>
      </c>
      <c r="D119">
        <f t="shared" si="48"/>
        <v>2020</v>
      </c>
      <c r="E119">
        <f t="shared" si="49"/>
        <v>398.11998894111144</v>
      </c>
      <c r="F119">
        <f t="shared" si="50"/>
        <v>2</v>
      </c>
      <c r="H119">
        <f t="shared" si="52"/>
        <v>8</v>
      </c>
      <c r="I119">
        <f t="shared" si="53"/>
        <v>4</v>
      </c>
      <c r="J119">
        <f t="shared" si="54"/>
        <v>2</v>
      </c>
      <c r="K119" t="str">
        <f t="shared" si="51"/>
        <v>NEP C.SOL_WIN_BAL_WASREN_NEW</v>
      </c>
      <c r="Q119" t="str">
        <f t="shared" si="77"/>
        <v>NEP E.SOL_WIN_BAL_WASREN</v>
      </c>
      <c r="R119" t="str">
        <f t="shared" si="86"/>
        <v>NEP E</v>
      </c>
      <c r="S119" t="s">
        <v>318</v>
      </c>
      <c r="T119" s="130" t="s">
        <v>353</v>
      </c>
      <c r="U119">
        <f t="shared" si="78"/>
        <v>221.17777163395078</v>
      </c>
      <c r="V119">
        <f t="shared" si="79"/>
        <v>243.29554879734587</v>
      </c>
      <c r="W119">
        <f t="shared" si="80"/>
        <v>154.96267625103678</v>
      </c>
      <c r="X119">
        <f t="shared" si="81"/>
        <v>176.94221730716063</v>
      </c>
      <c r="Y119">
        <f t="shared" si="82"/>
        <v>66.353331490185241</v>
      </c>
      <c r="Z119">
        <f t="shared" si="83"/>
        <v>88.33287254630909</v>
      </c>
      <c r="AA119">
        <f t="shared" si="84"/>
        <v>0</v>
      </c>
      <c r="AB119">
        <f t="shared" si="85"/>
        <v>0</v>
      </c>
      <c r="AC119" s="130" t="s">
        <v>353</v>
      </c>
      <c r="AD119">
        <v>369548</v>
      </c>
      <c r="AE119">
        <v>378827</v>
      </c>
      <c r="AF119">
        <v>371948</v>
      </c>
      <c r="AG119">
        <v>365067</v>
      </c>
      <c r="AH119">
        <v>350507</v>
      </c>
      <c r="AI119">
        <v>349387</v>
      </c>
      <c r="AJ119">
        <f>AJ118</f>
        <v>349387</v>
      </c>
      <c r="AK119">
        <f>AK118</f>
        <v>351148</v>
      </c>
    </row>
    <row r="120" spans="2:37">
      <c r="B120" t="str">
        <f t="shared" si="46"/>
        <v>FSS_ELC_NEW</v>
      </c>
      <c r="C120" t="str">
        <f t="shared" si="47"/>
        <v>NEP C</v>
      </c>
      <c r="D120">
        <f t="shared" si="48"/>
        <v>2020</v>
      </c>
      <c r="E120">
        <f t="shared" si="49"/>
        <v>0</v>
      </c>
      <c r="F120">
        <f t="shared" si="50"/>
        <v>2</v>
      </c>
      <c r="H120">
        <f t="shared" si="52"/>
        <v>9</v>
      </c>
      <c r="I120">
        <f t="shared" si="53"/>
        <v>4</v>
      </c>
      <c r="J120">
        <f t="shared" si="54"/>
        <v>2</v>
      </c>
      <c r="K120" t="str">
        <f t="shared" si="51"/>
        <v>NEP C.FSS_ELC_NEW</v>
      </c>
      <c r="Q120" t="str">
        <f t="shared" si="77"/>
        <v>NEP E.FSS_CHP_NEW</v>
      </c>
      <c r="R120" t="str">
        <f t="shared" si="86"/>
        <v>NEP E</v>
      </c>
      <c r="S120" t="s">
        <v>312</v>
      </c>
      <c r="T120" s="130" t="s">
        <v>354</v>
      </c>
      <c r="U120">
        <f t="shared" si="78"/>
        <v>176.80398119988942</v>
      </c>
      <c r="V120">
        <f t="shared" si="79"/>
        <v>331.76665745092617</v>
      </c>
      <c r="W120">
        <f t="shared" si="80"/>
        <v>232.09842410837712</v>
      </c>
      <c r="X120">
        <f t="shared" si="81"/>
        <v>552.94442908487702</v>
      </c>
      <c r="Y120">
        <f t="shared" si="82"/>
        <v>575.0622062482721</v>
      </c>
      <c r="Z120">
        <f t="shared" si="83"/>
        <v>641.41553773845726</v>
      </c>
      <c r="AA120">
        <f t="shared" si="84"/>
        <v>729.88664639203762</v>
      </c>
      <c r="AB120">
        <f t="shared" si="85"/>
        <v>707.63063312137126</v>
      </c>
      <c r="AC120" s="130" t="s">
        <v>354</v>
      </c>
      <c r="AD120">
        <v>370827</v>
      </c>
      <c r="AE120">
        <v>381227</v>
      </c>
      <c r="AF120">
        <v>373627</v>
      </c>
      <c r="AG120">
        <v>369067</v>
      </c>
      <c r="AH120">
        <v>354667</v>
      </c>
      <c r="AI120">
        <v>354027</v>
      </c>
      <c r="AJ120">
        <v>354667</v>
      </c>
      <c r="AK120">
        <v>356267</v>
      </c>
    </row>
    <row r="121" spans="2:37">
      <c r="B121" t="str">
        <f t="shared" si="46"/>
        <v>HYD_TOT</v>
      </c>
      <c r="C121" t="str">
        <f t="shared" si="47"/>
        <v>NEP C&amp;E</v>
      </c>
      <c r="D121">
        <f t="shared" si="48"/>
        <v>2020</v>
      </c>
      <c r="E121">
        <f t="shared" si="49"/>
        <v>13735.139618468344</v>
      </c>
      <c r="F121">
        <f t="shared" si="50"/>
        <v>2</v>
      </c>
      <c r="H121">
        <f t="shared" si="52"/>
        <v>1</v>
      </c>
      <c r="I121">
        <f t="shared" si="53"/>
        <v>5</v>
      </c>
      <c r="J121">
        <f t="shared" si="54"/>
        <v>2</v>
      </c>
      <c r="K121" t="str">
        <f t="shared" si="51"/>
        <v>NEP C&amp;E.HYD_TOT</v>
      </c>
      <c r="Q121" t="str">
        <f t="shared" si="77"/>
        <v>NEP E.SOL_WIN_BAL_WASREN_NEW</v>
      </c>
      <c r="R121" t="str">
        <f t="shared" si="86"/>
        <v>NEP E</v>
      </c>
      <c r="S121" t="s">
        <v>320</v>
      </c>
      <c r="T121" s="130" t="s">
        <v>355</v>
      </c>
      <c r="U121">
        <f t="shared" si="78"/>
        <v>464.47332043129666</v>
      </c>
      <c r="V121">
        <f t="shared" si="79"/>
        <v>1105.888858169754</v>
      </c>
      <c r="W121">
        <f t="shared" si="80"/>
        <v>2244.9543820846006</v>
      </c>
      <c r="X121">
        <f t="shared" si="81"/>
        <v>3339.7843516726571</v>
      </c>
      <c r="Y121">
        <f t="shared" si="82"/>
        <v>5728.5042853193254</v>
      </c>
      <c r="Z121">
        <f t="shared" si="83"/>
        <v>8139.3419961293894</v>
      </c>
      <c r="AA121">
        <f t="shared" si="84"/>
        <v>10683.024606027095</v>
      </c>
      <c r="AB121">
        <f t="shared" si="85"/>
        <v>12695.604091788775</v>
      </c>
      <c r="AC121" s="130" t="s">
        <v>355</v>
      </c>
      <c r="AD121">
        <v>374187</v>
      </c>
      <c r="AE121">
        <v>389227</v>
      </c>
      <c r="AF121">
        <v>389867</v>
      </c>
      <c r="AG121">
        <v>393227</v>
      </c>
      <c r="AH121">
        <v>396107</v>
      </c>
      <c r="AI121">
        <v>412907</v>
      </c>
      <c r="AJ121">
        <v>431948</v>
      </c>
      <c r="AK121">
        <v>448107</v>
      </c>
    </row>
    <row r="122" spans="2:37">
      <c r="B122" t="str">
        <f t="shared" si="46"/>
        <v>HYD_TOT_NEW</v>
      </c>
      <c r="C122" t="str">
        <f t="shared" si="47"/>
        <v>NEP C&amp;E</v>
      </c>
      <c r="D122">
        <f t="shared" si="48"/>
        <v>2020</v>
      </c>
      <c r="E122">
        <f t="shared" si="49"/>
        <v>3737.9043406137685</v>
      </c>
      <c r="F122">
        <f t="shared" si="50"/>
        <v>2</v>
      </c>
      <c r="H122">
        <f t="shared" si="52"/>
        <v>2</v>
      </c>
      <c r="I122">
        <f t="shared" si="53"/>
        <v>5</v>
      </c>
      <c r="J122">
        <f t="shared" si="54"/>
        <v>2</v>
      </c>
      <c r="K122" t="str">
        <f t="shared" si="51"/>
        <v>NEP C&amp;E.HYD_TOT_NEW</v>
      </c>
      <c r="Q122" t="str">
        <f t="shared" si="77"/>
        <v>NEP E.FSS_ELC_NEW</v>
      </c>
      <c r="R122" t="str">
        <f t="shared" si="86"/>
        <v>NEP E</v>
      </c>
      <c r="S122" t="s">
        <v>313</v>
      </c>
      <c r="T122" s="130" t="s">
        <v>356</v>
      </c>
      <c r="U122">
        <f t="shared" si="78"/>
        <v>0</v>
      </c>
      <c r="V122">
        <f t="shared" si="79"/>
        <v>0</v>
      </c>
      <c r="W122">
        <f t="shared" si="80"/>
        <v>0</v>
      </c>
      <c r="X122">
        <f t="shared" si="81"/>
        <v>0</v>
      </c>
      <c r="Y122">
        <f t="shared" si="82"/>
        <v>0</v>
      </c>
      <c r="Z122">
        <f t="shared" si="83"/>
        <v>0</v>
      </c>
      <c r="AA122">
        <f t="shared" si="84"/>
        <v>0</v>
      </c>
      <c r="AB122">
        <f t="shared" si="85"/>
        <v>0</v>
      </c>
      <c r="AC122" s="130" t="s">
        <v>356</v>
      </c>
      <c r="AD122">
        <f t="shared" ref="AD122:AK122" si="88">AD121</f>
        <v>374187</v>
      </c>
      <c r="AE122">
        <f t="shared" si="88"/>
        <v>389227</v>
      </c>
      <c r="AF122">
        <f t="shared" si="88"/>
        <v>389867</v>
      </c>
      <c r="AG122">
        <f t="shared" si="88"/>
        <v>393227</v>
      </c>
      <c r="AH122">
        <f t="shared" si="88"/>
        <v>396107</v>
      </c>
      <c r="AI122">
        <f t="shared" si="88"/>
        <v>412907</v>
      </c>
      <c r="AJ122">
        <f t="shared" si="88"/>
        <v>431948</v>
      </c>
      <c r="AK122">
        <f t="shared" si="88"/>
        <v>448107</v>
      </c>
    </row>
    <row r="123" spans="2:37">
      <c r="B123" t="str">
        <f t="shared" si="46"/>
        <v>NUC_ELC</v>
      </c>
      <c r="C123" t="str">
        <f t="shared" si="47"/>
        <v>NEP C&amp;E</v>
      </c>
      <c r="D123">
        <f t="shared" si="48"/>
        <v>2020</v>
      </c>
      <c r="E123">
        <f t="shared" si="49"/>
        <v>2875.3110312413601</v>
      </c>
      <c r="F123">
        <f t="shared" si="50"/>
        <v>2</v>
      </c>
      <c r="H123">
        <f t="shared" si="52"/>
        <v>3</v>
      </c>
      <c r="I123">
        <f t="shared" si="53"/>
        <v>5</v>
      </c>
      <c r="J123">
        <f t="shared" si="54"/>
        <v>2</v>
      </c>
      <c r="K123" t="str">
        <f t="shared" si="51"/>
        <v>NEP C&amp;E.NUC_ELC</v>
      </c>
    </row>
    <row r="124" spans="2:37">
      <c r="B124" t="str">
        <f t="shared" si="46"/>
        <v>FSS_ELC</v>
      </c>
      <c r="C124" t="str">
        <f t="shared" si="47"/>
        <v>NEP C&amp;E</v>
      </c>
      <c r="D124">
        <f t="shared" si="48"/>
        <v>2020</v>
      </c>
      <c r="E124">
        <f t="shared" si="49"/>
        <v>0</v>
      </c>
      <c r="F124">
        <f t="shared" si="50"/>
        <v>2</v>
      </c>
      <c r="H124">
        <f t="shared" si="52"/>
        <v>4</v>
      </c>
      <c r="I124">
        <f t="shared" si="53"/>
        <v>5</v>
      </c>
      <c r="J124">
        <f t="shared" si="54"/>
        <v>2</v>
      </c>
      <c r="K124" t="str">
        <f t="shared" si="51"/>
        <v>NEP C&amp;E.FSS_ELC</v>
      </c>
    </row>
    <row r="125" spans="2:37">
      <c r="B125" t="str">
        <f t="shared" si="46"/>
        <v>FSS_CHP</v>
      </c>
      <c r="C125" t="str">
        <f t="shared" si="47"/>
        <v>NEP C&amp;E</v>
      </c>
      <c r="D125">
        <f t="shared" si="48"/>
        <v>2020</v>
      </c>
      <c r="E125">
        <f t="shared" si="49"/>
        <v>331.76665745092617</v>
      </c>
      <c r="F125">
        <f t="shared" si="50"/>
        <v>2</v>
      </c>
      <c r="H125">
        <f t="shared" si="52"/>
        <v>5</v>
      </c>
      <c r="I125">
        <f t="shared" si="53"/>
        <v>5</v>
      </c>
      <c r="J125">
        <f t="shared" si="54"/>
        <v>2</v>
      </c>
      <c r="K125" t="str">
        <f t="shared" si="51"/>
        <v>NEP C&amp;E.FSS_CHP</v>
      </c>
      <c r="AC125">
        <v>40000</v>
      </c>
      <c r="AD125">
        <v>506747</v>
      </c>
      <c r="AE125">
        <v>506747</v>
      </c>
      <c r="AF125">
        <v>506747</v>
      </c>
      <c r="AG125">
        <v>506747</v>
      </c>
      <c r="AH125">
        <v>506747</v>
      </c>
      <c r="AI125">
        <v>506747</v>
      </c>
      <c r="AJ125">
        <v>506747</v>
      </c>
      <c r="AK125">
        <v>506747</v>
      </c>
    </row>
    <row r="126" spans="2:37">
      <c r="B126" t="str">
        <f t="shared" si="46"/>
        <v>SOL_WIN_BAL_WASREN</v>
      </c>
      <c r="C126" t="str">
        <f t="shared" si="47"/>
        <v>NEP C&amp;E</v>
      </c>
      <c r="D126">
        <f t="shared" si="48"/>
        <v>2020</v>
      </c>
      <c r="E126">
        <f t="shared" si="49"/>
        <v>243.29554879734587</v>
      </c>
      <c r="F126">
        <f t="shared" si="50"/>
        <v>2</v>
      </c>
      <c r="H126">
        <f t="shared" si="52"/>
        <v>6</v>
      </c>
      <c r="I126">
        <f t="shared" si="53"/>
        <v>5</v>
      </c>
      <c r="J126">
        <f t="shared" si="54"/>
        <v>2</v>
      </c>
      <c r="K126" t="str">
        <f t="shared" si="51"/>
        <v>NEP C&amp;E.SOL_WIN_BAL_WASREN</v>
      </c>
    </row>
    <row r="127" spans="2:37">
      <c r="B127" t="str">
        <f t="shared" si="46"/>
        <v>FSS_CHP_NEW</v>
      </c>
      <c r="C127" t="str">
        <f t="shared" si="47"/>
        <v>NEP C&amp;E</v>
      </c>
      <c r="D127">
        <f t="shared" si="48"/>
        <v>2020</v>
      </c>
      <c r="E127">
        <f t="shared" si="49"/>
        <v>309.64888028753109</v>
      </c>
      <c r="F127">
        <f t="shared" si="50"/>
        <v>2</v>
      </c>
      <c r="H127">
        <f t="shared" si="52"/>
        <v>7</v>
      </c>
      <c r="I127">
        <f t="shared" si="53"/>
        <v>5</v>
      </c>
      <c r="J127">
        <f t="shared" si="54"/>
        <v>2</v>
      </c>
      <c r="K127" t="str">
        <f t="shared" si="51"/>
        <v>NEP C&amp;E.FSS_CHP_NEW</v>
      </c>
      <c r="U127" t="s">
        <v>310</v>
      </c>
      <c r="V127" t="str">
        <f>INDEX($U$13:$U$20,MATCH(U127,$T$13:$T$20,0))</f>
        <v>Figure 7-60</v>
      </c>
    </row>
    <row r="128" spans="2:37">
      <c r="B128" t="str">
        <f t="shared" si="46"/>
        <v>SOL_WIN_BAL_WASREN_NEW</v>
      </c>
      <c r="C128" t="str">
        <f t="shared" si="47"/>
        <v>NEP C&amp;E</v>
      </c>
      <c r="D128">
        <f t="shared" si="48"/>
        <v>2020</v>
      </c>
      <c r="E128">
        <f t="shared" si="49"/>
        <v>1128.006635333149</v>
      </c>
      <c r="F128">
        <f t="shared" si="50"/>
        <v>2</v>
      </c>
      <c r="H128">
        <f t="shared" si="52"/>
        <v>8</v>
      </c>
      <c r="I128">
        <f t="shared" si="53"/>
        <v>5</v>
      </c>
      <c r="J128">
        <f t="shared" si="54"/>
        <v>2</v>
      </c>
      <c r="K128" t="str">
        <f t="shared" si="51"/>
        <v>NEP C&amp;E.SOL_WIN_BAL_WASREN_NEW</v>
      </c>
      <c r="U128">
        <v>2015</v>
      </c>
      <c r="V128">
        <v>2020</v>
      </c>
      <c r="W128">
        <v>2025</v>
      </c>
      <c r="X128">
        <v>2030</v>
      </c>
      <c r="Y128">
        <v>2035</v>
      </c>
      <c r="Z128">
        <v>2040</v>
      </c>
      <c r="AA128">
        <v>2045</v>
      </c>
      <c r="AB128">
        <v>2050</v>
      </c>
      <c r="AD128">
        <v>2015</v>
      </c>
      <c r="AE128">
        <v>2020</v>
      </c>
      <c r="AF128">
        <v>2025</v>
      </c>
      <c r="AG128">
        <v>2030</v>
      </c>
      <c r="AH128">
        <v>2035</v>
      </c>
      <c r="AI128">
        <v>2040</v>
      </c>
      <c r="AJ128">
        <v>2045</v>
      </c>
      <c r="AK128">
        <v>2050</v>
      </c>
    </row>
    <row r="129" spans="2:37">
      <c r="B129" t="str">
        <f t="shared" si="46"/>
        <v>FSS_ELC_NEW</v>
      </c>
      <c r="C129" t="str">
        <f t="shared" si="47"/>
        <v>NEP C&amp;E</v>
      </c>
      <c r="D129">
        <f t="shared" si="48"/>
        <v>2020</v>
      </c>
      <c r="E129">
        <f t="shared" si="49"/>
        <v>0</v>
      </c>
      <c r="F129">
        <f t="shared" si="50"/>
        <v>2</v>
      </c>
      <c r="H129">
        <f t="shared" si="52"/>
        <v>9</v>
      </c>
      <c r="I129">
        <f t="shared" si="53"/>
        <v>5</v>
      </c>
      <c r="J129">
        <f t="shared" si="54"/>
        <v>2</v>
      </c>
      <c r="K129" t="str">
        <f t="shared" si="51"/>
        <v>NEP C&amp;E.FSS_ELC_NEW</v>
      </c>
      <c r="AC129">
        <v>0</v>
      </c>
      <c r="AD129">
        <v>484107</v>
      </c>
      <c r="AE129">
        <v>484107</v>
      </c>
      <c r="AF129">
        <v>484107</v>
      </c>
      <c r="AG129">
        <v>484107</v>
      </c>
      <c r="AH129">
        <v>484107</v>
      </c>
      <c r="AI129">
        <v>484107</v>
      </c>
      <c r="AJ129">
        <v>484107</v>
      </c>
      <c r="AK129">
        <v>484107</v>
      </c>
    </row>
    <row r="130" spans="2:37">
      <c r="B130" t="str">
        <f t="shared" si="46"/>
        <v>HYD_TOT</v>
      </c>
      <c r="C130" t="str">
        <f t="shared" si="47"/>
        <v>NEP E</v>
      </c>
      <c r="D130">
        <f t="shared" si="48"/>
        <v>2020</v>
      </c>
      <c r="E130">
        <f t="shared" si="49"/>
        <v>13735.139618468344</v>
      </c>
      <c r="F130">
        <f t="shared" si="50"/>
        <v>2</v>
      </c>
      <c r="H130">
        <f t="shared" si="52"/>
        <v>1</v>
      </c>
      <c r="I130">
        <f t="shared" si="53"/>
        <v>6</v>
      </c>
      <c r="J130">
        <f t="shared" si="54"/>
        <v>2</v>
      </c>
      <c r="K130" t="str">
        <f t="shared" si="51"/>
        <v>NEP E.HYD_TOT</v>
      </c>
      <c r="Q130" t="str">
        <f t="shared" ref="Q130:Q139" si="89">R130&amp;"."&amp;S130</f>
        <v>WWB C.HYD_TOT</v>
      </c>
      <c r="R130" t="str">
        <f>U127</f>
        <v>WWB C</v>
      </c>
      <c r="S130" t="s">
        <v>145</v>
      </c>
      <c r="T130" s="130" t="s">
        <v>347</v>
      </c>
      <c r="U130">
        <f t="shared" ref="U130:U139" si="90">(AD130-AD129)*($AC$74-$AC$61)/(AD$74-AD$61)</f>
        <v>13779.375172795135</v>
      </c>
      <c r="V130">
        <f t="shared" ref="V130:V139" si="91">(AE130-AE129)*($AC$74-$AC$61)/(AE$74-AE$61)</f>
        <v>13779.375172795135</v>
      </c>
      <c r="W130">
        <f t="shared" ref="W130:W139" si="92">(AF130-AF129)*($AC$74-$AC$61)/(AF$74-AF$61)</f>
        <v>13779.375172795135</v>
      </c>
      <c r="X130">
        <f t="shared" ref="X130:X139" si="93">(AG130-AG129)*($AC$74-$AC$61)/(AG$74-AG$61)</f>
        <v>13779.375172795135</v>
      </c>
      <c r="Y130">
        <f t="shared" ref="Y130:Y139" si="94">(AH130-AH129)*($AC$74-$AC$61)/(AH$74-AH$61)</f>
        <v>13779.375172795135</v>
      </c>
      <c r="Z130">
        <f t="shared" ref="Z130:Z139" si="95">(AI130-AI129)*($AC$74-$AC$61)/(AI$74-AI$61)</f>
        <v>13779.375172795135</v>
      </c>
      <c r="AA130">
        <f t="shared" ref="AA130:AA139" si="96">(AJ130-AJ129)*($AC$74-$AC$61)/(AJ$74-AJ$61)</f>
        <v>13779.375172795135</v>
      </c>
      <c r="AB130">
        <f t="shared" ref="AB130:AB139" si="97">(AK130-AK129)*($AC$74-$AC$61)/(AK$74-AK$61)</f>
        <v>13779.375172795135</v>
      </c>
      <c r="AC130" s="130" t="s">
        <v>347</v>
      </c>
      <c r="AD130">
        <v>583787</v>
      </c>
      <c r="AE130">
        <v>583787</v>
      </c>
      <c r="AF130">
        <v>583787</v>
      </c>
      <c r="AG130">
        <v>583787</v>
      </c>
      <c r="AH130">
        <v>583787</v>
      </c>
      <c r="AI130">
        <v>583787</v>
      </c>
      <c r="AJ130">
        <v>583787</v>
      </c>
      <c r="AK130">
        <v>583787</v>
      </c>
    </row>
    <row r="131" spans="2:37">
      <c r="B131" t="str">
        <f t="shared" si="46"/>
        <v>HYD_TOT_NEW</v>
      </c>
      <c r="C131" t="str">
        <f t="shared" si="47"/>
        <v>NEP E</v>
      </c>
      <c r="D131">
        <f t="shared" si="48"/>
        <v>2020</v>
      </c>
      <c r="E131">
        <f t="shared" si="49"/>
        <v>3760.0221177771632</v>
      </c>
      <c r="F131">
        <f t="shared" si="50"/>
        <v>2</v>
      </c>
      <c r="H131">
        <f t="shared" si="52"/>
        <v>2</v>
      </c>
      <c r="I131">
        <f t="shared" si="53"/>
        <v>6</v>
      </c>
      <c r="J131">
        <f t="shared" si="54"/>
        <v>2</v>
      </c>
      <c r="K131" t="str">
        <f t="shared" si="51"/>
        <v>NEP E.HYD_TOT_NEW</v>
      </c>
      <c r="Q131" t="str">
        <f t="shared" si="89"/>
        <v>WWB C.HYD_TOT_NEW</v>
      </c>
      <c r="R131" t="str">
        <f t="shared" ref="R131:R139" si="98">R130</f>
        <v>WWB C</v>
      </c>
      <c r="S131" t="s">
        <v>314</v>
      </c>
      <c r="T131" s="130" t="s">
        <v>348</v>
      </c>
      <c r="U131">
        <f t="shared" si="90"/>
        <v>951.0644180259884</v>
      </c>
      <c r="V131">
        <f t="shared" si="91"/>
        <v>3671.6892452308543</v>
      </c>
      <c r="W131">
        <f t="shared" si="92"/>
        <v>3671.6892452308543</v>
      </c>
      <c r="X131">
        <f t="shared" si="93"/>
        <v>3760.0221177771632</v>
      </c>
      <c r="Y131">
        <f t="shared" si="94"/>
        <v>3760.0221177771632</v>
      </c>
      <c r="Z131">
        <f t="shared" si="95"/>
        <v>3826.3754492673488</v>
      </c>
      <c r="AA131">
        <f t="shared" si="96"/>
        <v>3914.8465579209292</v>
      </c>
      <c r="AB131">
        <f t="shared" si="97"/>
        <v>3981.1998894111143</v>
      </c>
      <c r="AC131" s="130" t="s">
        <v>348</v>
      </c>
      <c r="AD131">
        <v>590667</v>
      </c>
      <c r="AE131">
        <v>610348</v>
      </c>
      <c r="AF131">
        <v>610348</v>
      </c>
      <c r="AG131">
        <v>610987</v>
      </c>
      <c r="AH131">
        <v>610987</v>
      </c>
      <c r="AI131">
        <v>611467</v>
      </c>
      <c r="AJ131">
        <v>612107</v>
      </c>
      <c r="AK131">
        <v>612587</v>
      </c>
    </row>
    <row r="132" spans="2:37">
      <c r="B132" t="str">
        <f t="shared" si="46"/>
        <v>NUC_ELC</v>
      </c>
      <c r="C132" t="str">
        <f t="shared" si="47"/>
        <v>NEP E</v>
      </c>
      <c r="D132">
        <f t="shared" si="48"/>
        <v>2020</v>
      </c>
      <c r="E132">
        <f t="shared" si="49"/>
        <v>2875.3110312413601</v>
      </c>
      <c r="F132">
        <f t="shared" si="50"/>
        <v>2</v>
      </c>
      <c r="H132">
        <f t="shared" si="52"/>
        <v>3</v>
      </c>
      <c r="I132">
        <f t="shared" si="53"/>
        <v>6</v>
      </c>
      <c r="J132">
        <f t="shared" si="54"/>
        <v>2</v>
      </c>
      <c r="K132" t="str">
        <f t="shared" si="51"/>
        <v>NEP E.NUC_ELC</v>
      </c>
      <c r="Q132" t="str">
        <f t="shared" si="89"/>
        <v>WWB C.NUC_ELC</v>
      </c>
      <c r="R132" t="str">
        <f t="shared" si="98"/>
        <v>WWB C</v>
      </c>
      <c r="S132" t="s">
        <v>95</v>
      </c>
      <c r="T132" s="130" t="s">
        <v>349</v>
      </c>
      <c r="U132">
        <f t="shared" si="90"/>
        <v>3273.569256289743</v>
      </c>
      <c r="V132">
        <f t="shared" si="91"/>
        <v>2875.3110312413601</v>
      </c>
      <c r="W132">
        <f t="shared" si="92"/>
        <v>2167.4039259054466</v>
      </c>
      <c r="X132">
        <f t="shared" si="93"/>
        <v>1194.3599668233342</v>
      </c>
      <c r="Y132">
        <f t="shared" si="94"/>
        <v>0</v>
      </c>
      <c r="Z132">
        <f t="shared" si="95"/>
        <v>0</v>
      </c>
      <c r="AA132">
        <f t="shared" si="96"/>
        <v>0</v>
      </c>
      <c r="AB132">
        <f t="shared" si="97"/>
        <v>0</v>
      </c>
      <c r="AC132" s="130" t="s">
        <v>349</v>
      </c>
      <c r="AD132">
        <v>614348</v>
      </c>
      <c r="AE132">
        <v>631148</v>
      </c>
      <c r="AF132">
        <v>626027</v>
      </c>
      <c r="AG132">
        <v>619627</v>
      </c>
      <c r="AH132">
        <f t="shared" ref="AH132:AK133" si="99">AH131</f>
        <v>610987</v>
      </c>
      <c r="AI132">
        <f t="shared" si="99"/>
        <v>611467</v>
      </c>
      <c r="AJ132">
        <f t="shared" si="99"/>
        <v>612107</v>
      </c>
      <c r="AK132">
        <f t="shared" si="99"/>
        <v>612587</v>
      </c>
    </row>
    <row r="133" spans="2:37">
      <c r="B133" t="str">
        <f t="shared" si="46"/>
        <v>FSS_ELC</v>
      </c>
      <c r="C133" t="str">
        <f t="shared" si="47"/>
        <v>NEP E</v>
      </c>
      <c r="D133">
        <f t="shared" si="48"/>
        <v>2020</v>
      </c>
      <c r="E133">
        <f t="shared" si="49"/>
        <v>0</v>
      </c>
      <c r="F133">
        <f t="shared" si="50"/>
        <v>2</v>
      </c>
      <c r="H133">
        <f t="shared" si="52"/>
        <v>4</v>
      </c>
      <c r="I133">
        <f t="shared" si="53"/>
        <v>6</v>
      </c>
      <c r="J133">
        <f t="shared" si="54"/>
        <v>2</v>
      </c>
      <c r="K133" t="str">
        <f t="shared" si="51"/>
        <v>NEP E.FSS_ELC</v>
      </c>
      <c r="Q133" t="str">
        <f t="shared" si="89"/>
        <v>WWB C.FSS_ELC</v>
      </c>
      <c r="R133" t="str">
        <f t="shared" si="98"/>
        <v>WWB C</v>
      </c>
      <c r="S133" t="s">
        <v>300</v>
      </c>
      <c r="T133" s="130" t="s">
        <v>350</v>
      </c>
      <c r="U133">
        <f t="shared" si="90"/>
        <v>0</v>
      </c>
      <c r="V133">
        <f t="shared" si="91"/>
        <v>0</v>
      </c>
      <c r="W133">
        <f t="shared" si="92"/>
        <v>0</v>
      </c>
      <c r="X133">
        <f t="shared" si="93"/>
        <v>0</v>
      </c>
      <c r="Y133">
        <f t="shared" si="94"/>
        <v>0</v>
      </c>
      <c r="Z133">
        <f t="shared" si="95"/>
        <v>0</v>
      </c>
      <c r="AA133">
        <f t="shared" si="96"/>
        <v>0</v>
      </c>
      <c r="AB133">
        <f t="shared" si="97"/>
        <v>0</v>
      </c>
      <c r="AC133" s="130" t="s">
        <v>350</v>
      </c>
      <c r="AD133">
        <f>AD132</f>
        <v>614348</v>
      </c>
      <c r="AE133">
        <f>AE132</f>
        <v>631148</v>
      </c>
      <c r="AF133">
        <f>AF132</f>
        <v>626027</v>
      </c>
      <c r="AG133">
        <f>AG132</f>
        <v>619627</v>
      </c>
      <c r="AH133">
        <f t="shared" si="99"/>
        <v>610987</v>
      </c>
      <c r="AI133">
        <f t="shared" si="99"/>
        <v>611467</v>
      </c>
      <c r="AJ133">
        <f t="shared" si="99"/>
        <v>612107</v>
      </c>
      <c r="AK133">
        <f t="shared" si="99"/>
        <v>612587</v>
      </c>
    </row>
    <row r="134" spans="2:37">
      <c r="B134" t="str">
        <f t="shared" si="46"/>
        <v>FSS_CHP</v>
      </c>
      <c r="C134" t="str">
        <f t="shared" si="47"/>
        <v>NEP E</v>
      </c>
      <c r="D134">
        <f t="shared" si="48"/>
        <v>2020</v>
      </c>
      <c r="E134">
        <f t="shared" si="49"/>
        <v>309.64888028753109</v>
      </c>
      <c r="F134">
        <f t="shared" si="50"/>
        <v>2</v>
      </c>
      <c r="H134">
        <f t="shared" si="52"/>
        <v>5</v>
      </c>
      <c r="I134">
        <f t="shared" si="53"/>
        <v>6</v>
      </c>
      <c r="J134">
        <f t="shared" si="54"/>
        <v>2</v>
      </c>
      <c r="K134" t="str">
        <f t="shared" si="51"/>
        <v>NEP E.FSS_CHP</v>
      </c>
      <c r="Q134" t="str">
        <f t="shared" si="89"/>
        <v>WWB C.FSS_CHP</v>
      </c>
      <c r="R134" t="str">
        <f t="shared" si="98"/>
        <v>WWB C</v>
      </c>
      <c r="S134" t="s">
        <v>299</v>
      </c>
      <c r="T134" s="130" t="s">
        <v>351</v>
      </c>
      <c r="U134">
        <f t="shared" si="90"/>
        <v>331.76665745092617</v>
      </c>
      <c r="V134">
        <f t="shared" si="91"/>
        <v>243.15731269007466</v>
      </c>
      <c r="W134">
        <f t="shared" si="92"/>
        <v>154.96267625103678</v>
      </c>
      <c r="X134">
        <f t="shared" si="93"/>
        <v>88.471108653580316</v>
      </c>
      <c r="Y134">
        <f t="shared" si="94"/>
        <v>66.353331490185241</v>
      </c>
      <c r="Z134">
        <f t="shared" si="95"/>
        <v>0</v>
      </c>
      <c r="AA134">
        <f t="shared" si="96"/>
        <v>0</v>
      </c>
      <c r="AB134">
        <f t="shared" si="97"/>
        <v>0</v>
      </c>
      <c r="AC134" s="130" t="s">
        <v>351</v>
      </c>
      <c r="AD134">
        <v>616748</v>
      </c>
      <c r="AE134">
        <v>632907</v>
      </c>
      <c r="AF134">
        <v>627148</v>
      </c>
      <c r="AG134">
        <v>620267</v>
      </c>
      <c r="AH134">
        <v>611467</v>
      </c>
      <c r="AI134">
        <f>AI133</f>
        <v>611467</v>
      </c>
      <c r="AJ134">
        <f>AJ133</f>
        <v>612107</v>
      </c>
      <c r="AK134">
        <f>AK133</f>
        <v>612587</v>
      </c>
    </row>
    <row r="135" spans="2:37">
      <c r="B135" t="str">
        <f t="shared" si="46"/>
        <v>SOL_WIN_BAL_WASREN</v>
      </c>
      <c r="C135" t="str">
        <f t="shared" si="47"/>
        <v>NEP E</v>
      </c>
      <c r="D135">
        <f t="shared" si="48"/>
        <v>2020</v>
      </c>
      <c r="E135">
        <f t="shared" si="49"/>
        <v>243.29554879734587</v>
      </c>
      <c r="F135">
        <f t="shared" si="50"/>
        <v>2</v>
      </c>
      <c r="H135">
        <f t="shared" si="52"/>
        <v>6</v>
      </c>
      <c r="I135">
        <f t="shared" si="53"/>
        <v>6</v>
      </c>
      <c r="J135">
        <f t="shared" si="54"/>
        <v>2</v>
      </c>
      <c r="K135" t="str">
        <f t="shared" si="51"/>
        <v>NEP E.SOL_WIN_BAL_WASREN</v>
      </c>
      <c r="Q135" t="str">
        <f t="shared" si="89"/>
        <v>WWB C.</v>
      </c>
      <c r="R135" t="str">
        <f t="shared" si="98"/>
        <v>WWB C</v>
      </c>
      <c r="T135" s="130" t="s">
        <v>352</v>
      </c>
      <c r="U135">
        <f t="shared" si="90"/>
        <v>2477.0528061929776</v>
      </c>
      <c r="V135">
        <f t="shared" si="91"/>
        <v>1526.2648603815317</v>
      </c>
      <c r="W135">
        <f t="shared" si="92"/>
        <v>1282.6928393696433</v>
      </c>
      <c r="X135">
        <f t="shared" si="93"/>
        <v>1260.7132983135195</v>
      </c>
      <c r="Y135">
        <f t="shared" si="94"/>
        <v>398.25822504838266</v>
      </c>
      <c r="Z135">
        <f t="shared" si="95"/>
        <v>243.29554879734587</v>
      </c>
      <c r="AA135">
        <f t="shared" si="96"/>
        <v>0</v>
      </c>
      <c r="AB135">
        <f t="shared" si="97"/>
        <v>0</v>
      </c>
      <c r="AC135" s="130" t="s">
        <v>352</v>
      </c>
      <c r="AD135">
        <v>634667</v>
      </c>
      <c r="AE135">
        <v>643948</v>
      </c>
      <c r="AF135">
        <v>636427</v>
      </c>
      <c r="AG135">
        <v>629387</v>
      </c>
      <c r="AH135">
        <v>614348</v>
      </c>
      <c r="AI135">
        <v>613227</v>
      </c>
      <c r="AJ135">
        <f>AJ134</f>
        <v>612107</v>
      </c>
      <c r="AK135">
        <f>AK134</f>
        <v>612587</v>
      </c>
    </row>
    <row r="136" spans="2:37">
      <c r="B136" t="str">
        <f t="shared" si="46"/>
        <v>FSS_CHP_NEW</v>
      </c>
      <c r="C136" t="str">
        <f t="shared" si="47"/>
        <v>NEP E</v>
      </c>
      <c r="D136">
        <f t="shared" si="48"/>
        <v>2020</v>
      </c>
      <c r="E136">
        <f t="shared" si="49"/>
        <v>331.76665745092617</v>
      </c>
      <c r="F136">
        <f t="shared" si="50"/>
        <v>2</v>
      </c>
      <c r="H136">
        <f t="shared" si="52"/>
        <v>7</v>
      </c>
      <c r="I136">
        <f t="shared" si="53"/>
        <v>6</v>
      </c>
      <c r="J136">
        <f t="shared" si="54"/>
        <v>2</v>
      </c>
      <c r="K136" t="str">
        <f t="shared" si="51"/>
        <v>NEP E.FSS_CHP_NEW</v>
      </c>
      <c r="Q136" t="str">
        <f t="shared" si="89"/>
        <v>WWB C.SOL_WIN_BAL_WASREN</v>
      </c>
      <c r="R136" t="str">
        <f t="shared" si="98"/>
        <v>WWB C</v>
      </c>
      <c r="S136" t="s">
        <v>318</v>
      </c>
      <c r="T136" s="130" t="s">
        <v>353</v>
      </c>
      <c r="U136">
        <f t="shared" si="90"/>
        <v>243.29554879734587</v>
      </c>
      <c r="V136">
        <f t="shared" si="91"/>
        <v>154.68620403649433</v>
      </c>
      <c r="W136">
        <f t="shared" si="92"/>
        <v>243.29554879734587</v>
      </c>
      <c r="X136">
        <f t="shared" si="93"/>
        <v>176.94221730716063</v>
      </c>
      <c r="Y136">
        <f t="shared" si="94"/>
        <v>88.33287254630909</v>
      </c>
      <c r="Z136">
        <f t="shared" si="95"/>
        <v>88.471108653580316</v>
      </c>
      <c r="AA136">
        <f t="shared" si="96"/>
        <v>0</v>
      </c>
      <c r="AB136">
        <f t="shared" si="97"/>
        <v>0</v>
      </c>
      <c r="AC136" s="130" t="s">
        <v>353</v>
      </c>
      <c r="AD136">
        <v>636427</v>
      </c>
      <c r="AE136">
        <v>645067</v>
      </c>
      <c r="AF136">
        <v>638187</v>
      </c>
      <c r="AG136">
        <v>630667</v>
      </c>
      <c r="AH136">
        <v>614987</v>
      </c>
      <c r="AI136">
        <v>613867</v>
      </c>
      <c r="AJ136">
        <f>AJ135</f>
        <v>612107</v>
      </c>
      <c r="AK136">
        <f>AK135</f>
        <v>612587</v>
      </c>
    </row>
    <row r="137" spans="2:37">
      <c r="B137" t="str">
        <f t="shared" si="46"/>
        <v>SOL_WIN_BAL_WASREN_NEW</v>
      </c>
      <c r="C137" t="str">
        <f t="shared" si="47"/>
        <v>NEP E</v>
      </c>
      <c r="D137">
        <f t="shared" si="48"/>
        <v>2020</v>
      </c>
      <c r="E137">
        <f t="shared" si="49"/>
        <v>1105.888858169754</v>
      </c>
      <c r="F137">
        <f t="shared" si="50"/>
        <v>2</v>
      </c>
      <c r="H137">
        <f t="shared" si="52"/>
        <v>8</v>
      </c>
      <c r="I137">
        <f t="shared" si="53"/>
        <v>6</v>
      </c>
      <c r="J137">
        <f t="shared" si="54"/>
        <v>2</v>
      </c>
      <c r="K137" t="str">
        <f t="shared" si="51"/>
        <v>NEP E.SOL_WIN_BAL_WASREN_NEW</v>
      </c>
      <c r="Q137" t="str">
        <f t="shared" si="89"/>
        <v>WWB C.FSS_CHP_NEW</v>
      </c>
      <c r="R137" t="str">
        <f t="shared" si="98"/>
        <v>WWB C</v>
      </c>
      <c r="S137" t="s">
        <v>312</v>
      </c>
      <c r="T137" s="130" t="s">
        <v>354</v>
      </c>
      <c r="U137">
        <f t="shared" si="90"/>
        <v>154.96267625103678</v>
      </c>
      <c r="V137">
        <f t="shared" si="91"/>
        <v>398.25822504838266</v>
      </c>
      <c r="W137">
        <f t="shared" si="92"/>
        <v>464.61155653856787</v>
      </c>
      <c r="X137">
        <f t="shared" si="93"/>
        <v>552.94442908487702</v>
      </c>
      <c r="Y137">
        <f t="shared" si="94"/>
        <v>641.41553773845726</v>
      </c>
      <c r="Z137">
        <f t="shared" si="95"/>
        <v>641.41553773845726</v>
      </c>
      <c r="AA137">
        <f t="shared" si="96"/>
        <v>707.76886922864253</v>
      </c>
      <c r="AB137">
        <f t="shared" si="97"/>
        <v>729.88664639203762</v>
      </c>
      <c r="AC137" s="130" t="s">
        <v>354</v>
      </c>
      <c r="AD137">
        <v>637548</v>
      </c>
      <c r="AE137">
        <v>647948</v>
      </c>
      <c r="AF137">
        <v>641548</v>
      </c>
      <c r="AG137">
        <v>634667</v>
      </c>
      <c r="AH137">
        <v>619627</v>
      </c>
      <c r="AI137">
        <v>618507</v>
      </c>
      <c r="AJ137">
        <v>617227</v>
      </c>
      <c r="AK137">
        <v>617867</v>
      </c>
    </row>
    <row r="138" spans="2:37">
      <c r="B138" t="str">
        <f t="shared" si="46"/>
        <v>FSS_ELC_NEW</v>
      </c>
      <c r="C138" t="str">
        <f t="shared" si="47"/>
        <v>NEP E</v>
      </c>
      <c r="D138">
        <f t="shared" si="48"/>
        <v>2020</v>
      </c>
      <c r="E138">
        <f t="shared" si="49"/>
        <v>0</v>
      </c>
      <c r="F138">
        <f t="shared" si="50"/>
        <v>2</v>
      </c>
      <c r="H138">
        <f t="shared" si="52"/>
        <v>9</v>
      </c>
      <c r="I138">
        <f t="shared" si="53"/>
        <v>6</v>
      </c>
      <c r="J138">
        <f t="shared" si="54"/>
        <v>2</v>
      </c>
      <c r="K138" t="str">
        <f t="shared" si="51"/>
        <v>NEP E.FSS_ELC_NEW</v>
      </c>
      <c r="Q138" t="str">
        <f t="shared" si="89"/>
        <v>WWB C.SOL_WIN_BAL_WASREN_NEW</v>
      </c>
      <c r="R138" t="str">
        <f t="shared" si="98"/>
        <v>WWB C</v>
      </c>
      <c r="S138" t="s">
        <v>320</v>
      </c>
      <c r="T138" s="130" t="s">
        <v>355</v>
      </c>
      <c r="U138">
        <f t="shared" si="90"/>
        <v>154.68620403649433</v>
      </c>
      <c r="V138">
        <f t="shared" si="91"/>
        <v>397.98175283384018</v>
      </c>
      <c r="W138">
        <f t="shared" si="92"/>
        <v>818.21951893834671</v>
      </c>
      <c r="X138">
        <f t="shared" si="93"/>
        <v>1437.65551562068</v>
      </c>
      <c r="Y138">
        <f t="shared" si="94"/>
        <v>2963.7821398949404</v>
      </c>
      <c r="Z138">
        <f t="shared" si="95"/>
        <v>3826.3754492673488</v>
      </c>
      <c r="AA138">
        <f t="shared" si="96"/>
        <v>5042.8531932540782</v>
      </c>
      <c r="AB138">
        <f t="shared" si="97"/>
        <v>5993.917611280066</v>
      </c>
      <c r="AC138" s="130" t="s">
        <v>355</v>
      </c>
      <c r="AD138">
        <v>638667</v>
      </c>
      <c r="AE138">
        <v>650827</v>
      </c>
      <c r="AF138">
        <v>647467</v>
      </c>
      <c r="AG138">
        <v>645067</v>
      </c>
      <c r="AH138">
        <v>641067</v>
      </c>
      <c r="AI138">
        <v>646187</v>
      </c>
      <c r="AJ138">
        <v>653707</v>
      </c>
      <c r="AK138">
        <v>661227</v>
      </c>
    </row>
    <row r="139" spans="2:37">
      <c r="B139" t="str">
        <f t="shared" si="46"/>
        <v>HYD_TOT</v>
      </c>
      <c r="C139" t="str">
        <f t="shared" si="47"/>
        <v>WWB C</v>
      </c>
      <c r="D139">
        <f t="shared" si="48"/>
        <v>2020</v>
      </c>
      <c r="E139">
        <f t="shared" si="49"/>
        <v>13779.375172795135</v>
      </c>
      <c r="F139">
        <f t="shared" si="50"/>
        <v>2</v>
      </c>
      <c r="H139">
        <f t="shared" si="52"/>
        <v>1</v>
      </c>
      <c r="I139">
        <f t="shared" si="53"/>
        <v>7</v>
      </c>
      <c r="J139">
        <f t="shared" si="54"/>
        <v>2</v>
      </c>
      <c r="K139" t="str">
        <f t="shared" si="51"/>
        <v>WWB C.HYD_TOT</v>
      </c>
      <c r="Q139" t="str">
        <f t="shared" si="89"/>
        <v>WWB C.FSS_ELC_NEW</v>
      </c>
      <c r="R139" t="str">
        <f t="shared" si="98"/>
        <v>WWB C</v>
      </c>
      <c r="S139" t="s">
        <v>313</v>
      </c>
      <c r="T139" s="130" t="s">
        <v>356</v>
      </c>
      <c r="U139">
        <f t="shared" si="90"/>
        <v>0</v>
      </c>
      <c r="V139">
        <f t="shared" si="91"/>
        <v>575.0622062482721</v>
      </c>
      <c r="W139">
        <f t="shared" si="92"/>
        <v>1592.4799557644458</v>
      </c>
      <c r="X139">
        <f t="shared" si="93"/>
        <v>2233.8954935029028</v>
      </c>
      <c r="Y139">
        <f t="shared" si="94"/>
        <v>4401.4376555156205</v>
      </c>
      <c r="Z139">
        <f t="shared" si="95"/>
        <v>4401.4376555156205</v>
      </c>
      <c r="AA139">
        <f t="shared" si="96"/>
        <v>4401.5758916228915</v>
      </c>
      <c r="AB139">
        <f t="shared" si="97"/>
        <v>4401.4376555156205</v>
      </c>
      <c r="AC139" s="130" t="s">
        <v>356</v>
      </c>
      <c r="AD139">
        <f>AD138</f>
        <v>638667</v>
      </c>
      <c r="AE139">
        <v>654987</v>
      </c>
      <c r="AF139">
        <v>658987</v>
      </c>
      <c r="AG139">
        <v>661227</v>
      </c>
      <c r="AH139">
        <v>672907</v>
      </c>
      <c r="AI139">
        <v>678027</v>
      </c>
      <c r="AJ139">
        <v>685548</v>
      </c>
      <c r="AK139">
        <v>693067</v>
      </c>
    </row>
    <row r="140" spans="2:37">
      <c r="B140" t="str">
        <f t="shared" si="46"/>
        <v>HYD_TOT_NEW</v>
      </c>
      <c r="C140" t="str">
        <f t="shared" si="47"/>
        <v>WWB C</v>
      </c>
      <c r="D140">
        <f t="shared" si="48"/>
        <v>2020</v>
      </c>
      <c r="E140">
        <f t="shared" si="49"/>
        <v>3671.6892452308543</v>
      </c>
      <c r="F140">
        <f t="shared" si="50"/>
        <v>2</v>
      </c>
      <c r="H140">
        <f t="shared" si="52"/>
        <v>2</v>
      </c>
      <c r="I140">
        <f t="shared" si="53"/>
        <v>7</v>
      </c>
      <c r="J140">
        <f t="shared" si="54"/>
        <v>2</v>
      </c>
      <c r="K140" t="str">
        <f t="shared" si="51"/>
        <v>WWB C.HYD_TOT_NEW</v>
      </c>
    </row>
    <row r="141" spans="2:37">
      <c r="B141" t="str">
        <f t="shared" ref="B141:B204" si="100">INDEX(H$3:H$11,H141)</f>
        <v>NUC_ELC</v>
      </c>
      <c r="C141" t="str">
        <f t="shared" ref="C141:C204" si="101">INDEX(I$3:I$11,I141)</f>
        <v>WWB C</v>
      </c>
      <c r="D141">
        <f t="shared" ref="D141:D204" si="102">INDEX(J$3:J$11,J141)</f>
        <v>2020</v>
      </c>
      <c r="E141">
        <f t="shared" ref="E141:E204" si="103">INDEX($U$28:$AB$156,MATCH(K141,$Q$28:$Q$156,0),MATCH(D141,$U$26:$AB$26,0))</f>
        <v>2875.3110312413601</v>
      </c>
      <c r="F141">
        <f t="shared" ref="F141:F204" si="104">MATCH(D141,$U$26:$AB$26,0)</f>
        <v>2</v>
      </c>
      <c r="H141">
        <f t="shared" si="52"/>
        <v>3</v>
      </c>
      <c r="I141">
        <f t="shared" si="53"/>
        <v>7</v>
      </c>
      <c r="J141">
        <f t="shared" si="54"/>
        <v>2</v>
      </c>
      <c r="K141" t="str">
        <f t="shared" ref="K141:K204" si="105">C141&amp;"."&amp;B141</f>
        <v>WWB C.NUC_ELC</v>
      </c>
    </row>
    <row r="142" spans="2:37">
      <c r="B142" t="str">
        <f t="shared" si="100"/>
        <v>FSS_ELC</v>
      </c>
      <c r="C142" t="str">
        <f t="shared" si="101"/>
        <v>WWB C</v>
      </c>
      <c r="D142">
        <f t="shared" si="102"/>
        <v>2020</v>
      </c>
      <c r="E142">
        <f t="shared" si="103"/>
        <v>0</v>
      </c>
      <c r="F142">
        <f t="shared" si="104"/>
        <v>2</v>
      </c>
      <c r="H142">
        <f t="shared" ref="H142:H205" si="106">IF(H141=COUNTA($H$3:$H$11),1,H141+1)</f>
        <v>4</v>
      </c>
      <c r="I142">
        <f t="shared" ref="I142:I205" si="107">IF(H142=1,IF(I141=COUNTA($I$3:$I$11),1,I141+1),I141)</f>
        <v>7</v>
      </c>
      <c r="J142">
        <f t="shared" ref="J142:J205" si="108">IF(AND(I142=1,I141&gt;1),IF(J141=$J$2,1,J141+1),J141)</f>
        <v>2</v>
      </c>
      <c r="K142" t="str">
        <f t="shared" si="105"/>
        <v>WWB C.FSS_ELC</v>
      </c>
      <c r="AC142">
        <v>40000</v>
      </c>
      <c r="AD142">
        <v>774427</v>
      </c>
      <c r="AE142">
        <v>774427</v>
      </c>
      <c r="AF142">
        <v>774427</v>
      </c>
      <c r="AG142">
        <v>774427</v>
      </c>
      <c r="AH142">
        <v>774427</v>
      </c>
      <c r="AI142">
        <v>774427</v>
      </c>
      <c r="AJ142">
        <v>774427</v>
      </c>
      <c r="AK142">
        <v>774427</v>
      </c>
    </row>
    <row r="143" spans="2:37">
      <c r="B143" t="str">
        <f t="shared" si="100"/>
        <v>FSS_CHP</v>
      </c>
      <c r="C143" t="str">
        <f t="shared" si="101"/>
        <v>WWB C</v>
      </c>
      <c r="D143">
        <f t="shared" si="102"/>
        <v>2020</v>
      </c>
      <c r="E143">
        <f t="shared" si="103"/>
        <v>243.15731269007466</v>
      </c>
      <c r="F143">
        <f t="shared" si="104"/>
        <v>2</v>
      </c>
      <c r="H143">
        <f t="shared" si="106"/>
        <v>5</v>
      </c>
      <c r="I143">
        <f t="shared" si="107"/>
        <v>7</v>
      </c>
      <c r="J143">
        <f t="shared" si="108"/>
        <v>2</v>
      </c>
      <c r="K143" t="str">
        <f t="shared" si="105"/>
        <v>WWB C.FSS_CHP</v>
      </c>
    </row>
    <row r="144" spans="2:37">
      <c r="B144" t="str">
        <f t="shared" si="100"/>
        <v>SOL_WIN_BAL_WASREN</v>
      </c>
      <c r="C144" t="str">
        <f t="shared" si="101"/>
        <v>WWB C</v>
      </c>
      <c r="D144">
        <f t="shared" si="102"/>
        <v>2020</v>
      </c>
      <c r="E144">
        <f t="shared" si="103"/>
        <v>154.68620403649433</v>
      </c>
      <c r="F144">
        <f t="shared" si="104"/>
        <v>2</v>
      </c>
      <c r="H144">
        <f t="shared" si="106"/>
        <v>6</v>
      </c>
      <c r="I144">
        <f t="shared" si="107"/>
        <v>7</v>
      </c>
      <c r="J144">
        <f t="shared" si="108"/>
        <v>2</v>
      </c>
      <c r="K144" t="str">
        <f t="shared" si="105"/>
        <v>WWB C.SOL_WIN_BAL_WASREN</v>
      </c>
      <c r="U144" t="s">
        <v>311</v>
      </c>
      <c r="V144" t="str">
        <f>INDEX($U$13:$U$20,MATCH(U144,$T$13:$T$20,0))</f>
        <v>Figure 7-61</v>
      </c>
    </row>
    <row r="145" spans="2:37">
      <c r="B145" t="str">
        <f t="shared" si="100"/>
        <v>FSS_CHP_NEW</v>
      </c>
      <c r="C145" t="str">
        <f t="shared" si="101"/>
        <v>WWB C</v>
      </c>
      <c r="D145">
        <f t="shared" si="102"/>
        <v>2020</v>
      </c>
      <c r="E145">
        <f t="shared" si="103"/>
        <v>398.25822504838266</v>
      </c>
      <c r="F145">
        <f t="shared" si="104"/>
        <v>2</v>
      </c>
      <c r="H145">
        <f t="shared" si="106"/>
        <v>7</v>
      </c>
      <c r="I145">
        <f t="shared" si="107"/>
        <v>7</v>
      </c>
      <c r="J145">
        <f t="shared" si="108"/>
        <v>2</v>
      </c>
      <c r="K145" t="str">
        <f t="shared" si="105"/>
        <v>WWB C.FSS_CHP_NEW</v>
      </c>
      <c r="U145">
        <v>2015</v>
      </c>
      <c r="V145">
        <v>2020</v>
      </c>
      <c r="W145">
        <v>2025</v>
      </c>
      <c r="X145">
        <v>2030</v>
      </c>
      <c r="Y145">
        <v>2035</v>
      </c>
      <c r="Z145">
        <v>2040</v>
      </c>
      <c r="AA145">
        <v>2045</v>
      </c>
      <c r="AB145">
        <v>2050</v>
      </c>
      <c r="AD145">
        <v>2015</v>
      </c>
      <c r="AE145">
        <v>2020</v>
      </c>
      <c r="AF145">
        <v>2025</v>
      </c>
      <c r="AG145">
        <v>2030</v>
      </c>
      <c r="AH145">
        <v>2035</v>
      </c>
      <c r="AI145">
        <v>2040</v>
      </c>
      <c r="AJ145">
        <v>2045</v>
      </c>
      <c r="AK145">
        <v>2050</v>
      </c>
    </row>
    <row r="146" spans="2:37">
      <c r="B146" t="str">
        <f t="shared" si="100"/>
        <v>SOL_WIN_BAL_WASREN_NEW</v>
      </c>
      <c r="C146" t="str">
        <f t="shared" si="101"/>
        <v>WWB C</v>
      </c>
      <c r="D146">
        <f t="shared" si="102"/>
        <v>2020</v>
      </c>
      <c r="E146">
        <f t="shared" si="103"/>
        <v>397.98175283384018</v>
      </c>
      <c r="F146">
        <f t="shared" si="104"/>
        <v>2</v>
      </c>
      <c r="H146">
        <f t="shared" si="106"/>
        <v>8</v>
      </c>
      <c r="I146">
        <f t="shared" si="107"/>
        <v>7</v>
      </c>
      <c r="J146">
        <f t="shared" si="108"/>
        <v>2</v>
      </c>
      <c r="K146" t="str">
        <f t="shared" si="105"/>
        <v>WWB C.SOL_WIN_BAL_WASREN_NEW</v>
      </c>
      <c r="AC146">
        <v>0</v>
      </c>
      <c r="AD146">
        <v>660427</v>
      </c>
      <c r="AE146">
        <v>660427</v>
      </c>
      <c r="AF146">
        <v>660427</v>
      </c>
      <c r="AG146">
        <v>660427</v>
      </c>
      <c r="AH146">
        <v>660427</v>
      </c>
      <c r="AI146">
        <v>660427</v>
      </c>
      <c r="AJ146">
        <v>660427</v>
      </c>
      <c r="AK146">
        <v>660427</v>
      </c>
    </row>
    <row r="147" spans="2:37">
      <c r="B147" t="str">
        <f t="shared" si="100"/>
        <v>FSS_ELC_NEW</v>
      </c>
      <c r="C147" t="str">
        <f t="shared" si="101"/>
        <v>WWB C</v>
      </c>
      <c r="D147">
        <f t="shared" si="102"/>
        <v>2020</v>
      </c>
      <c r="E147">
        <f t="shared" si="103"/>
        <v>575.0622062482721</v>
      </c>
      <c r="F147">
        <f t="shared" si="104"/>
        <v>2</v>
      </c>
      <c r="H147">
        <f t="shared" si="106"/>
        <v>9</v>
      </c>
      <c r="I147">
        <f t="shared" si="107"/>
        <v>7</v>
      </c>
      <c r="J147">
        <f t="shared" si="108"/>
        <v>2</v>
      </c>
      <c r="K147" t="str">
        <f t="shared" si="105"/>
        <v>WWB C.FSS_ELC_NEW</v>
      </c>
      <c r="Q147" t="str">
        <f t="shared" ref="Q147:Q156" si="109">R147&amp;"."&amp;S147</f>
        <v>WWB C&amp;E.HYD_TOT</v>
      </c>
      <c r="R147" t="str">
        <f>U144</f>
        <v>WWB C&amp;E</v>
      </c>
      <c r="S147" t="s">
        <v>145</v>
      </c>
      <c r="T147" s="130" t="s">
        <v>347</v>
      </c>
      <c r="U147">
        <f t="shared" ref="U147:U156" si="110">(AD147-AD146)*($AC$74-$AC$61)/(AD$74-AD$61)</f>
        <v>13757.395631739009</v>
      </c>
      <c r="V147">
        <f t="shared" ref="V147:V156" si="111">(AE147-AE146)*($AC$74-$AC$61)/(AE$74-AE$61)</f>
        <v>13757.395631739009</v>
      </c>
      <c r="W147">
        <f t="shared" ref="W147:W156" si="112">(AF147-AF146)*($AC$74-$AC$61)/(AF$74-AF$61)</f>
        <v>13757.395631739009</v>
      </c>
      <c r="X147">
        <f t="shared" ref="X147:X156" si="113">(AG147-AG146)*($AC$74-$AC$61)/(AG$74-AG$61)</f>
        <v>13757.395631739009</v>
      </c>
      <c r="Y147">
        <f t="shared" ref="Y147:Y156" si="114">(AH147-AH146)*($AC$74-$AC$61)/(AH$74-AH$61)</f>
        <v>13757.395631739009</v>
      </c>
      <c r="Z147">
        <f t="shared" ref="Z147:Z156" si="115">(AI147-AI146)*($AC$74-$AC$61)/(AI$74-AI$61)</f>
        <v>13757.395631739009</v>
      </c>
      <c r="AA147">
        <f t="shared" ref="AA147:AA156" si="116">(AJ147-AJ146)*($AC$74-$AC$61)/(AJ$74-AJ$61)</f>
        <v>13757.395631739009</v>
      </c>
      <c r="AB147">
        <f t="shared" ref="AB147:AB156" si="117">(AK147-AK146)*($AC$74-$AC$61)/(AK$74-AK$61)</f>
        <v>13757.395631739009</v>
      </c>
      <c r="AC147" s="130" t="s">
        <v>347</v>
      </c>
      <c r="AD147">
        <v>759948</v>
      </c>
      <c r="AE147">
        <v>759948</v>
      </c>
      <c r="AF147">
        <v>759948</v>
      </c>
      <c r="AG147">
        <v>759948</v>
      </c>
      <c r="AH147">
        <v>759948</v>
      </c>
      <c r="AI147">
        <v>759948</v>
      </c>
      <c r="AJ147">
        <v>759948</v>
      </c>
      <c r="AK147">
        <v>759948</v>
      </c>
    </row>
    <row r="148" spans="2:37">
      <c r="B148" t="str">
        <f t="shared" si="100"/>
        <v>HYD_TOT</v>
      </c>
      <c r="C148" t="str">
        <f t="shared" si="101"/>
        <v>WWB C&amp;E</v>
      </c>
      <c r="D148">
        <f t="shared" si="102"/>
        <v>2020</v>
      </c>
      <c r="E148">
        <f t="shared" si="103"/>
        <v>13757.395631739009</v>
      </c>
      <c r="F148">
        <f t="shared" si="104"/>
        <v>2</v>
      </c>
      <c r="H148">
        <f t="shared" si="106"/>
        <v>1</v>
      </c>
      <c r="I148">
        <f t="shared" si="107"/>
        <v>8</v>
      </c>
      <c r="J148">
        <f t="shared" si="108"/>
        <v>2</v>
      </c>
      <c r="K148" t="str">
        <f t="shared" si="105"/>
        <v>WWB C&amp;E.HYD_TOT</v>
      </c>
      <c r="Q148" t="str">
        <f t="shared" si="109"/>
        <v>WWB C&amp;E.HYD_TOT_NEW</v>
      </c>
      <c r="R148" t="str">
        <f t="shared" ref="R148:R156" si="118">R147</f>
        <v>WWB C&amp;E</v>
      </c>
      <c r="S148" t="s">
        <v>314</v>
      </c>
      <c r="T148" s="130" t="s">
        <v>348</v>
      </c>
      <c r="U148">
        <f t="shared" si="110"/>
        <v>1039.3972905722974</v>
      </c>
      <c r="V148">
        <f t="shared" si="111"/>
        <v>3760.0221177771632</v>
      </c>
      <c r="W148">
        <f t="shared" si="112"/>
        <v>3914.7083218136577</v>
      </c>
      <c r="X148">
        <f t="shared" si="113"/>
        <v>4003.179430467238</v>
      </c>
      <c r="Y148">
        <f t="shared" si="114"/>
        <v>4158.0038706110035</v>
      </c>
      <c r="Z148">
        <f t="shared" si="115"/>
        <v>4312.9665468620406</v>
      </c>
      <c r="AA148">
        <f t="shared" si="116"/>
        <v>4556.1238595521154</v>
      </c>
      <c r="AB148">
        <f t="shared" si="117"/>
        <v>4799.4194083494613</v>
      </c>
      <c r="AC148" s="130" t="s">
        <v>348</v>
      </c>
      <c r="AD148">
        <v>767467</v>
      </c>
      <c r="AE148">
        <v>787148</v>
      </c>
      <c r="AF148">
        <v>788267</v>
      </c>
      <c r="AG148">
        <v>788907</v>
      </c>
      <c r="AH148">
        <v>790027</v>
      </c>
      <c r="AI148">
        <v>791148</v>
      </c>
      <c r="AJ148">
        <v>792907</v>
      </c>
      <c r="AK148">
        <v>794667</v>
      </c>
    </row>
    <row r="149" spans="2:37">
      <c r="B149" t="str">
        <f t="shared" si="100"/>
        <v>HYD_TOT_NEW</v>
      </c>
      <c r="C149" t="str">
        <f t="shared" si="101"/>
        <v>WWB C&amp;E</v>
      </c>
      <c r="D149">
        <f t="shared" si="102"/>
        <v>2020</v>
      </c>
      <c r="E149">
        <f t="shared" si="103"/>
        <v>3760.0221177771632</v>
      </c>
      <c r="F149">
        <f t="shared" si="104"/>
        <v>2</v>
      </c>
      <c r="H149">
        <f t="shared" si="106"/>
        <v>2</v>
      </c>
      <c r="I149">
        <f t="shared" si="107"/>
        <v>8</v>
      </c>
      <c r="J149">
        <f t="shared" si="108"/>
        <v>2</v>
      </c>
      <c r="K149" t="str">
        <f t="shared" si="105"/>
        <v>WWB C&amp;E.HYD_TOT_NEW</v>
      </c>
      <c r="Q149" t="str">
        <f t="shared" si="109"/>
        <v>WWB C&amp;E.NUC_ELC</v>
      </c>
      <c r="R149" t="str">
        <f t="shared" si="118"/>
        <v>WWB C&amp;E</v>
      </c>
      <c r="S149" t="s">
        <v>95</v>
      </c>
      <c r="T149" s="130" t="s">
        <v>349</v>
      </c>
      <c r="U149">
        <f t="shared" si="110"/>
        <v>3273.569256289743</v>
      </c>
      <c r="V149">
        <f t="shared" si="111"/>
        <v>2875.3110312413601</v>
      </c>
      <c r="W149">
        <f t="shared" si="112"/>
        <v>2167.6803981199891</v>
      </c>
      <c r="X149">
        <f t="shared" si="113"/>
        <v>1194.4982029306054</v>
      </c>
      <c r="Y149">
        <f t="shared" si="114"/>
        <v>0</v>
      </c>
      <c r="Z149">
        <f t="shared" si="115"/>
        <v>0</v>
      </c>
      <c r="AA149">
        <f t="shared" si="116"/>
        <v>0</v>
      </c>
      <c r="AB149">
        <f t="shared" si="117"/>
        <v>0</v>
      </c>
      <c r="AC149" s="130" t="s">
        <v>349</v>
      </c>
      <c r="AD149">
        <v>791148</v>
      </c>
      <c r="AE149">
        <v>807948</v>
      </c>
      <c r="AF149">
        <v>803948</v>
      </c>
      <c r="AG149">
        <v>797548</v>
      </c>
      <c r="AH149">
        <f t="shared" ref="AH149:AK150" si="119">AH148</f>
        <v>790027</v>
      </c>
      <c r="AI149">
        <f t="shared" si="119"/>
        <v>791148</v>
      </c>
      <c r="AJ149">
        <f t="shared" si="119"/>
        <v>792907</v>
      </c>
      <c r="AK149">
        <f t="shared" si="119"/>
        <v>794667</v>
      </c>
    </row>
    <row r="150" spans="2:37">
      <c r="B150" t="str">
        <f t="shared" si="100"/>
        <v>NUC_ELC</v>
      </c>
      <c r="C150" t="str">
        <f t="shared" si="101"/>
        <v>WWB C&amp;E</v>
      </c>
      <c r="D150">
        <f t="shared" si="102"/>
        <v>2020</v>
      </c>
      <c r="E150">
        <f t="shared" si="103"/>
        <v>2875.3110312413601</v>
      </c>
      <c r="F150">
        <f t="shared" si="104"/>
        <v>2</v>
      </c>
      <c r="H150">
        <f t="shared" si="106"/>
        <v>3</v>
      </c>
      <c r="I150">
        <f t="shared" si="107"/>
        <v>8</v>
      </c>
      <c r="J150">
        <f t="shared" si="108"/>
        <v>2</v>
      </c>
      <c r="K150" t="str">
        <f t="shared" si="105"/>
        <v>WWB C&amp;E.NUC_ELC</v>
      </c>
      <c r="Q150" t="str">
        <f t="shared" si="109"/>
        <v>WWB C&amp;E.FSS_ELC</v>
      </c>
      <c r="R150" t="str">
        <f t="shared" si="118"/>
        <v>WWB C&amp;E</v>
      </c>
      <c r="S150" t="s">
        <v>300</v>
      </c>
      <c r="T150" s="130" t="s">
        <v>350</v>
      </c>
      <c r="U150">
        <f t="shared" si="110"/>
        <v>0</v>
      </c>
      <c r="V150">
        <f t="shared" si="111"/>
        <v>0</v>
      </c>
      <c r="W150">
        <f t="shared" si="112"/>
        <v>0</v>
      </c>
      <c r="X150">
        <f t="shared" si="113"/>
        <v>0</v>
      </c>
      <c r="Y150">
        <f t="shared" si="114"/>
        <v>0</v>
      </c>
      <c r="Z150">
        <f t="shared" si="115"/>
        <v>0</v>
      </c>
      <c r="AA150">
        <f t="shared" si="116"/>
        <v>0</v>
      </c>
      <c r="AB150">
        <f t="shared" si="117"/>
        <v>0</v>
      </c>
      <c r="AC150" s="130" t="s">
        <v>350</v>
      </c>
      <c r="AD150">
        <f>AD149</f>
        <v>791148</v>
      </c>
      <c r="AE150">
        <f>AE149</f>
        <v>807948</v>
      </c>
      <c r="AF150">
        <f>AF149</f>
        <v>803948</v>
      </c>
      <c r="AG150">
        <f>AG149</f>
        <v>797548</v>
      </c>
      <c r="AH150">
        <f t="shared" si="119"/>
        <v>790027</v>
      </c>
      <c r="AI150">
        <f t="shared" si="119"/>
        <v>791148</v>
      </c>
      <c r="AJ150">
        <f t="shared" si="119"/>
        <v>792907</v>
      </c>
      <c r="AK150">
        <f t="shared" si="119"/>
        <v>794667</v>
      </c>
    </row>
    <row r="151" spans="2:37">
      <c r="B151" t="str">
        <f t="shared" si="100"/>
        <v>FSS_ELC</v>
      </c>
      <c r="C151" t="str">
        <f t="shared" si="101"/>
        <v>WWB C&amp;E</v>
      </c>
      <c r="D151">
        <f t="shared" si="102"/>
        <v>2020</v>
      </c>
      <c r="E151">
        <f t="shared" si="103"/>
        <v>0</v>
      </c>
      <c r="F151">
        <f t="shared" si="104"/>
        <v>2</v>
      </c>
      <c r="H151">
        <f t="shared" si="106"/>
        <v>4</v>
      </c>
      <c r="I151">
        <f t="shared" si="107"/>
        <v>8</v>
      </c>
      <c r="J151">
        <f t="shared" si="108"/>
        <v>2</v>
      </c>
      <c r="K151" t="str">
        <f t="shared" si="105"/>
        <v>WWB C&amp;E.FSS_ELC</v>
      </c>
      <c r="Q151" t="str">
        <f t="shared" si="109"/>
        <v>WWB C&amp;E.FSS_CHP</v>
      </c>
      <c r="R151" t="str">
        <f t="shared" si="118"/>
        <v>WWB C&amp;E</v>
      </c>
      <c r="S151" t="s">
        <v>299</v>
      </c>
      <c r="T151" s="130" t="s">
        <v>351</v>
      </c>
      <c r="U151">
        <f t="shared" si="110"/>
        <v>309.51064418025987</v>
      </c>
      <c r="V151">
        <f t="shared" si="111"/>
        <v>309.51064418025987</v>
      </c>
      <c r="W151">
        <f t="shared" si="112"/>
        <v>154.68620403649433</v>
      </c>
      <c r="X151">
        <f t="shared" si="113"/>
        <v>66.215095382914015</v>
      </c>
      <c r="Y151">
        <f t="shared" si="114"/>
        <v>66.353331490185241</v>
      </c>
      <c r="Z151">
        <f t="shared" si="115"/>
        <v>0</v>
      </c>
      <c r="AA151">
        <f t="shared" si="116"/>
        <v>0</v>
      </c>
      <c r="AB151">
        <f t="shared" si="117"/>
        <v>0</v>
      </c>
      <c r="AC151" s="130" t="s">
        <v>351</v>
      </c>
      <c r="AD151">
        <v>793387</v>
      </c>
      <c r="AE151">
        <v>810187</v>
      </c>
      <c r="AF151">
        <v>805067</v>
      </c>
      <c r="AG151">
        <v>798027</v>
      </c>
      <c r="AH151">
        <v>790507</v>
      </c>
      <c r="AI151">
        <f>AI150</f>
        <v>791148</v>
      </c>
      <c r="AJ151">
        <f>AJ150</f>
        <v>792907</v>
      </c>
      <c r="AK151">
        <f>AK150</f>
        <v>794667</v>
      </c>
    </row>
    <row r="152" spans="2:37">
      <c r="B152" t="str">
        <f t="shared" si="100"/>
        <v>FSS_CHP</v>
      </c>
      <c r="C152" t="str">
        <f t="shared" si="101"/>
        <v>WWB C&amp;E</v>
      </c>
      <c r="D152">
        <f t="shared" si="102"/>
        <v>2020</v>
      </c>
      <c r="E152">
        <f t="shared" si="103"/>
        <v>309.51064418025987</v>
      </c>
      <c r="F152">
        <f t="shared" si="104"/>
        <v>2</v>
      </c>
      <c r="H152">
        <f t="shared" si="106"/>
        <v>5</v>
      </c>
      <c r="I152">
        <f t="shared" si="107"/>
        <v>8</v>
      </c>
      <c r="J152">
        <f t="shared" si="108"/>
        <v>2</v>
      </c>
      <c r="K152" t="str">
        <f t="shared" si="105"/>
        <v>WWB C&amp;E.FSS_CHP</v>
      </c>
      <c r="Q152" t="str">
        <f t="shared" si="109"/>
        <v>WWB C&amp;E.</v>
      </c>
      <c r="R152" t="str">
        <f t="shared" si="118"/>
        <v>WWB C&amp;E</v>
      </c>
      <c r="T152" s="130" t="s">
        <v>352</v>
      </c>
      <c r="U152">
        <f t="shared" si="110"/>
        <v>1249.6544097318219</v>
      </c>
      <c r="V152">
        <f t="shared" si="111"/>
        <v>1437.65551562068</v>
      </c>
      <c r="W152">
        <f t="shared" si="112"/>
        <v>1282.9693115841858</v>
      </c>
      <c r="X152">
        <f t="shared" si="113"/>
        <v>1282.8310754769145</v>
      </c>
      <c r="Y152">
        <f t="shared" si="114"/>
        <v>398.11998894111144</v>
      </c>
      <c r="Z152">
        <f t="shared" si="115"/>
        <v>154.68620403649433</v>
      </c>
      <c r="AA152">
        <f t="shared" si="116"/>
        <v>0</v>
      </c>
      <c r="AB152">
        <f t="shared" si="117"/>
        <v>0</v>
      </c>
      <c r="AC152" s="130" t="s">
        <v>352</v>
      </c>
      <c r="AD152">
        <v>802427</v>
      </c>
      <c r="AE152">
        <v>820587</v>
      </c>
      <c r="AF152">
        <v>814348</v>
      </c>
      <c r="AG152">
        <v>807307</v>
      </c>
      <c r="AH152">
        <v>793387</v>
      </c>
      <c r="AI152">
        <v>792267</v>
      </c>
      <c r="AJ152">
        <f>AJ151</f>
        <v>792907</v>
      </c>
      <c r="AK152">
        <f>AK151</f>
        <v>794667</v>
      </c>
    </row>
    <row r="153" spans="2:37">
      <c r="B153" t="str">
        <f t="shared" si="100"/>
        <v>SOL_WIN_BAL_WASREN</v>
      </c>
      <c r="C153" t="str">
        <f t="shared" si="101"/>
        <v>WWB C&amp;E</v>
      </c>
      <c r="D153">
        <f t="shared" si="102"/>
        <v>2020</v>
      </c>
      <c r="E153">
        <f t="shared" si="103"/>
        <v>243.43378490461708</v>
      </c>
      <c r="F153">
        <f t="shared" si="104"/>
        <v>2</v>
      </c>
      <c r="H153">
        <f t="shared" si="106"/>
        <v>6</v>
      </c>
      <c r="I153">
        <f t="shared" si="107"/>
        <v>8</v>
      </c>
      <c r="J153">
        <f t="shared" si="108"/>
        <v>2</v>
      </c>
      <c r="K153" t="str">
        <f t="shared" si="105"/>
        <v>WWB C&amp;E.SOL_WIN_BAL_WASREN</v>
      </c>
      <c r="Q153" t="str">
        <f t="shared" si="109"/>
        <v>WWB C&amp;E.SOL_WIN_BAL_WASREN</v>
      </c>
      <c r="R153" t="str">
        <f t="shared" si="118"/>
        <v>WWB C&amp;E</v>
      </c>
      <c r="S153" t="s">
        <v>318</v>
      </c>
      <c r="T153" s="130" t="s">
        <v>353</v>
      </c>
      <c r="U153">
        <f t="shared" si="110"/>
        <v>1470.8321813657728</v>
      </c>
      <c r="V153">
        <f t="shared" si="111"/>
        <v>243.43378490461708</v>
      </c>
      <c r="W153">
        <f t="shared" si="112"/>
        <v>154.68620403649433</v>
      </c>
      <c r="X153">
        <f t="shared" si="113"/>
        <v>154.82444014376554</v>
      </c>
      <c r="Y153">
        <f t="shared" si="114"/>
        <v>88.471108653580316</v>
      </c>
      <c r="Z153">
        <f t="shared" si="115"/>
        <v>88.471108653580316</v>
      </c>
      <c r="AA153">
        <f t="shared" si="116"/>
        <v>0</v>
      </c>
      <c r="AB153">
        <f t="shared" si="117"/>
        <v>0</v>
      </c>
      <c r="AC153" s="130" t="s">
        <v>353</v>
      </c>
      <c r="AD153">
        <v>813067</v>
      </c>
      <c r="AE153">
        <v>822348</v>
      </c>
      <c r="AF153">
        <v>815467</v>
      </c>
      <c r="AG153">
        <v>808427</v>
      </c>
      <c r="AH153">
        <v>794027</v>
      </c>
      <c r="AI153">
        <v>792907</v>
      </c>
      <c r="AJ153">
        <f>AJ152</f>
        <v>792907</v>
      </c>
      <c r="AK153">
        <f>AK152</f>
        <v>794667</v>
      </c>
    </row>
    <row r="154" spans="2:37">
      <c r="B154" t="str">
        <f t="shared" si="100"/>
        <v>FSS_CHP_NEW</v>
      </c>
      <c r="C154" t="str">
        <f t="shared" si="101"/>
        <v>WWB C&amp;E</v>
      </c>
      <c r="D154">
        <f t="shared" si="102"/>
        <v>2020</v>
      </c>
      <c r="E154">
        <f t="shared" si="103"/>
        <v>331.76665745092617</v>
      </c>
      <c r="F154">
        <f t="shared" si="104"/>
        <v>2</v>
      </c>
      <c r="H154">
        <f t="shared" si="106"/>
        <v>7</v>
      </c>
      <c r="I154">
        <f t="shared" si="107"/>
        <v>8</v>
      </c>
      <c r="J154">
        <f t="shared" si="108"/>
        <v>2</v>
      </c>
      <c r="K154" t="str">
        <f t="shared" si="105"/>
        <v>WWB C&amp;E.FSS_CHP_NEW</v>
      </c>
      <c r="Q154" t="str">
        <f t="shared" si="109"/>
        <v>WWB C&amp;E.FSS_CHP_NEW</v>
      </c>
      <c r="R154" t="str">
        <f t="shared" si="118"/>
        <v>WWB C&amp;E</v>
      </c>
      <c r="S154" t="s">
        <v>312</v>
      </c>
      <c r="T154" s="130" t="s">
        <v>354</v>
      </c>
      <c r="U154">
        <f t="shared" si="110"/>
        <v>177.08045341443184</v>
      </c>
      <c r="V154">
        <f t="shared" si="111"/>
        <v>331.76665745092617</v>
      </c>
      <c r="W154">
        <f t="shared" si="112"/>
        <v>486.59109759469175</v>
      </c>
      <c r="X154">
        <f t="shared" si="113"/>
        <v>575.0622062482721</v>
      </c>
      <c r="Y154">
        <f t="shared" si="114"/>
        <v>552.94442908487702</v>
      </c>
      <c r="Z154">
        <f t="shared" si="115"/>
        <v>641.55377384572853</v>
      </c>
      <c r="AA154">
        <f t="shared" si="116"/>
        <v>707.76886922864253</v>
      </c>
      <c r="AB154">
        <f t="shared" si="117"/>
        <v>707.76886922864253</v>
      </c>
      <c r="AC154" s="130" t="s">
        <v>354</v>
      </c>
      <c r="AD154">
        <v>814348</v>
      </c>
      <c r="AE154">
        <v>824748</v>
      </c>
      <c r="AF154">
        <v>818987</v>
      </c>
      <c r="AG154">
        <v>812587</v>
      </c>
      <c r="AH154">
        <v>798027</v>
      </c>
      <c r="AI154">
        <v>797548</v>
      </c>
      <c r="AJ154">
        <v>798027</v>
      </c>
      <c r="AK154">
        <v>799787</v>
      </c>
    </row>
    <row r="155" spans="2:37">
      <c r="B155" t="str">
        <f t="shared" si="100"/>
        <v>SOL_WIN_BAL_WASREN_NEW</v>
      </c>
      <c r="C155" t="str">
        <f t="shared" si="101"/>
        <v>WWB C&amp;E</v>
      </c>
      <c r="D155">
        <f t="shared" si="102"/>
        <v>2020</v>
      </c>
      <c r="E155">
        <f t="shared" si="103"/>
        <v>1105.888858169754</v>
      </c>
      <c r="F155">
        <f t="shared" si="104"/>
        <v>2</v>
      </c>
      <c r="H155">
        <f t="shared" si="106"/>
        <v>8</v>
      </c>
      <c r="I155">
        <f t="shared" si="107"/>
        <v>8</v>
      </c>
      <c r="J155">
        <f t="shared" si="108"/>
        <v>2</v>
      </c>
      <c r="K155" t="str">
        <f t="shared" si="105"/>
        <v>WWB C&amp;E.SOL_WIN_BAL_WASREN_NEW</v>
      </c>
      <c r="Q155" t="str">
        <f t="shared" si="109"/>
        <v>WWB C&amp;E.SOL_WIN_BAL_WASREN_NEW</v>
      </c>
      <c r="R155" t="str">
        <f t="shared" si="118"/>
        <v>WWB C&amp;E</v>
      </c>
      <c r="S155" t="s">
        <v>320</v>
      </c>
      <c r="T155" s="130" t="s">
        <v>355</v>
      </c>
      <c r="U155">
        <f t="shared" si="110"/>
        <v>464.33508432402544</v>
      </c>
      <c r="V155">
        <f t="shared" si="111"/>
        <v>1105.888858169754</v>
      </c>
      <c r="W155">
        <f t="shared" si="112"/>
        <v>1990.5999447055572</v>
      </c>
      <c r="X155">
        <f t="shared" si="113"/>
        <v>3361.9021288360518</v>
      </c>
      <c r="Y155">
        <f t="shared" si="114"/>
        <v>5772.7398396461158</v>
      </c>
      <c r="Z155">
        <f t="shared" si="115"/>
        <v>8139.2037600221174</v>
      </c>
      <c r="AA155">
        <f t="shared" si="116"/>
        <v>10727.121924246614</v>
      </c>
      <c r="AB155">
        <f t="shared" si="117"/>
        <v>12717.721868952171</v>
      </c>
      <c r="AC155" s="130" t="s">
        <v>355</v>
      </c>
      <c r="AD155">
        <v>817707</v>
      </c>
      <c r="AE155">
        <v>832748</v>
      </c>
      <c r="AF155">
        <v>833387</v>
      </c>
      <c r="AG155">
        <v>836907</v>
      </c>
      <c r="AH155">
        <v>839787</v>
      </c>
      <c r="AI155">
        <v>856427</v>
      </c>
      <c r="AJ155">
        <v>875627</v>
      </c>
      <c r="AK155">
        <v>891787</v>
      </c>
    </row>
    <row r="156" spans="2:37">
      <c r="B156" t="str">
        <f t="shared" si="100"/>
        <v>FSS_ELC_NEW</v>
      </c>
      <c r="C156" t="str">
        <f t="shared" si="101"/>
        <v>WWB C&amp;E</v>
      </c>
      <c r="D156">
        <f t="shared" si="102"/>
        <v>2020</v>
      </c>
      <c r="E156">
        <f t="shared" si="103"/>
        <v>574.92397014100084</v>
      </c>
      <c r="F156">
        <f t="shared" si="104"/>
        <v>2</v>
      </c>
      <c r="H156">
        <f t="shared" si="106"/>
        <v>9</v>
      </c>
      <c r="I156">
        <f t="shared" si="107"/>
        <v>8</v>
      </c>
      <c r="J156">
        <f t="shared" si="108"/>
        <v>2</v>
      </c>
      <c r="K156" t="str">
        <f t="shared" si="105"/>
        <v>WWB C&amp;E.FSS_ELC_NEW</v>
      </c>
      <c r="Q156" t="str">
        <f t="shared" si="109"/>
        <v>WWB C&amp;E.FSS_ELC_NEW</v>
      </c>
      <c r="R156" t="str">
        <f t="shared" si="118"/>
        <v>WWB C&amp;E</v>
      </c>
      <c r="S156" t="s">
        <v>313</v>
      </c>
      <c r="T156" s="130" t="s">
        <v>356</v>
      </c>
      <c r="U156">
        <f t="shared" si="110"/>
        <v>0</v>
      </c>
      <c r="V156">
        <f t="shared" si="111"/>
        <v>574.92397014100084</v>
      </c>
      <c r="W156">
        <f t="shared" si="112"/>
        <v>1105.888858169754</v>
      </c>
      <c r="X156">
        <f t="shared" si="113"/>
        <v>1592.4799557644458</v>
      </c>
      <c r="Y156">
        <f t="shared" si="114"/>
        <v>3273.4310201824715</v>
      </c>
      <c r="Z156">
        <f t="shared" si="115"/>
        <v>3362.0403649433233</v>
      </c>
      <c r="AA156">
        <f t="shared" si="116"/>
        <v>3362.0403649433233</v>
      </c>
      <c r="AB156">
        <f t="shared" si="117"/>
        <v>2720.4865910975946</v>
      </c>
      <c r="AC156" s="130" t="s">
        <v>356</v>
      </c>
      <c r="AD156">
        <f>AD155</f>
        <v>817707</v>
      </c>
      <c r="AE156">
        <v>836907</v>
      </c>
      <c r="AF156">
        <v>841387</v>
      </c>
      <c r="AG156">
        <v>848427</v>
      </c>
      <c r="AH156">
        <v>863467</v>
      </c>
      <c r="AI156">
        <v>880748</v>
      </c>
      <c r="AJ156">
        <v>899948</v>
      </c>
      <c r="AK156">
        <v>911467</v>
      </c>
    </row>
    <row r="157" spans="2:37">
      <c r="B157" t="str">
        <f t="shared" si="100"/>
        <v>HYD_TOT</v>
      </c>
      <c r="C157" t="str">
        <f t="shared" si="101"/>
        <v>POM C</v>
      </c>
      <c r="D157">
        <f t="shared" si="102"/>
        <v>2025</v>
      </c>
      <c r="E157">
        <f t="shared" si="103"/>
        <v>13709.231619679382</v>
      </c>
      <c r="F157">
        <f t="shared" si="104"/>
        <v>3</v>
      </c>
      <c r="H157">
        <f t="shared" si="106"/>
        <v>1</v>
      </c>
      <c r="I157">
        <f t="shared" si="107"/>
        <v>1</v>
      </c>
      <c r="J157">
        <f t="shared" si="108"/>
        <v>3</v>
      </c>
      <c r="K157" t="str">
        <f t="shared" si="105"/>
        <v>POM C.HYD_TOT</v>
      </c>
    </row>
    <row r="158" spans="2:37">
      <c r="B158" t="str">
        <f t="shared" si="100"/>
        <v>HYD_TOT_NEW</v>
      </c>
      <c r="C158" t="str">
        <f t="shared" si="101"/>
        <v>POM C</v>
      </c>
      <c r="D158">
        <f t="shared" si="102"/>
        <v>2025</v>
      </c>
      <c r="E158">
        <f t="shared" si="103"/>
        <v>3670.6744057490328</v>
      </c>
      <c r="F158">
        <f t="shared" si="104"/>
        <v>3</v>
      </c>
      <c r="H158">
        <f t="shared" si="106"/>
        <v>2</v>
      </c>
      <c r="I158">
        <f t="shared" si="107"/>
        <v>1</v>
      </c>
      <c r="J158">
        <f t="shared" si="108"/>
        <v>3</v>
      </c>
      <c r="K158" t="str">
        <f t="shared" si="105"/>
        <v>POM C.HYD_TOT_NEW</v>
      </c>
    </row>
    <row r="159" spans="2:37">
      <c r="B159" t="str">
        <f t="shared" si="100"/>
        <v>NUC_ELC</v>
      </c>
      <c r="C159" t="str">
        <f t="shared" si="101"/>
        <v>POM C</v>
      </c>
      <c r="D159">
        <f t="shared" si="102"/>
        <v>2025</v>
      </c>
      <c r="E159">
        <f t="shared" si="103"/>
        <v>2166.8048645660588</v>
      </c>
      <c r="F159">
        <f t="shared" si="104"/>
        <v>3</v>
      </c>
      <c r="H159">
        <f t="shared" si="106"/>
        <v>3</v>
      </c>
      <c r="I159">
        <f t="shared" si="107"/>
        <v>1</v>
      </c>
      <c r="J159">
        <f t="shared" si="108"/>
        <v>3</v>
      </c>
      <c r="K159" t="str">
        <f t="shared" si="105"/>
        <v>POM C.NUC_ELC</v>
      </c>
      <c r="AC159">
        <v>40000</v>
      </c>
      <c r="AD159">
        <v>950507</v>
      </c>
      <c r="AE159">
        <v>950507</v>
      </c>
      <c r="AF159">
        <v>950507</v>
      </c>
      <c r="AG159">
        <v>950507</v>
      </c>
      <c r="AH159">
        <v>950507</v>
      </c>
      <c r="AI159">
        <v>950507</v>
      </c>
      <c r="AJ159">
        <v>950507</v>
      </c>
      <c r="AK159">
        <v>950507</v>
      </c>
    </row>
    <row r="160" spans="2:37">
      <c r="B160" t="str">
        <f t="shared" si="100"/>
        <v>FSS_ELC</v>
      </c>
      <c r="C160" t="str">
        <f t="shared" si="101"/>
        <v>POM C</v>
      </c>
      <c r="D160">
        <f t="shared" si="102"/>
        <v>2025</v>
      </c>
      <c r="E160">
        <f t="shared" si="103"/>
        <v>0</v>
      </c>
      <c r="F160">
        <f t="shared" si="104"/>
        <v>3</v>
      </c>
      <c r="H160">
        <f t="shared" si="106"/>
        <v>4</v>
      </c>
      <c r="I160">
        <f t="shared" si="107"/>
        <v>1</v>
      </c>
      <c r="J160">
        <f t="shared" si="108"/>
        <v>3</v>
      </c>
      <c r="K160" t="str">
        <f t="shared" si="105"/>
        <v>POM C.FSS_ELC</v>
      </c>
    </row>
    <row r="161" spans="2:11">
      <c r="B161" t="str">
        <f t="shared" si="100"/>
        <v>FSS_CHP</v>
      </c>
      <c r="C161" t="str">
        <f t="shared" si="101"/>
        <v>POM C</v>
      </c>
      <c r="D161">
        <f t="shared" si="102"/>
        <v>2025</v>
      </c>
      <c r="E161">
        <f t="shared" si="103"/>
        <v>154.91984521835269</v>
      </c>
      <c r="F161">
        <f t="shared" si="104"/>
        <v>3</v>
      </c>
      <c r="H161">
        <f t="shared" si="106"/>
        <v>5</v>
      </c>
      <c r="I161">
        <f t="shared" si="107"/>
        <v>1</v>
      </c>
      <c r="J161">
        <f t="shared" si="108"/>
        <v>3</v>
      </c>
      <c r="K161" t="str">
        <f t="shared" si="105"/>
        <v>POM C.FSS_CHP</v>
      </c>
    </row>
    <row r="162" spans="2:11">
      <c r="B162" t="str">
        <f t="shared" si="100"/>
        <v>SOL_WIN_BAL_WASREN</v>
      </c>
      <c r="C162" t="str">
        <f t="shared" si="101"/>
        <v>POM C</v>
      </c>
      <c r="D162">
        <f t="shared" si="102"/>
        <v>2025</v>
      </c>
      <c r="E162">
        <f t="shared" si="103"/>
        <v>221.11663902708679</v>
      </c>
      <c r="F162">
        <f t="shared" si="104"/>
        <v>3</v>
      </c>
      <c r="H162">
        <f t="shared" si="106"/>
        <v>6</v>
      </c>
      <c r="I162">
        <f t="shared" si="107"/>
        <v>1</v>
      </c>
      <c r="J162">
        <f t="shared" si="108"/>
        <v>3</v>
      </c>
      <c r="K162" t="str">
        <f t="shared" si="105"/>
        <v>POM C.SOL_WIN_BAL_WASREN</v>
      </c>
    </row>
    <row r="163" spans="2:11">
      <c r="B163" t="str">
        <f t="shared" si="100"/>
        <v>FSS_CHP_NEW</v>
      </c>
      <c r="C163" t="str">
        <f t="shared" si="101"/>
        <v>POM C</v>
      </c>
      <c r="D163">
        <f t="shared" si="102"/>
        <v>2025</v>
      </c>
      <c r="E163">
        <f t="shared" si="103"/>
        <v>486.59480375898289</v>
      </c>
      <c r="F163">
        <f t="shared" si="104"/>
        <v>3</v>
      </c>
      <c r="H163">
        <f t="shared" si="106"/>
        <v>7</v>
      </c>
      <c r="I163">
        <f t="shared" si="107"/>
        <v>1</v>
      </c>
      <c r="J163">
        <f t="shared" si="108"/>
        <v>3</v>
      </c>
      <c r="K163" t="str">
        <f t="shared" si="105"/>
        <v>POM C.FSS_CHP_NEW</v>
      </c>
    </row>
    <row r="164" spans="2:11">
      <c r="B164" t="str">
        <f t="shared" si="100"/>
        <v>SOL_WIN_BAL_WASREN_NEW</v>
      </c>
      <c r="C164" t="str">
        <f t="shared" si="101"/>
        <v>POM C</v>
      </c>
      <c r="D164">
        <f t="shared" si="102"/>
        <v>2025</v>
      </c>
      <c r="E164">
        <f t="shared" si="103"/>
        <v>795.88170259812046</v>
      </c>
      <c r="F164">
        <f t="shared" si="104"/>
        <v>3</v>
      </c>
      <c r="H164">
        <f t="shared" si="106"/>
        <v>8</v>
      </c>
      <c r="I164">
        <f t="shared" si="107"/>
        <v>1</v>
      </c>
      <c r="J164">
        <f t="shared" si="108"/>
        <v>3</v>
      </c>
      <c r="K164" t="str">
        <f t="shared" si="105"/>
        <v>POM C.SOL_WIN_BAL_WASREN_NEW</v>
      </c>
    </row>
    <row r="165" spans="2:11">
      <c r="B165" t="str">
        <f t="shared" si="100"/>
        <v>FSS_ELC_NEW</v>
      </c>
      <c r="C165" t="str">
        <f t="shared" si="101"/>
        <v>POM C</v>
      </c>
      <c r="D165">
        <f t="shared" si="102"/>
        <v>2025</v>
      </c>
      <c r="E165">
        <f t="shared" si="103"/>
        <v>1127.6948590381426</v>
      </c>
      <c r="F165">
        <f t="shared" si="104"/>
        <v>3</v>
      </c>
      <c r="H165">
        <f t="shared" si="106"/>
        <v>9</v>
      </c>
      <c r="I165">
        <f t="shared" si="107"/>
        <v>1</v>
      </c>
      <c r="J165">
        <f t="shared" si="108"/>
        <v>3</v>
      </c>
      <c r="K165" t="str">
        <f t="shared" si="105"/>
        <v>POM C.FSS_ELC_NEW</v>
      </c>
    </row>
    <row r="166" spans="2:11">
      <c r="B166" t="str">
        <f t="shared" si="100"/>
        <v>HYD_TOT</v>
      </c>
      <c r="C166" t="str">
        <f t="shared" si="101"/>
        <v>POM C&amp;E</v>
      </c>
      <c r="D166">
        <f t="shared" si="102"/>
        <v>2025</v>
      </c>
      <c r="E166">
        <f t="shared" si="103"/>
        <v>13731.343283582089</v>
      </c>
      <c r="F166">
        <f t="shared" si="104"/>
        <v>3</v>
      </c>
      <c r="H166">
        <f t="shared" si="106"/>
        <v>1</v>
      </c>
      <c r="I166">
        <f t="shared" si="107"/>
        <v>2</v>
      </c>
      <c r="J166">
        <f t="shared" si="108"/>
        <v>3</v>
      </c>
      <c r="K166" t="str">
        <f t="shared" si="105"/>
        <v>POM C&amp;E.HYD_TOT</v>
      </c>
    </row>
    <row r="167" spans="2:11">
      <c r="B167" t="str">
        <f t="shared" si="100"/>
        <v>HYD_TOT_NEW</v>
      </c>
      <c r="C167" t="str">
        <f t="shared" si="101"/>
        <v>POM C&amp;E</v>
      </c>
      <c r="D167">
        <f t="shared" si="102"/>
        <v>2025</v>
      </c>
      <c r="E167">
        <f t="shared" si="103"/>
        <v>3891.6528468767274</v>
      </c>
      <c r="F167">
        <f t="shared" si="104"/>
        <v>3</v>
      </c>
      <c r="H167">
        <f t="shared" si="106"/>
        <v>2</v>
      </c>
      <c r="I167">
        <f t="shared" si="107"/>
        <v>2</v>
      </c>
      <c r="J167">
        <f t="shared" si="108"/>
        <v>3</v>
      </c>
      <c r="K167" t="str">
        <f t="shared" si="105"/>
        <v>POM C&amp;E.HYD_TOT_NEW</v>
      </c>
    </row>
    <row r="168" spans="2:11">
      <c r="B168" t="str">
        <f t="shared" si="100"/>
        <v>NUC_ELC</v>
      </c>
      <c r="C168" t="str">
        <f t="shared" si="101"/>
        <v>POM C&amp;E</v>
      </c>
      <c r="D168">
        <f t="shared" si="102"/>
        <v>2025</v>
      </c>
      <c r="E168">
        <f t="shared" si="103"/>
        <v>2166.9430624654506</v>
      </c>
      <c r="F168">
        <f t="shared" si="104"/>
        <v>3</v>
      </c>
      <c r="H168">
        <f t="shared" si="106"/>
        <v>3</v>
      </c>
      <c r="I168">
        <f t="shared" si="107"/>
        <v>2</v>
      </c>
      <c r="J168">
        <f t="shared" si="108"/>
        <v>3</v>
      </c>
      <c r="K168" t="str">
        <f t="shared" si="105"/>
        <v>POM C&amp;E.NUC_ELC</v>
      </c>
    </row>
    <row r="169" spans="2:11">
      <c r="B169" t="str">
        <f t="shared" si="100"/>
        <v>FSS_ELC</v>
      </c>
      <c r="C169" t="str">
        <f t="shared" si="101"/>
        <v>POM C&amp;E</v>
      </c>
      <c r="D169">
        <f t="shared" si="102"/>
        <v>2025</v>
      </c>
      <c r="E169">
        <f t="shared" si="103"/>
        <v>0</v>
      </c>
      <c r="F169">
        <f t="shared" si="104"/>
        <v>3</v>
      </c>
      <c r="H169">
        <f t="shared" si="106"/>
        <v>4</v>
      </c>
      <c r="I169">
        <f t="shared" si="107"/>
        <v>2</v>
      </c>
      <c r="J169">
        <f t="shared" si="108"/>
        <v>3</v>
      </c>
      <c r="K169" t="str">
        <f t="shared" si="105"/>
        <v>POM C&amp;E.FSS_ELC</v>
      </c>
    </row>
    <row r="170" spans="2:11">
      <c r="B170" t="str">
        <f t="shared" si="100"/>
        <v>FSS_CHP</v>
      </c>
      <c r="C170" t="str">
        <f t="shared" si="101"/>
        <v>POM C&amp;E</v>
      </c>
      <c r="D170">
        <f t="shared" si="102"/>
        <v>2025</v>
      </c>
      <c r="E170">
        <f t="shared" si="103"/>
        <v>154.64344941956881</v>
      </c>
      <c r="F170">
        <f t="shared" si="104"/>
        <v>3</v>
      </c>
      <c r="H170">
        <f t="shared" si="106"/>
        <v>5</v>
      </c>
      <c r="I170">
        <f t="shared" si="107"/>
        <v>2</v>
      </c>
      <c r="J170">
        <f t="shared" si="108"/>
        <v>3</v>
      </c>
      <c r="K170" t="str">
        <f t="shared" si="105"/>
        <v>POM C&amp;E.FSS_CHP</v>
      </c>
    </row>
    <row r="171" spans="2:11">
      <c r="B171" t="str">
        <f t="shared" si="100"/>
        <v>SOL_WIN_BAL_WASREN</v>
      </c>
      <c r="C171" t="str">
        <f t="shared" si="101"/>
        <v>POM C&amp;E</v>
      </c>
      <c r="D171">
        <f t="shared" si="102"/>
        <v>2025</v>
      </c>
      <c r="E171">
        <f t="shared" si="103"/>
        <v>154.78164731896075</v>
      </c>
      <c r="F171">
        <f t="shared" si="104"/>
        <v>3</v>
      </c>
      <c r="H171">
        <f t="shared" si="106"/>
        <v>6</v>
      </c>
      <c r="I171">
        <f t="shared" si="107"/>
        <v>2</v>
      </c>
      <c r="J171">
        <f t="shared" si="108"/>
        <v>3</v>
      </c>
      <c r="K171" t="str">
        <f t="shared" si="105"/>
        <v>POM C&amp;E.SOL_WIN_BAL_WASREN</v>
      </c>
    </row>
    <row r="172" spans="2:11">
      <c r="B172" t="str">
        <f t="shared" si="100"/>
        <v>FSS_CHP_NEW</v>
      </c>
      <c r="C172" t="str">
        <f t="shared" si="101"/>
        <v>POM C&amp;E</v>
      </c>
      <c r="D172">
        <f t="shared" si="102"/>
        <v>2025</v>
      </c>
      <c r="E172">
        <f t="shared" si="103"/>
        <v>486.45660585959092</v>
      </c>
      <c r="F172">
        <f t="shared" si="104"/>
        <v>3</v>
      </c>
      <c r="H172">
        <f t="shared" si="106"/>
        <v>7</v>
      </c>
      <c r="I172">
        <f t="shared" si="107"/>
        <v>2</v>
      </c>
      <c r="J172">
        <f t="shared" si="108"/>
        <v>3</v>
      </c>
      <c r="K172" t="str">
        <f t="shared" si="105"/>
        <v>POM C&amp;E.FSS_CHP_NEW</v>
      </c>
    </row>
    <row r="173" spans="2:11">
      <c r="B173" t="str">
        <f t="shared" si="100"/>
        <v>SOL_WIN_BAL_WASREN_NEW</v>
      </c>
      <c r="C173" t="str">
        <f t="shared" si="101"/>
        <v>POM C&amp;E</v>
      </c>
      <c r="D173">
        <f t="shared" si="102"/>
        <v>2025</v>
      </c>
      <c r="E173">
        <f t="shared" si="103"/>
        <v>1989.9115533443892</v>
      </c>
      <c r="F173">
        <f t="shared" si="104"/>
        <v>3</v>
      </c>
      <c r="H173">
        <f t="shared" si="106"/>
        <v>8</v>
      </c>
      <c r="I173">
        <f t="shared" si="107"/>
        <v>2</v>
      </c>
      <c r="J173">
        <f t="shared" si="108"/>
        <v>3</v>
      </c>
      <c r="K173" t="str">
        <f t="shared" si="105"/>
        <v>POM C&amp;E.SOL_WIN_BAL_WASREN_NEW</v>
      </c>
    </row>
    <row r="174" spans="2:11">
      <c r="B174" t="str">
        <f t="shared" si="100"/>
        <v>FSS_ELC_NEW</v>
      </c>
      <c r="C174" t="str">
        <f t="shared" si="101"/>
        <v>POM C&amp;E</v>
      </c>
      <c r="D174">
        <f t="shared" si="102"/>
        <v>2025</v>
      </c>
      <c r="E174">
        <f t="shared" si="103"/>
        <v>552.92979546710887</v>
      </c>
      <c r="F174">
        <f t="shared" si="104"/>
        <v>3</v>
      </c>
      <c r="H174">
        <f t="shared" si="106"/>
        <v>9</v>
      </c>
      <c r="I174">
        <f t="shared" si="107"/>
        <v>2</v>
      </c>
      <c r="J174">
        <f t="shared" si="108"/>
        <v>3</v>
      </c>
      <c r="K174" t="str">
        <f t="shared" si="105"/>
        <v>POM C&amp;E.FSS_ELC_NEW</v>
      </c>
    </row>
    <row r="175" spans="2:11">
      <c r="B175" t="str">
        <f t="shared" si="100"/>
        <v>HYD_TOT</v>
      </c>
      <c r="C175" t="str">
        <f t="shared" si="101"/>
        <v>POM E</v>
      </c>
      <c r="D175">
        <f t="shared" si="102"/>
        <v>2025</v>
      </c>
      <c r="E175">
        <f t="shared" si="103"/>
        <v>13713.02184130495</v>
      </c>
      <c r="F175">
        <f t="shared" si="104"/>
        <v>3</v>
      </c>
      <c r="H175">
        <f t="shared" si="106"/>
        <v>1</v>
      </c>
      <c r="I175">
        <f t="shared" si="107"/>
        <v>3</v>
      </c>
      <c r="J175">
        <f t="shared" si="108"/>
        <v>3</v>
      </c>
      <c r="K175" t="str">
        <f t="shared" si="105"/>
        <v>POM E.HYD_TOT</v>
      </c>
    </row>
    <row r="176" spans="2:11">
      <c r="B176" t="str">
        <f t="shared" si="100"/>
        <v>HYD_TOT_NEW</v>
      </c>
      <c r="C176" t="str">
        <f t="shared" si="101"/>
        <v>POM E</v>
      </c>
      <c r="D176">
        <f t="shared" si="102"/>
        <v>2025</v>
      </c>
      <c r="E176">
        <f t="shared" si="103"/>
        <v>3914.8465579209292</v>
      </c>
      <c r="F176">
        <f t="shared" si="104"/>
        <v>3</v>
      </c>
      <c r="H176">
        <f t="shared" si="106"/>
        <v>2</v>
      </c>
      <c r="I176">
        <f t="shared" si="107"/>
        <v>3</v>
      </c>
      <c r="J176">
        <f t="shared" si="108"/>
        <v>3</v>
      </c>
      <c r="K176" t="str">
        <f t="shared" si="105"/>
        <v>POM E.HYD_TOT_NEW</v>
      </c>
    </row>
    <row r="177" spans="2:11">
      <c r="B177" t="str">
        <f t="shared" si="100"/>
        <v>NUC_ELC</v>
      </c>
      <c r="C177" t="str">
        <f t="shared" si="101"/>
        <v>POM E</v>
      </c>
      <c r="D177">
        <f t="shared" si="102"/>
        <v>2025</v>
      </c>
      <c r="E177">
        <f t="shared" si="103"/>
        <v>2145.5626209565939</v>
      </c>
      <c r="F177">
        <f t="shared" si="104"/>
        <v>3</v>
      </c>
      <c r="H177">
        <f t="shared" si="106"/>
        <v>3</v>
      </c>
      <c r="I177">
        <f t="shared" si="107"/>
        <v>3</v>
      </c>
      <c r="J177">
        <f t="shared" si="108"/>
        <v>3</v>
      </c>
      <c r="K177" t="str">
        <f t="shared" si="105"/>
        <v>POM E.NUC_ELC</v>
      </c>
    </row>
    <row r="178" spans="2:11">
      <c r="B178" t="str">
        <f t="shared" si="100"/>
        <v>FSS_ELC</v>
      </c>
      <c r="C178" t="str">
        <f t="shared" si="101"/>
        <v>POM E</v>
      </c>
      <c r="D178">
        <f t="shared" si="102"/>
        <v>2025</v>
      </c>
      <c r="E178">
        <f t="shared" si="103"/>
        <v>0</v>
      </c>
      <c r="F178">
        <f t="shared" si="104"/>
        <v>3</v>
      </c>
      <c r="H178">
        <f t="shared" si="106"/>
        <v>4</v>
      </c>
      <c r="I178">
        <f t="shared" si="107"/>
        <v>3</v>
      </c>
      <c r="J178">
        <f t="shared" si="108"/>
        <v>3</v>
      </c>
      <c r="K178" t="str">
        <f t="shared" si="105"/>
        <v>POM E.FSS_ELC</v>
      </c>
    </row>
    <row r="179" spans="2:11">
      <c r="B179" t="str">
        <f t="shared" si="100"/>
        <v>FSS_CHP</v>
      </c>
      <c r="C179" t="str">
        <f t="shared" si="101"/>
        <v>POM E</v>
      </c>
      <c r="D179">
        <f t="shared" si="102"/>
        <v>2025</v>
      </c>
      <c r="E179">
        <f t="shared" si="103"/>
        <v>154.68620403649433</v>
      </c>
      <c r="F179">
        <f t="shared" si="104"/>
        <v>3</v>
      </c>
      <c r="H179">
        <f t="shared" si="106"/>
        <v>5</v>
      </c>
      <c r="I179">
        <f t="shared" si="107"/>
        <v>3</v>
      </c>
      <c r="J179">
        <f t="shared" si="108"/>
        <v>3</v>
      </c>
      <c r="K179" t="str">
        <f t="shared" si="105"/>
        <v>POM E.FSS_CHP</v>
      </c>
    </row>
    <row r="180" spans="2:11">
      <c r="B180" t="str">
        <f t="shared" si="100"/>
        <v>SOL_WIN_BAL_WASREN</v>
      </c>
      <c r="C180" t="str">
        <f t="shared" si="101"/>
        <v>POM E</v>
      </c>
      <c r="D180">
        <f t="shared" si="102"/>
        <v>2025</v>
      </c>
      <c r="E180">
        <f t="shared" si="103"/>
        <v>154.68620403649433</v>
      </c>
      <c r="F180">
        <f t="shared" si="104"/>
        <v>3</v>
      </c>
      <c r="H180">
        <f t="shared" si="106"/>
        <v>6</v>
      </c>
      <c r="I180">
        <f t="shared" si="107"/>
        <v>3</v>
      </c>
      <c r="J180">
        <f t="shared" si="108"/>
        <v>3</v>
      </c>
      <c r="K180" t="str">
        <f t="shared" si="105"/>
        <v>POM E.SOL_WIN_BAL_WASREN</v>
      </c>
    </row>
    <row r="181" spans="2:11">
      <c r="B181" t="str">
        <f t="shared" si="100"/>
        <v>FSS_CHP_NEW</v>
      </c>
      <c r="C181" t="str">
        <f t="shared" si="101"/>
        <v>POM E</v>
      </c>
      <c r="D181">
        <f t="shared" si="102"/>
        <v>2025</v>
      </c>
      <c r="E181">
        <f t="shared" si="103"/>
        <v>486.59109759469175</v>
      </c>
      <c r="F181">
        <f t="shared" si="104"/>
        <v>3</v>
      </c>
      <c r="H181">
        <f t="shared" si="106"/>
        <v>7</v>
      </c>
      <c r="I181">
        <f t="shared" si="107"/>
        <v>3</v>
      </c>
      <c r="J181">
        <f t="shared" si="108"/>
        <v>3</v>
      </c>
      <c r="K181" t="str">
        <f t="shared" si="105"/>
        <v>POM E.FSS_CHP_NEW</v>
      </c>
    </row>
    <row r="182" spans="2:11">
      <c r="B182" t="str">
        <f t="shared" si="100"/>
        <v>SOL_WIN_BAL_WASREN_NEW</v>
      </c>
      <c r="C182" t="str">
        <f t="shared" si="101"/>
        <v>POM E</v>
      </c>
      <c r="D182">
        <f t="shared" si="102"/>
        <v>2025</v>
      </c>
      <c r="E182">
        <f t="shared" si="103"/>
        <v>1990.5999447055572</v>
      </c>
      <c r="F182">
        <f t="shared" si="104"/>
        <v>3</v>
      </c>
      <c r="H182">
        <f t="shared" si="106"/>
        <v>8</v>
      </c>
      <c r="I182">
        <f t="shared" si="107"/>
        <v>3</v>
      </c>
      <c r="J182">
        <f t="shared" si="108"/>
        <v>3</v>
      </c>
      <c r="K182" t="str">
        <f t="shared" si="105"/>
        <v>POM E.SOL_WIN_BAL_WASREN_NEW</v>
      </c>
    </row>
    <row r="183" spans="2:11">
      <c r="B183" t="str">
        <f t="shared" si="100"/>
        <v>FSS_ELC_NEW</v>
      </c>
      <c r="C183" t="str">
        <f t="shared" si="101"/>
        <v>POM E</v>
      </c>
      <c r="D183">
        <f t="shared" si="102"/>
        <v>2025</v>
      </c>
      <c r="E183">
        <f t="shared" si="103"/>
        <v>0</v>
      </c>
      <c r="F183">
        <f t="shared" si="104"/>
        <v>3</v>
      </c>
      <c r="H183">
        <f t="shared" si="106"/>
        <v>9</v>
      </c>
      <c r="I183">
        <f t="shared" si="107"/>
        <v>3</v>
      </c>
      <c r="J183">
        <f t="shared" si="108"/>
        <v>3</v>
      </c>
      <c r="K183" t="str">
        <f t="shared" si="105"/>
        <v>POM E.FSS_ELC_NEW</v>
      </c>
    </row>
    <row r="184" spans="2:11">
      <c r="B184" t="str">
        <f t="shared" si="100"/>
        <v>HYD_TOT</v>
      </c>
      <c r="C184" t="str">
        <f t="shared" si="101"/>
        <v>NEP C</v>
      </c>
      <c r="D184">
        <f t="shared" si="102"/>
        <v>2025</v>
      </c>
      <c r="E184">
        <f t="shared" si="103"/>
        <v>13735.139618468344</v>
      </c>
      <c r="F184">
        <f t="shared" si="104"/>
        <v>3</v>
      </c>
      <c r="H184">
        <f t="shared" si="106"/>
        <v>1</v>
      </c>
      <c r="I184">
        <f t="shared" si="107"/>
        <v>4</v>
      </c>
      <c r="J184">
        <f t="shared" si="108"/>
        <v>3</v>
      </c>
      <c r="K184" t="str">
        <f t="shared" si="105"/>
        <v>NEP C.HYD_TOT</v>
      </c>
    </row>
    <row r="185" spans="2:11">
      <c r="B185" t="str">
        <f t="shared" si="100"/>
        <v>HYD_TOT_NEW</v>
      </c>
      <c r="C185" t="str">
        <f t="shared" si="101"/>
        <v>NEP C</v>
      </c>
      <c r="D185">
        <f t="shared" si="102"/>
        <v>2025</v>
      </c>
      <c r="E185">
        <f t="shared" si="103"/>
        <v>3671.5510091235833</v>
      </c>
      <c r="F185">
        <f t="shared" si="104"/>
        <v>3</v>
      </c>
      <c r="H185">
        <f t="shared" si="106"/>
        <v>2</v>
      </c>
      <c r="I185">
        <f t="shared" si="107"/>
        <v>4</v>
      </c>
      <c r="J185">
        <f t="shared" si="108"/>
        <v>3</v>
      </c>
      <c r="K185" t="str">
        <f t="shared" si="105"/>
        <v>NEP C.HYD_TOT_NEW</v>
      </c>
    </row>
    <row r="186" spans="2:11">
      <c r="B186" t="str">
        <f t="shared" si="100"/>
        <v>NUC_ELC</v>
      </c>
      <c r="C186" t="str">
        <f t="shared" si="101"/>
        <v>NEP C</v>
      </c>
      <c r="D186">
        <f t="shared" si="102"/>
        <v>2025</v>
      </c>
      <c r="E186">
        <f t="shared" si="103"/>
        <v>2167.5421620127177</v>
      </c>
      <c r="F186">
        <f t="shared" si="104"/>
        <v>3</v>
      </c>
      <c r="H186">
        <f t="shared" si="106"/>
        <v>3</v>
      </c>
      <c r="I186">
        <f t="shared" si="107"/>
        <v>4</v>
      </c>
      <c r="J186">
        <f t="shared" si="108"/>
        <v>3</v>
      </c>
      <c r="K186" t="str">
        <f t="shared" si="105"/>
        <v>NEP C.NUC_ELC</v>
      </c>
    </row>
    <row r="187" spans="2:11">
      <c r="B187" t="str">
        <f t="shared" si="100"/>
        <v>FSS_ELC</v>
      </c>
      <c r="C187" t="str">
        <f t="shared" si="101"/>
        <v>NEP C</v>
      </c>
      <c r="D187">
        <f t="shared" si="102"/>
        <v>2025</v>
      </c>
      <c r="E187">
        <f t="shared" si="103"/>
        <v>0</v>
      </c>
      <c r="F187">
        <f t="shared" si="104"/>
        <v>3</v>
      </c>
      <c r="H187">
        <f t="shared" si="106"/>
        <v>4</v>
      </c>
      <c r="I187">
        <f t="shared" si="107"/>
        <v>4</v>
      </c>
      <c r="J187">
        <f t="shared" si="108"/>
        <v>3</v>
      </c>
      <c r="K187" t="str">
        <f t="shared" si="105"/>
        <v>NEP C.FSS_ELC</v>
      </c>
    </row>
    <row r="188" spans="2:11">
      <c r="B188" t="str">
        <f t="shared" si="100"/>
        <v>FSS_CHP</v>
      </c>
      <c r="C188" t="str">
        <f t="shared" si="101"/>
        <v>NEP C</v>
      </c>
      <c r="D188">
        <f t="shared" si="102"/>
        <v>2025</v>
      </c>
      <c r="E188">
        <f t="shared" si="103"/>
        <v>154.82444014376554</v>
      </c>
      <c r="F188">
        <f t="shared" si="104"/>
        <v>3</v>
      </c>
      <c r="H188">
        <f t="shared" si="106"/>
        <v>5</v>
      </c>
      <c r="I188">
        <f t="shared" si="107"/>
        <v>4</v>
      </c>
      <c r="J188">
        <f t="shared" si="108"/>
        <v>3</v>
      </c>
      <c r="K188" t="str">
        <f t="shared" si="105"/>
        <v>NEP C.FSS_CHP</v>
      </c>
    </row>
    <row r="189" spans="2:11">
      <c r="B189" t="str">
        <f t="shared" si="100"/>
        <v>SOL_WIN_BAL_WASREN</v>
      </c>
      <c r="C189" t="str">
        <f t="shared" si="101"/>
        <v>NEP C</v>
      </c>
      <c r="D189">
        <f t="shared" si="102"/>
        <v>2025</v>
      </c>
      <c r="E189">
        <f t="shared" si="103"/>
        <v>243.29554879734587</v>
      </c>
      <c r="F189">
        <f t="shared" si="104"/>
        <v>3</v>
      </c>
      <c r="H189">
        <f t="shared" si="106"/>
        <v>6</v>
      </c>
      <c r="I189">
        <f t="shared" si="107"/>
        <v>4</v>
      </c>
      <c r="J189">
        <f t="shared" si="108"/>
        <v>3</v>
      </c>
      <c r="K189" t="str">
        <f t="shared" si="105"/>
        <v>NEP C.SOL_WIN_BAL_WASREN</v>
      </c>
    </row>
    <row r="190" spans="2:11">
      <c r="B190" t="str">
        <f t="shared" si="100"/>
        <v>FSS_CHP_NEW</v>
      </c>
      <c r="C190" t="str">
        <f t="shared" si="101"/>
        <v>NEP C</v>
      </c>
      <c r="D190">
        <f t="shared" si="102"/>
        <v>2025</v>
      </c>
      <c r="E190">
        <f t="shared" si="103"/>
        <v>464.47332043129666</v>
      </c>
      <c r="F190">
        <f t="shared" si="104"/>
        <v>3</v>
      </c>
      <c r="H190">
        <f t="shared" si="106"/>
        <v>7</v>
      </c>
      <c r="I190">
        <f t="shared" si="107"/>
        <v>4</v>
      </c>
      <c r="J190">
        <f t="shared" si="108"/>
        <v>3</v>
      </c>
      <c r="K190" t="str">
        <f t="shared" si="105"/>
        <v>NEP C.FSS_CHP_NEW</v>
      </c>
    </row>
    <row r="191" spans="2:11">
      <c r="B191" t="str">
        <f t="shared" si="100"/>
        <v>SOL_WIN_BAL_WASREN_NEW</v>
      </c>
      <c r="C191" t="str">
        <f t="shared" si="101"/>
        <v>NEP C</v>
      </c>
      <c r="D191">
        <f t="shared" si="102"/>
        <v>2025</v>
      </c>
      <c r="E191">
        <f t="shared" si="103"/>
        <v>796.37821398949404</v>
      </c>
      <c r="F191">
        <f t="shared" si="104"/>
        <v>3</v>
      </c>
      <c r="H191">
        <f t="shared" si="106"/>
        <v>8</v>
      </c>
      <c r="I191">
        <f t="shared" si="107"/>
        <v>4</v>
      </c>
      <c r="J191">
        <f t="shared" si="108"/>
        <v>3</v>
      </c>
      <c r="K191" t="str">
        <f t="shared" si="105"/>
        <v>NEP C.SOL_WIN_BAL_WASREN_NEW</v>
      </c>
    </row>
    <row r="192" spans="2:11">
      <c r="B192" t="str">
        <f t="shared" si="100"/>
        <v>FSS_ELC_NEW</v>
      </c>
      <c r="C192" t="str">
        <f t="shared" si="101"/>
        <v>NEP C</v>
      </c>
      <c r="D192">
        <f t="shared" si="102"/>
        <v>2025</v>
      </c>
      <c r="E192">
        <f t="shared" si="103"/>
        <v>574.92397014100084</v>
      </c>
      <c r="F192">
        <f t="shared" si="104"/>
        <v>3</v>
      </c>
      <c r="H192">
        <f t="shared" si="106"/>
        <v>9</v>
      </c>
      <c r="I192">
        <f t="shared" si="107"/>
        <v>4</v>
      </c>
      <c r="J192">
        <f t="shared" si="108"/>
        <v>3</v>
      </c>
      <c r="K192" t="str">
        <f t="shared" si="105"/>
        <v>NEP C.FSS_ELC_NEW</v>
      </c>
    </row>
    <row r="193" spans="2:11">
      <c r="B193" t="str">
        <f t="shared" si="100"/>
        <v>HYD_TOT</v>
      </c>
      <c r="C193" t="str">
        <f t="shared" si="101"/>
        <v>NEP C&amp;E</v>
      </c>
      <c r="D193">
        <f t="shared" si="102"/>
        <v>2025</v>
      </c>
      <c r="E193">
        <f t="shared" si="103"/>
        <v>13735.139618468344</v>
      </c>
      <c r="F193">
        <f t="shared" si="104"/>
        <v>3</v>
      </c>
      <c r="H193">
        <f t="shared" si="106"/>
        <v>1</v>
      </c>
      <c r="I193">
        <f t="shared" si="107"/>
        <v>5</v>
      </c>
      <c r="J193">
        <f t="shared" si="108"/>
        <v>3</v>
      </c>
      <c r="K193" t="str">
        <f t="shared" si="105"/>
        <v>NEP C&amp;E.HYD_TOT</v>
      </c>
    </row>
    <row r="194" spans="2:11">
      <c r="B194" t="str">
        <f t="shared" si="100"/>
        <v>HYD_TOT_NEW</v>
      </c>
      <c r="C194" t="str">
        <f t="shared" si="101"/>
        <v>NEP C&amp;E</v>
      </c>
      <c r="D194">
        <f t="shared" si="102"/>
        <v>2025</v>
      </c>
      <c r="E194">
        <f t="shared" si="103"/>
        <v>3914.8465579209292</v>
      </c>
      <c r="F194">
        <f t="shared" si="104"/>
        <v>3</v>
      </c>
      <c r="H194">
        <f t="shared" si="106"/>
        <v>2</v>
      </c>
      <c r="I194">
        <f t="shared" si="107"/>
        <v>5</v>
      </c>
      <c r="J194">
        <f t="shared" si="108"/>
        <v>3</v>
      </c>
      <c r="K194" t="str">
        <f t="shared" si="105"/>
        <v>NEP C&amp;E.HYD_TOT_NEW</v>
      </c>
    </row>
    <row r="195" spans="2:11">
      <c r="B195" t="str">
        <f t="shared" si="100"/>
        <v>NUC_ELC</v>
      </c>
      <c r="C195" t="str">
        <f t="shared" si="101"/>
        <v>NEP C&amp;E</v>
      </c>
      <c r="D195">
        <f t="shared" si="102"/>
        <v>2025</v>
      </c>
      <c r="E195">
        <f t="shared" si="103"/>
        <v>2145.4243848493225</v>
      </c>
      <c r="F195">
        <f t="shared" si="104"/>
        <v>3</v>
      </c>
      <c r="H195">
        <f t="shared" si="106"/>
        <v>3</v>
      </c>
      <c r="I195">
        <f t="shared" si="107"/>
        <v>5</v>
      </c>
      <c r="J195">
        <f t="shared" si="108"/>
        <v>3</v>
      </c>
      <c r="K195" t="str">
        <f t="shared" si="105"/>
        <v>NEP C&amp;E.NUC_ELC</v>
      </c>
    </row>
    <row r="196" spans="2:11">
      <c r="B196" t="str">
        <f t="shared" si="100"/>
        <v>FSS_ELC</v>
      </c>
      <c r="C196" t="str">
        <f t="shared" si="101"/>
        <v>NEP C&amp;E</v>
      </c>
      <c r="D196">
        <f t="shared" si="102"/>
        <v>2025</v>
      </c>
      <c r="E196">
        <f t="shared" si="103"/>
        <v>0</v>
      </c>
      <c r="F196">
        <f t="shared" si="104"/>
        <v>3</v>
      </c>
      <c r="H196">
        <f t="shared" si="106"/>
        <v>4</v>
      </c>
      <c r="I196">
        <f t="shared" si="107"/>
        <v>5</v>
      </c>
      <c r="J196">
        <f t="shared" si="108"/>
        <v>3</v>
      </c>
      <c r="K196" t="str">
        <f t="shared" si="105"/>
        <v>NEP C&amp;E.FSS_ELC</v>
      </c>
    </row>
    <row r="197" spans="2:11">
      <c r="B197" t="str">
        <f t="shared" si="100"/>
        <v>FSS_CHP</v>
      </c>
      <c r="C197" t="str">
        <f t="shared" si="101"/>
        <v>NEP C&amp;E</v>
      </c>
      <c r="D197">
        <f t="shared" si="102"/>
        <v>2025</v>
      </c>
      <c r="E197">
        <f t="shared" si="103"/>
        <v>154.82444014376554</v>
      </c>
      <c r="F197">
        <f t="shared" si="104"/>
        <v>3</v>
      </c>
      <c r="H197">
        <f t="shared" si="106"/>
        <v>5</v>
      </c>
      <c r="I197">
        <f t="shared" si="107"/>
        <v>5</v>
      </c>
      <c r="J197">
        <f t="shared" si="108"/>
        <v>3</v>
      </c>
      <c r="K197" t="str">
        <f t="shared" si="105"/>
        <v>NEP C&amp;E.FSS_CHP</v>
      </c>
    </row>
    <row r="198" spans="2:11">
      <c r="B198" t="str">
        <f t="shared" si="100"/>
        <v>SOL_WIN_BAL_WASREN</v>
      </c>
      <c r="C198" t="str">
        <f t="shared" si="101"/>
        <v>NEP C&amp;E</v>
      </c>
      <c r="D198">
        <f t="shared" si="102"/>
        <v>2025</v>
      </c>
      <c r="E198">
        <f t="shared" si="103"/>
        <v>154.82444014376554</v>
      </c>
      <c r="F198">
        <f t="shared" si="104"/>
        <v>3</v>
      </c>
      <c r="H198">
        <f t="shared" si="106"/>
        <v>6</v>
      </c>
      <c r="I198">
        <f t="shared" si="107"/>
        <v>5</v>
      </c>
      <c r="J198">
        <f t="shared" si="108"/>
        <v>3</v>
      </c>
      <c r="K198" t="str">
        <f t="shared" si="105"/>
        <v>NEP C&amp;E.SOL_WIN_BAL_WASREN</v>
      </c>
    </row>
    <row r="199" spans="2:11">
      <c r="B199" t="str">
        <f t="shared" si="100"/>
        <v>FSS_CHP_NEW</v>
      </c>
      <c r="C199" t="str">
        <f t="shared" si="101"/>
        <v>NEP C&amp;E</v>
      </c>
      <c r="D199">
        <f t="shared" si="102"/>
        <v>2025</v>
      </c>
      <c r="E199">
        <f t="shared" si="103"/>
        <v>486.72933370196296</v>
      </c>
      <c r="F199">
        <f t="shared" si="104"/>
        <v>3</v>
      </c>
      <c r="H199">
        <f t="shared" si="106"/>
        <v>7</v>
      </c>
      <c r="I199">
        <f t="shared" si="107"/>
        <v>5</v>
      </c>
      <c r="J199">
        <f t="shared" si="108"/>
        <v>3</v>
      </c>
      <c r="K199" t="str">
        <f t="shared" si="105"/>
        <v>NEP C&amp;E.FSS_CHP_NEW</v>
      </c>
    </row>
    <row r="200" spans="2:11">
      <c r="B200" t="str">
        <f t="shared" si="100"/>
        <v>SOL_WIN_BAL_WASREN_NEW</v>
      </c>
      <c r="C200" t="str">
        <f t="shared" si="101"/>
        <v>NEP C&amp;E</v>
      </c>
      <c r="D200">
        <f t="shared" si="102"/>
        <v>2025</v>
      </c>
      <c r="E200">
        <f t="shared" si="103"/>
        <v>1990.5999447055572</v>
      </c>
      <c r="F200">
        <f t="shared" si="104"/>
        <v>3</v>
      </c>
      <c r="H200">
        <f t="shared" si="106"/>
        <v>8</v>
      </c>
      <c r="I200">
        <f t="shared" si="107"/>
        <v>5</v>
      </c>
      <c r="J200">
        <f t="shared" si="108"/>
        <v>3</v>
      </c>
      <c r="K200" t="str">
        <f t="shared" si="105"/>
        <v>NEP C&amp;E.SOL_WIN_BAL_WASREN_NEW</v>
      </c>
    </row>
    <row r="201" spans="2:11">
      <c r="B201" t="str">
        <f t="shared" si="100"/>
        <v>FSS_ELC_NEW</v>
      </c>
      <c r="C201" t="str">
        <f t="shared" si="101"/>
        <v>NEP C&amp;E</v>
      </c>
      <c r="D201">
        <f t="shared" si="102"/>
        <v>2025</v>
      </c>
      <c r="E201">
        <f t="shared" si="103"/>
        <v>552.94442908487702</v>
      </c>
      <c r="F201">
        <f t="shared" si="104"/>
        <v>3</v>
      </c>
      <c r="H201">
        <f t="shared" si="106"/>
        <v>9</v>
      </c>
      <c r="I201">
        <f t="shared" si="107"/>
        <v>5</v>
      </c>
      <c r="J201">
        <f t="shared" si="108"/>
        <v>3</v>
      </c>
      <c r="K201" t="str">
        <f t="shared" si="105"/>
        <v>NEP C&amp;E.FSS_ELC_NEW</v>
      </c>
    </row>
    <row r="202" spans="2:11">
      <c r="B202" t="str">
        <f t="shared" si="100"/>
        <v>HYD_TOT</v>
      </c>
      <c r="C202" t="str">
        <f t="shared" si="101"/>
        <v>NEP E</v>
      </c>
      <c r="D202">
        <f t="shared" si="102"/>
        <v>2025</v>
      </c>
      <c r="E202">
        <f t="shared" si="103"/>
        <v>13735.139618468344</v>
      </c>
      <c r="F202">
        <f t="shared" si="104"/>
        <v>3</v>
      </c>
      <c r="H202">
        <f t="shared" si="106"/>
        <v>1</v>
      </c>
      <c r="I202">
        <f t="shared" si="107"/>
        <v>6</v>
      </c>
      <c r="J202">
        <f t="shared" si="108"/>
        <v>3</v>
      </c>
      <c r="K202" t="str">
        <f t="shared" si="105"/>
        <v>NEP E.HYD_TOT</v>
      </c>
    </row>
    <row r="203" spans="2:11">
      <c r="B203" t="str">
        <f t="shared" si="100"/>
        <v>HYD_TOT_NEW</v>
      </c>
      <c r="C203" t="str">
        <f t="shared" si="101"/>
        <v>NEP E</v>
      </c>
      <c r="D203">
        <f t="shared" si="102"/>
        <v>2025</v>
      </c>
      <c r="E203">
        <f t="shared" si="103"/>
        <v>3914.9847940282002</v>
      </c>
      <c r="F203">
        <f t="shared" si="104"/>
        <v>3</v>
      </c>
      <c r="H203">
        <f t="shared" si="106"/>
        <v>2</v>
      </c>
      <c r="I203">
        <f t="shared" si="107"/>
        <v>6</v>
      </c>
      <c r="J203">
        <f t="shared" si="108"/>
        <v>3</v>
      </c>
      <c r="K203" t="str">
        <f t="shared" si="105"/>
        <v>NEP E.HYD_TOT_NEW</v>
      </c>
    </row>
    <row r="204" spans="2:11">
      <c r="B204" t="str">
        <f t="shared" si="100"/>
        <v>NUC_ELC</v>
      </c>
      <c r="C204" t="str">
        <f t="shared" si="101"/>
        <v>NEP E</v>
      </c>
      <c r="D204">
        <f t="shared" si="102"/>
        <v>2025</v>
      </c>
      <c r="E204">
        <f t="shared" si="103"/>
        <v>2167.4039259054466</v>
      </c>
      <c r="F204">
        <f t="shared" si="104"/>
        <v>3</v>
      </c>
      <c r="H204">
        <f t="shared" si="106"/>
        <v>3</v>
      </c>
      <c r="I204">
        <f t="shared" si="107"/>
        <v>6</v>
      </c>
      <c r="J204">
        <f t="shared" si="108"/>
        <v>3</v>
      </c>
      <c r="K204" t="str">
        <f t="shared" si="105"/>
        <v>NEP E.NUC_ELC</v>
      </c>
    </row>
    <row r="205" spans="2:11">
      <c r="B205" t="str">
        <f t="shared" ref="B205:B268" si="120">INDEX(H$3:H$11,H205)</f>
        <v>FSS_ELC</v>
      </c>
      <c r="C205" t="str">
        <f t="shared" ref="C205:C268" si="121">INDEX(I$3:I$11,I205)</f>
        <v>NEP E</v>
      </c>
      <c r="D205">
        <f t="shared" ref="D205:D268" si="122">INDEX(J$3:J$11,J205)</f>
        <v>2025</v>
      </c>
      <c r="E205">
        <f t="shared" ref="E205:E268" si="123">INDEX($U$28:$AB$156,MATCH(K205,$Q$28:$Q$156,0),MATCH(D205,$U$26:$AB$26,0))</f>
        <v>0</v>
      </c>
      <c r="F205">
        <f t="shared" ref="F205:F268" si="124">MATCH(D205,$U$26:$AB$26,0)</f>
        <v>3</v>
      </c>
      <c r="H205">
        <f t="shared" si="106"/>
        <v>4</v>
      </c>
      <c r="I205">
        <f t="shared" si="107"/>
        <v>6</v>
      </c>
      <c r="J205">
        <f t="shared" si="108"/>
        <v>3</v>
      </c>
      <c r="K205" t="str">
        <f t="shared" ref="K205:K268" si="125">C205&amp;"."&amp;B205</f>
        <v>NEP E.FSS_ELC</v>
      </c>
    </row>
    <row r="206" spans="2:11">
      <c r="B206" t="str">
        <f t="shared" si="120"/>
        <v>FSS_CHP</v>
      </c>
      <c r="C206" t="str">
        <f t="shared" si="121"/>
        <v>NEP E</v>
      </c>
      <c r="D206">
        <f t="shared" si="122"/>
        <v>2025</v>
      </c>
      <c r="E206">
        <f t="shared" si="123"/>
        <v>154.96267625103678</v>
      </c>
      <c r="F206">
        <f t="shared" si="124"/>
        <v>3</v>
      </c>
      <c r="H206">
        <f t="shared" ref="H206:H269" si="126">IF(H205=COUNTA($H$3:$H$11),1,H205+1)</f>
        <v>5</v>
      </c>
      <c r="I206">
        <f t="shared" ref="I206:I269" si="127">IF(H206=1,IF(I205=COUNTA($I$3:$I$11),1,I205+1),I205)</f>
        <v>6</v>
      </c>
      <c r="J206">
        <f t="shared" ref="J206:J269" si="128">IF(AND(I206=1,I205&gt;1),IF(J205=$J$2,1,J205+1),J205)</f>
        <v>3</v>
      </c>
      <c r="K206" t="str">
        <f t="shared" si="125"/>
        <v>NEP E.FSS_CHP</v>
      </c>
    </row>
    <row r="207" spans="2:11">
      <c r="B207" t="str">
        <f t="shared" si="120"/>
        <v>SOL_WIN_BAL_WASREN</v>
      </c>
      <c r="C207" t="str">
        <f t="shared" si="121"/>
        <v>NEP E</v>
      </c>
      <c r="D207">
        <f t="shared" si="122"/>
        <v>2025</v>
      </c>
      <c r="E207">
        <f t="shared" si="123"/>
        <v>154.96267625103678</v>
      </c>
      <c r="F207">
        <f t="shared" si="124"/>
        <v>3</v>
      </c>
      <c r="H207">
        <f t="shared" si="126"/>
        <v>6</v>
      </c>
      <c r="I207">
        <f t="shared" si="127"/>
        <v>6</v>
      </c>
      <c r="J207">
        <f t="shared" si="128"/>
        <v>3</v>
      </c>
      <c r="K207" t="str">
        <f t="shared" si="125"/>
        <v>NEP E.SOL_WIN_BAL_WASREN</v>
      </c>
    </row>
    <row r="208" spans="2:11">
      <c r="B208" t="str">
        <f t="shared" si="120"/>
        <v>FSS_CHP_NEW</v>
      </c>
      <c r="C208" t="str">
        <f t="shared" si="121"/>
        <v>NEP E</v>
      </c>
      <c r="D208">
        <f t="shared" si="122"/>
        <v>2025</v>
      </c>
      <c r="E208">
        <f t="shared" si="123"/>
        <v>232.09842410837712</v>
      </c>
      <c r="F208">
        <f t="shared" si="124"/>
        <v>3</v>
      </c>
      <c r="H208">
        <f t="shared" si="126"/>
        <v>7</v>
      </c>
      <c r="I208">
        <f t="shared" si="127"/>
        <v>6</v>
      </c>
      <c r="J208">
        <f t="shared" si="128"/>
        <v>3</v>
      </c>
      <c r="K208" t="str">
        <f t="shared" si="125"/>
        <v>NEP E.FSS_CHP_NEW</v>
      </c>
    </row>
    <row r="209" spans="2:11">
      <c r="B209" t="str">
        <f t="shared" si="120"/>
        <v>SOL_WIN_BAL_WASREN_NEW</v>
      </c>
      <c r="C209" t="str">
        <f t="shared" si="121"/>
        <v>NEP E</v>
      </c>
      <c r="D209">
        <f t="shared" si="122"/>
        <v>2025</v>
      </c>
      <c r="E209">
        <f t="shared" si="123"/>
        <v>2244.9543820846006</v>
      </c>
      <c r="F209">
        <f t="shared" si="124"/>
        <v>3</v>
      </c>
      <c r="H209">
        <f t="shared" si="126"/>
        <v>8</v>
      </c>
      <c r="I209">
        <f t="shared" si="127"/>
        <v>6</v>
      </c>
      <c r="J209">
        <f t="shared" si="128"/>
        <v>3</v>
      </c>
      <c r="K209" t="str">
        <f t="shared" si="125"/>
        <v>NEP E.SOL_WIN_BAL_WASREN_NEW</v>
      </c>
    </row>
    <row r="210" spans="2:11">
      <c r="B210" t="str">
        <f t="shared" si="120"/>
        <v>FSS_ELC_NEW</v>
      </c>
      <c r="C210" t="str">
        <f t="shared" si="121"/>
        <v>NEP E</v>
      </c>
      <c r="D210">
        <f t="shared" si="122"/>
        <v>2025</v>
      </c>
      <c r="E210">
        <f t="shared" si="123"/>
        <v>0</v>
      </c>
      <c r="F210">
        <f t="shared" si="124"/>
        <v>3</v>
      </c>
      <c r="H210">
        <f t="shared" si="126"/>
        <v>9</v>
      </c>
      <c r="I210">
        <f t="shared" si="127"/>
        <v>6</v>
      </c>
      <c r="J210">
        <f t="shared" si="128"/>
        <v>3</v>
      </c>
      <c r="K210" t="str">
        <f t="shared" si="125"/>
        <v>NEP E.FSS_ELC_NEW</v>
      </c>
    </row>
    <row r="211" spans="2:11">
      <c r="B211" t="str">
        <f t="shared" si="120"/>
        <v>HYD_TOT</v>
      </c>
      <c r="C211" t="str">
        <f t="shared" si="121"/>
        <v>WWB C</v>
      </c>
      <c r="D211">
        <f t="shared" si="122"/>
        <v>2025</v>
      </c>
      <c r="E211">
        <f t="shared" si="123"/>
        <v>13779.375172795135</v>
      </c>
      <c r="F211">
        <f t="shared" si="124"/>
        <v>3</v>
      </c>
      <c r="H211">
        <f t="shared" si="126"/>
        <v>1</v>
      </c>
      <c r="I211">
        <f t="shared" si="127"/>
        <v>7</v>
      </c>
      <c r="J211">
        <f t="shared" si="128"/>
        <v>3</v>
      </c>
      <c r="K211" t="str">
        <f t="shared" si="125"/>
        <v>WWB C.HYD_TOT</v>
      </c>
    </row>
    <row r="212" spans="2:11">
      <c r="B212" t="str">
        <f t="shared" si="120"/>
        <v>HYD_TOT_NEW</v>
      </c>
      <c r="C212" t="str">
        <f t="shared" si="121"/>
        <v>WWB C</v>
      </c>
      <c r="D212">
        <f t="shared" si="122"/>
        <v>2025</v>
      </c>
      <c r="E212">
        <f t="shared" si="123"/>
        <v>3671.6892452308543</v>
      </c>
      <c r="F212">
        <f t="shared" si="124"/>
        <v>3</v>
      </c>
      <c r="H212">
        <f t="shared" si="126"/>
        <v>2</v>
      </c>
      <c r="I212">
        <f t="shared" si="127"/>
        <v>7</v>
      </c>
      <c r="J212">
        <f t="shared" si="128"/>
        <v>3</v>
      </c>
      <c r="K212" t="str">
        <f t="shared" si="125"/>
        <v>WWB C.HYD_TOT_NEW</v>
      </c>
    </row>
    <row r="213" spans="2:11">
      <c r="B213" t="str">
        <f t="shared" si="120"/>
        <v>NUC_ELC</v>
      </c>
      <c r="C213" t="str">
        <f t="shared" si="121"/>
        <v>WWB C</v>
      </c>
      <c r="D213">
        <f t="shared" si="122"/>
        <v>2025</v>
      </c>
      <c r="E213">
        <f t="shared" si="123"/>
        <v>2167.4039259054466</v>
      </c>
      <c r="F213">
        <f t="shared" si="124"/>
        <v>3</v>
      </c>
      <c r="H213">
        <f t="shared" si="126"/>
        <v>3</v>
      </c>
      <c r="I213">
        <f t="shared" si="127"/>
        <v>7</v>
      </c>
      <c r="J213">
        <f t="shared" si="128"/>
        <v>3</v>
      </c>
      <c r="K213" t="str">
        <f t="shared" si="125"/>
        <v>WWB C.NUC_ELC</v>
      </c>
    </row>
    <row r="214" spans="2:11">
      <c r="B214" t="str">
        <f t="shared" si="120"/>
        <v>FSS_ELC</v>
      </c>
      <c r="C214" t="str">
        <f t="shared" si="121"/>
        <v>WWB C</v>
      </c>
      <c r="D214">
        <f t="shared" si="122"/>
        <v>2025</v>
      </c>
      <c r="E214">
        <f t="shared" si="123"/>
        <v>0</v>
      </c>
      <c r="F214">
        <f t="shared" si="124"/>
        <v>3</v>
      </c>
      <c r="H214">
        <f t="shared" si="126"/>
        <v>4</v>
      </c>
      <c r="I214">
        <f t="shared" si="127"/>
        <v>7</v>
      </c>
      <c r="J214">
        <f t="shared" si="128"/>
        <v>3</v>
      </c>
      <c r="K214" t="str">
        <f t="shared" si="125"/>
        <v>WWB C.FSS_ELC</v>
      </c>
    </row>
    <row r="215" spans="2:11">
      <c r="B215" t="str">
        <f t="shared" si="120"/>
        <v>FSS_CHP</v>
      </c>
      <c r="C215" t="str">
        <f t="shared" si="121"/>
        <v>WWB C</v>
      </c>
      <c r="D215">
        <f t="shared" si="122"/>
        <v>2025</v>
      </c>
      <c r="E215">
        <f t="shared" si="123"/>
        <v>154.96267625103678</v>
      </c>
      <c r="F215">
        <f t="shared" si="124"/>
        <v>3</v>
      </c>
      <c r="H215">
        <f t="shared" si="126"/>
        <v>5</v>
      </c>
      <c r="I215">
        <f t="shared" si="127"/>
        <v>7</v>
      </c>
      <c r="J215">
        <f t="shared" si="128"/>
        <v>3</v>
      </c>
      <c r="K215" t="str">
        <f t="shared" si="125"/>
        <v>WWB C.FSS_CHP</v>
      </c>
    </row>
    <row r="216" spans="2:11">
      <c r="B216" t="str">
        <f t="shared" si="120"/>
        <v>SOL_WIN_BAL_WASREN</v>
      </c>
      <c r="C216" t="str">
        <f t="shared" si="121"/>
        <v>WWB C</v>
      </c>
      <c r="D216">
        <f t="shared" si="122"/>
        <v>2025</v>
      </c>
      <c r="E216">
        <f t="shared" si="123"/>
        <v>243.29554879734587</v>
      </c>
      <c r="F216">
        <f t="shared" si="124"/>
        <v>3</v>
      </c>
      <c r="H216">
        <f t="shared" si="126"/>
        <v>6</v>
      </c>
      <c r="I216">
        <f t="shared" si="127"/>
        <v>7</v>
      </c>
      <c r="J216">
        <f t="shared" si="128"/>
        <v>3</v>
      </c>
      <c r="K216" t="str">
        <f t="shared" si="125"/>
        <v>WWB C.SOL_WIN_BAL_WASREN</v>
      </c>
    </row>
    <row r="217" spans="2:11">
      <c r="B217" t="str">
        <f t="shared" si="120"/>
        <v>FSS_CHP_NEW</v>
      </c>
      <c r="C217" t="str">
        <f t="shared" si="121"/>
        <v>WWB C</v>
      </c>
      <c r="D217">
        <f t="shared" si="122"/>
        <v>2025</v>
      </c>
      <c r="E217">
        <f t="shared" si="123"/>
        <v>464.61155653856787</v>
      </c>
      <c r="F217">
        <f t="shared" si="124"/>
        <v>3</v>
      </c>
      <c r="H217">
        <f t="shared" si="126"/>
        <v>7</v>
      </c>
      <c r="I217">
        <f t="shared" si="127"/>
        <v>7</v>
      </c>
      <c r="J217">
        <f t="shared" si="128"/>
        <v>3</v>
      </c>
      <c r="K217" t="str">
        <f t="shared" si="125"/>
        <v>WWB C.FSS_CHP_NEW</v>
      </c>
    </row>
    <row r="218" spans="2:11">
      <c r="B218" t="str">
        <f t="shared" si="120"/>
        <v>SOL_WIN_BAL_WASREN_NEW</v>
      </c>
      <c r="C218" t="str">
        <f t="shared" si="121"/>
        <v>WWB C</v>
      </c>
      <c r="D218">
        <f t="shared" si="122"/>
        <v>2025</v>
      </c>
      <c r="E218">
        <f t="shared" si="123"/>
        <v>818.21951893834671</v>
      </c>
      <c r="F218">
        <f t="shared" si="124"/>
        <v>3</v>
      </c>
      <c r="H218">
        <f t="shared" si="126"/>
        <v>8</v>
      </c>
      <c r="I218">
        <f t="shared" si="127"/>
        <v>7</v>
      </c>
      <c r="J218">
        <f t="shared" si="128"/>
        <v>3</v>
      </c>
      <c r="K218" t="str">
        <f t="shared" si="125"/>
        <v>WWB C.SOL_WIN_BAL_WASREN_NEW</v>
      </c>
    </row>
    <row r="219" spans="2:11">
      <c r="B219" t="str">
        <f t="shared" si="120"/>
        <v>FSS_ELC_NEW</v>
      </c>
      <c r="C219" t="str">
        <f t="shared" si="121"/>
        <v>WWB C</v>
      </c>
      <c r="D219">
        <f t="shared" si="122"/>
        <v>2025</v>
      </c>
      <c r="E219">
        <f t="shared" si="123"/>
        <v>1592.4799557644458</v>
      </c>
      <c r="F219">
        <f t="shared" si="124"/>
        <v>3</v>
      </c>
      <c r="H219">
        <f t="shared" si="126"/>
        <v>9</v>
      </c>
      <c r="I219">
        <f t="shared" si="127"/>
        <v>7</v>
      </c>
      <c r="J219">
        <f t="shared" si="128"/>
        <v>3</v>
      </c>
      <c r="K219" t="str">
        <f t="shared" si="125"/>
        <v>WWB C.FSS_ELC_NEW</v>
      </c>
    </row>
    <row r="220" spans="2:11">
      <c r="B220" t="str">
        <f t="shared" si="120"/>
        <v>HYD_TOT</v>
      </c>
      <c r="C220" t="str">
        <f t="shared" si="121"/>
        <v>WWB C&amp;E</v>
      </c>
      <c r="D220">
        <f t="shared" si="122"/>
        <v>2025</v>
      </c>
      <c r="E220">
        <f t="shared" si="123"/>
        <v>13757.395631739009</v>
      </c>
      <c r="F220">
        <f t="shared" si="124"/>
        <v>3</v>
      </c>
      <c r="H220">
        <f t="shared" si="126"/>
        <v>1</v>
      </c>
      <c r="I220">
        <f t="shared" si="127"/>
        <v>8</v>
      </c>
      <c r="J220">
        <f t="shared" si="128"/>
        <v>3</v>
      </c>
      <c r="K220" t="str">
        <f t="shared" si="125"/>
        <v>WWB C&amp;E.HYD_TOT</v>
      </c>
    </row>
    <row r="221" spans="2:11">
      <c r="B221" t="str">
        <f t="shared" si="120"/>
        <v>HYD_TOT_NEW</v>
      </c>
      <c r="C221" t="str">
        <f t="shared" si="121"/>
        <v>WWB C&amp;E</v>
      </c>
      <c r="D221">
        <f t="shared" si="122"/>
        <v>2025</v>
      </c>
      <c r="E221">
        <f t="shared" si="123"/>
        <v>3914.7083218136577</v>
      </c>
      <c r="F221">
        <f t="shared" si="124"/>
        <v>3</v>
      </c>
      <c r="H221">
        <f t="shared" si="126"/>
        <v>2</v>
      </c>
      <c r="I221">
        <f t="shared" si="127"/>
        <v>8</v>
      </c>
      <c r="J221">
        <f t="shared" si="128"/>
        <v>3</v>
      </c>
      <c r="K221" t="str">
        <f t="shared" si="125"/>
        <v>WWB C&amp;E.HYD_TOT_NEW</v>
      </c>
    </row>
    <row r="222" spans="2:11">
      <c r="B222" t="str">
        <f t="shared" si="120"/>
        <v>NUC_ELC</v>
      </c>
      <c r="C222" t="str">
        <f t="shared" si="121"/>
        <v>WWB C&amp;E</v>
      </c>
      <c r="D222">
        <f t="shared" si="122"/>
        <v>2025</v>
      </c>
      <c r="E222">
        <f t="shared" si="123"/>
        <v>2167.6803981199891</v>
      </c>
      <c r="F222">
        <f t="shared" si="124"/>
        <v>3</v>
      </c>
      <c r="H222">
        <f t="shared" si="126"/>
        <v>3</v>
      </c>
      <c r="I222">
        <f t="shared" si="127"/>
        <v>8</v>
      </c>
      <c r="J222">
        <f t="shared" si="128"/>
        <v>3</v>
      </c>
      <c r="K222" t="str">
        <f t="shared" si="125"/>
        <v>WWB C&amp;E.NUC_ELC</v>
      </c>
    </row>
    <row r="223" spans="2:11">
      <c r="B223" t="str">
        <f t="shared" si="120"/>
        <v>FSS_ELC</v>
      </c>
      <c r="C223" t="str">
        <f t="shared" si="121"/>
        <v>WWB C&amp;E</v>
      </c>
      <c r="D223">
        <f t="shared" si="122"/>
        <v>2025</v>
      </c>
      <c r="E223">
        <f t="shared" si="123"/>
        <v>0</v>
      </c>
      <c r="F223">
        <f t="shared" si="124"/>
        <v>3</v>
      </c>
      <c r="H223">
        <f t="shared" si="126"/>
        <v>4</v>
      </c>
      <c r="I223">
        <f t="shared" si="127"/>
        <v>8</v>
      </c>
      <c r="J223">
        <f t="shared" si="128"/>
        <v>3</v>
      </c>
      <c r="K223" t="str">
        <f t="shared" si="125"/>
        <v>WWB C&amp;E.FSS_ELC</v>
      </c>
    </row>
    <row r="224" spans="2:11">
      <c r="B224" t="str">
        <f t="shared" si="120"/>
        <v>FSS_CHP</v>
      </c>
      <c r="C224" t="str">
        <f t="shared" si="121"/>
        <v>WWB C&amp;E</v>
      </c>
      <c r="D224">
        <f t="shared" si="122"/>
        <v>2025</v>
      </c>
      <c r="E224">
        <f t="shared" si="123"/>
        <v>154.68620403649433</v>
      </c>
      <c r="F224">
        <f t="shared" si="124"/>
        <v>3</v>
      </c>
      <c r="H224">
        <f t="shared" si="126"/>
        <v>5</v>
      </c>
      <c r="I224">
        <f t="shared" si="127"/>
        <v>8</v>
      </c>
      <c r="J224">
        <f t="shared" si="128"/>
        <v>3</v>
      </c>
      <c r="K224" t="str">
        <f t="shared" si="125"/>
        <v>WWB C&amp;E.FSS_CHP</v>
      </c>
    </row>
    <row r="225" spans="2:11">
      <c r="B225" t="str">
        <f t="shared" si="120"/>
        <v>SOL_WIN_BAL_WASREN</v>
      </c>
      <c r="C225" t="str">
        <f t="shared" si="121"/>
        <v>WWB C&amp;E</v>
      </c>
      <c r="D225">
        <f t="shared" si="122"/>
        <v>2025</v>
      </c>
      <c r="E225">
        <f t="shared" si="123"/>
        <v>154.68620403649433</v>
      </c>
      <c r="F225">
        <f t="shared" si="124"/>
        <v>3</v>
      </c>
      <c r="H225">
        <f t="shared" si="126"/>
        <v>6</v>
      </c>
      <c r="I225">
        <f t="shared" si="127"/>
        <v>8</v>
      </c>
      <c r="J225">
        <f t="shared" si="128"/>
        <v>3</v>
      </c>
      <c r="K225" t="str">
        <f t="shared" si="125"/>
        <v>WWB C&amp;E.SOL_WIN_BAL_WASREN</v>
      </c>
    </row>
    <row r="226" spans="2:11">
      <c r="B226" t="str">
        <f t="shared" si="120"/>
        <v>FSS_CHP_NEW</v>
      </c>
      <c r="C226" t="str">
        <f t="shared" si="121"/>
        <v>WWB C&amp;E</v>
      </c>
      <c r="D226">
        <f t="shared" si="122"/>
        <v>2025</v>
      </c>
      <c r="E226">
        <f t="shared" si="123"/>
        <v>486.59109759469175</v>
      </c>
      <c r="F226">
        <f t="shared" si="124"/>
        <v>3</v>
      </c>
      <c r="H226">
        <f t="shared" si="126"/>
        <v>7</v>
      </c>
      <c r="I226">
        <f t="shared" si="127"/>
        <v>8</v>
      </c>
      <c r="J226">
        <f t="shared" si="128"/>
        <v>3</v>
      </c>
      <c r="K226" t="str">
        <f t="shared" si="125"/>
        <v>WWB C&amp;E.FSS_CHP_NEW</v>
      </c>
    </row>
    <row r="227" spans="2:11">
      <c r="B227" t="str">
        <f t="shared" si="120"/>
        <v>SOL_WIN_BAL_WASREN_NEW</v>
      </c>
      <c r="C227" t="str">
        <f t="shared" si="121"/>
        <v>WWB C&amp;E</v>
      </c>
      <c r="D227">
        <f t="shared" si="122"/>
        <v>2025</v>
      </c>
      <c r="E227">
        <f t="shared" si="123"/>
        <v>1990.5999447055572</v>
      </c>
      <c r="F227">
        <f t="shared" si="124"/>
        <v>3</v>
      </c>
      <c r="H227">
        <f t="shared" si="126"/>
        <v>8</v>
      </c>
      <c r="I227">
        <f t="shared" si="127"/>
        <v>8</v>
      </c>
      <c r="J227">
        <f t="shared" si="128"/>
        <v>3</v>
      </c>
      <c r="K227" t="str">
        <f t="shared" si="125"/>
        <v>WWB C&amp;E.SOL_WIN_BAL_WASREN_NEW</v>
      </c>
    </row>
    <row r="228" spans="2:11">
      <c r="B228" t="str">
        <f t="shared" si="120"/>
        <v>FSS_ELC_NEW</v>
      </c>
      <c r="C228" t="str">
        <f t="shared" si="121"/>
        <v>WWB C&amp;E</v>
      </c>
      <c r="D228">
        <f t="shared" si="122"/>
        <v>2025</v>
      </c>
      <c r="E228">
        <f t="shared" si="123"/>
        <v>1105.888858169754</v>
      </c>
      <c r="F228">
        <f t="shared" si="124"/>
        <v>3</v>
      </c>
      <c r="H228">
        <f t="shared" si="126"/>
        <v>9</v>
      </c>
      <c r="I228">
        <f t="shared" si="127"/>
        <v>8</v>
      </c>
      <c r="J228">
        <f t="shared" si="128"/>
        <v>3</v>
      </c>
      <c r="K228" t="str">
        <f t="shared" si="125"/>
        <v>WWB C&amp;E.FSS_ELC_NEW</v>
      </c>
    </row>
    <row r="229" spans="2:11">
      <c r="B229" t="str">
        <f t="shared" si="120"/>
        <v>HYD_TOT</v>
      </c>
      <c r="C229" t="str">
        <f t="shared" si="121"/>
        <v>POM C</v>
      </c>
      <c r="D229">
        <f t="shared" si="122"/>
        <v>2030</v>
      </c>
      <c r="E229">
        <f t="shared" si="123"/>
        <v>13709.231619679382</v>
      </c>
      <c r="F229">
        <f t="shared" si="124"/>
        <v>4</v>
      </c>
      <c r="H229">
        <f t="shared" si="126"/>
        <v>1</v>
      </c>
      <c r="I229">
        <f t="shared" si="127"/>
        <v>1</v>
      </c>
      <c r="J229">
        <f t="shared" si="128"/>
        <v>4</v>
      </c>
      <c r="K229" t="str">
        <f t="shared" si="125"/>
        <v>POM C.HYD_TOT</v>
      </c>
    </row>
    <row r="230" spans="2:11">
      <c r="B230" t="str">
        <f t="shared" si="120"/>
        <v>HYD_TOT_NEW</v>
      </c>
      <c r="C230" t="str">
        <f t="shared" si="121"/>
        <v>POM C</v>
      </c>
      <c r="D230">
        <f t="shared" si="122"/>
        <v>2030</v>
      </c>
      <c r="E230">
        <f t="shared" si="123"/>
        <v>3758.9828634604755</v>
      </c>
      <c r="F230">
        <f t="shared" si="124"/>
        <v>4</v>
      </c>
      <c r="H230">
        <f t="shared" si="126"/>
        <v>2</v>
      </c>
      <c r="I230">
        <f t="shared" si="127"/>
        <v>1</v>
      </c>
      <c r="J230">
        <f t="shared" si="128"/>
        <v>4</v>
      </c>
      <c r="K230" t="str">
        <f t="shared" si="125"/>
        <v>POM C.HYD_TOT_NEW</v>
      </c>
    </row>
    <row r="231" spans="2:11">
      <c r="B231" t="str">
        <f t="shared" si="120"/>
        <v>NUC_ELC</v>
      </c>
      <c r="C231" t="str">
        <f t="shared" si="121"/>
        <v>POM C</v>
      </c>
      <c r="D231">
        <f t="shared" si="122"/>
        <v>2030</v>
      </c>
      <c r="E231">
        <f t="shared" si="123"/>
        <v>1194.0298507462687</v>
      </c>
      <c r="F231">
        <f t="shared" si="124"/>
        <v>4</v>
      </c>
      <c r="H231">
        <f t="shared" si="126"/>
        <v>3</v>
      </c>
      <c r="I231">
        <f t="shared" si="127"/>
        <v>1</v>
      </c>
      <c r="J231">
        <f t="shared" si="128"/>
        <v>4</v>
      </c>
      <c r="K231" t="str">
        <f t="shared" si="125"/>
        <v>POM C.NUC_ELC</v>
      </c>
    </row>
    <row r="232" spans="2:11">
      <c r="B232" t="str">
        <f t="shared" si="120"/>
        <v>FSS_ELC</v>
      </c>
      <c r="C232" t="str">
        <f t="shared" si="121"/>
        <v>POM C</v>
      </c>
      <c r="D232">
        <f t="shared" si="122"/>
        <v>2030</v>
      </c>
      <c r="E232">
        <f t="shared" si="123"/>
        <v>0</v>
      </c>
      <c r="F232">
        <f t="shared" si="124"/>
        <v>4</v>
      </c>
      <c r="H232">
        <f t="shared" si="126"/>
        <v>4</v>
      </c>
      <c r="I232">
        <f t="shared" si="127"/>
        <v>1</v>
      </c>
      <c r="J232">
        <f t="shared" si="128"/>
        <v>4</v>
      </c>
      <c r="K232" t="str">
        <f t="shared" si="125"/>
        <v>POM C.FSS_ELC</v>
      </c>
    </row>
    <row r="233" spans="2:11">
      <c r="B233" t="str">
        <f t="shared" si="120"/>
        <v>FSS_CHP</v>
      </c>
      <c r="C233" t="str">
        <f t="shared" si="121"/>
        <v>POM C</v>
      </c>
      <c r="D233">
        <f t="shared" si="122"/>
        <v>2030</v>
      </c>
      <c r="E233">
        <f t="shared" si="123"/>
        <v>88.446655610834711</v>
      </c>
      <c r="F233">
        <f t="shared" si="124"/>
        <v>4</v>
      </c>
      <c r="H233">
        <f t="shared" si="126"/>
        <v>5</v>
      </c>
      <c r="I233">
        <f t="shared" si="127"/>
        <v>1</v>
      </c>
      <c r="J233">
        <f t="shared" si="128"/>
        <v>4</v>
      </c>
      <c r="K233" t="str">
        <f t="shared" si="125"/>
        <v>POM C.FSS_CHP</v>
      </c>
    </row>
    <row r="234" spans="2:11">
      <c r="B234" t="str">
        <f t="shared" si="120"/>
        <v>SOL_WIN_BAL_WASREN</v>
      </c>
      <c r="C234" t="str">
        <f t="shared" si="121"/>
        <v>POM C</v>
      </c>
      <c r="D234">
        <f t="shared" si="122"/>
        <v>2030</v>
      </c>
      <c r="E234">
        <f t="shared" si="123"/>
        <v>176.89331122166942</v>
      </c>
      <c r="F234">
        <f t="shared" si="124"/>
        <v>4</v>
      </c>
      <c r="H234">
        <f t="shared" si="126"/>
        <v>6</v>
      </c>
      <c r="I234">
        <f t="shared" si="127"/>
        <v>1</v>
      </c>
      <c r="J234">
        <f t="shared" si="128"/>
        <v>4</v>
      </c>
      <c r="K234" t="str">
        <f t="shared" si="125"/>
        <v>POM C.SOL_WIN_BAL_WASREN</v>
      </c>
    </row>
    <row r="235" spans="2:11">
      <c r="B235" t="str">
        <f t="shared" si="120"/>
        <v>FSS_CHP_NEW</v>
      </c>
      <c r="C235" t="str">
        <f t="shared" si="121"/>
        <v>POM C</v>
      </c>
      <c r="D235">
        <f t="shared" si="122"/>
        <v>2030</v>
      </c>
      <c r="E235">
        <f t="shared" si="123"/>
        <v>552.79159756771696</v>
      </c>
      <c r="F235">
        <f t="shared" si="124"/>
        <v>4</v>
      </c>
      <c r="H235">
        <f t="shared" si="126"/>
        <v>7</v>
      </c>
      <c r="I235">
        <f t="shared" si="127"/>
        <v>1</v>
      </c>
      <c r="J235">
        <f t="shared" si="128"/>
        <v>4</v>
      </c>
      <c r="K235" t="str">
        <f t="shared" si="125"/>
        <v>POM C.FSS_CHP_NEW</v>
      </c>
    </row>
    <row r="236" spans="2:11">
      <c r="B236" t="str">
        <f t="shared" si="120"/>
        <v>SOL_WIN_BAL_WASREN_NEW</v>
      </c>
      <c r="C236" t="str">
        <f t="shared" si="121"/>
        <v>POM C</v>
      </c>
      <c r="D236">
        <f t="shared" si="122"/>
        <v>2030</v>
      </c>
      <c r="E236">
        <f t="shared" si="123"/>
        <v>1437.1199557766722</v>
      </c>
      <c r="F236">
        <f t="shared" si="124"/>
        <v>4</v>
      </c>
      <c r="H236">
        <f t="shared" si="126"/>
        <v>8</v>
      </c>
      <c r="I236">
        <f t="shared" si="127"/>
        <v>1</v>
      </c>
      <c r="J236">
        <f t="shared" si="128"/>
        <v>4</v>
      </c>
      <c r="K236" t="str">
        <f t="shared" si="125"/>
        <v>POM C.SOL_WIN_BAL_WASREN_NEW</v>
      </c>
    </row>
    <row r="237" spans="2:11">
      <c r="B237" t="str">
        <f t="shared" si="120"/>
        <v>FSS_ELC_NEW</v>
      </c>
      <c r="C237" t="str">
        <f t="shared" si="121"/>
        <v>POM C</v>
      </c>
      <c r="D237">
        <f t="shared" si="122"/>
        <v>2030</v>
      </c>
      <c r="E237">
        <f t="shared" si="123"/>
        <v>1658.5129906025429</v>
      </c>
      <c r="F237">
        <f t="shared" si="124"/>
        <v>4</v>
      </c>
      <c r="H237">
        <f t="shared" si="126"/>
        <v>9</v>
      </c>
      <c r="I237">
        <f t="shared" si="127"/>
        <v>1</v>
      </c>
      <c r="J237">
        <f t="shared" si="128"/>
        <v>4</v>
      </c>
      <c r="K237" t="str">
        <f t="shared" si="125"/>
        <v>POM C.FSS_ELC_NEW</v>
      </c>
    </row>
    <row r="238" spans="2:11">
      <c r="B238" t="str">
        <f t="shared" si="120"/>
        <v>HYD_TOT</v>
      </c>
      <c r="C238" t="str">
        <f t="shared" si="121"/>
        <v>POM C&amp;E</v>
      </c>
      <c r="D238">
        <f t="shared" si="122"/>
        <v>2030</v>
      </c>
      <c r="E238">
        <f t="shared" si="123"/>
        <v>13731.343283582089</v>
      </c>
      <c r="F238">
        <f t="shared" si="124"/>
        <v>4</v>
      </c>
      <c r="H238">
        <f t="shared" si="126"/>
        <v>1</v>
      </c>
      <c r="I238">
        <f t="shared" si="127"/>
        <v>2</v>
      </c>
      <c r="J238">
        <f t="shared" si="128"/>
        <v>4</v>
      </c>
      <c r="K238" t="str">
        <f t="shared" si="125"/>
        <v>POM C&amp;E.HYD_TOT</v>
      </c>
    </row>
    <row r="239" spans="2:11">
      <c r="B239" t="str">
        <f t="shared" si="120"/>
        <v>HYD_TOT_NEW</v>
      </c>
      <c r="C239" t="str">
        <f t="shared" si="121"/>
        <v>POM C&amp;E</v>
      </c>
      <c r="D239">
        <f t="shared" si="122"/>
        <v>2030</v>
      </c>
      <c r="E239">
        <f t="shared" si="123"/>
        <v>3980.0995024875624</v>
      </c>
      <c r="F239">
        <f t="shared" si="124"/>
        <v>4</v>
      </c>
      <c r="H239">
        <f t="shared" si="126"/>
        <v>2</v>
      </c>
      <c r="I239">
        <f t="shared" si="127"/>
        <v>2</v>
      </c>
      <c r="J239">
        <f t="shared" si="128"/>
        <v>4</v>
      </c>
      <c r="K239" t="str">
        <f t="shared" si="125"/>
        <v>POM C&amp;E.HYD_TOT_NEW</v>
      </c>
    </row>
    <row r="240" spans="2:11">
      <c r="B240" t="str">
        <f t="shared" si="120"/>
        <v>NUC_ELC</v>
      </c>
      <c r="C240" t="str">
        <f t="shared" si="121"/>
        <v>POM C&amp;E</v>
      </c>
      <c r="D240">
        <f t="shared" si="122"/>
        <v>2030</v>
      </c>
      <c r="E240">
        <f t="shared" si="123"/>
        <v>1194.0298507462687</v>
      </c>
      <c r="F240">
        <f t="shared" si="124"/>
        <v>4</v>
      </c>
      <c r="H240">
        <f t="shared" si="126"/>
        <v>3</v>
      </c>
      <c r="I240">
        <f t="shared" si="127"/>
        <v>2</v>
      </c>
      <c r="J240">
        <f t="shared" si="128"/>
        <v>4</v>
      </c>
      <c r="K240" t="str">
        <f t="shared" si="125"/>
        <v>POM C&amp;E.NUC_ELC</v>
      </c>
    </row>
    <row r="241" spans="2:11">
      <c r="B241" t="str">
        <f t="shared" si="120"/>
        <v>FSS_ELC</v>
      </c>
      <c r="C241" t="str">
        <f t="shared" si="121"/>
        <v>POM C&amp;E</v>
      </c>
      <c r="D241">
        <f t="shared" si="122"/>
        <v>2030</v>
      </c>
      <c r="E241">
        <f t="shared" si="123"/>
        <v>0</v>
      </c>
      <c r="F241">
        <f t="shared" si="124"/>
        <v>4</v>
      </c>
      <c r="H241">
        <f t="shared" si="126"/>
        <v>4</v>
      </c>
      <c r="I241">
        <f t="shared" si="127"/>
        <v>2</v>
      </c>
      <c r="J241">
        <f t="shared" si="128"/>
        <v>4</v>
      </c>
      <c r="K241" t="str">
        <f t="shared" si="125"/>
        <v>POM C&amp;E.FSS_ELC</v>
      </c>
    </row>
    <row r="242" spans="2:11">
      <c r="B242" t="str">
        <f t="shared" si="120"/>
        <v>FSS_CHP</v>
      </c>
      <c r="C242" t="str">
        <f t="shared" si="121"/>
        <v>POM C&amp;E</v>
      </c>
      <c r="D242">
        <f t="shared" si="122"/>
        <v>2030</v>
      </c>
      <c r="E242">
        <f t="shared" si="123"/>
        <v>88.308457711442784</v>
      </c>
      <c r="F242">
        <f t="shared" si="124"/>
        <v>4</v>
      </c>
      <c r="H242">
        <f t="shared" si="126"/>
        <v>5</v>
      </c>
      <c r="I242">
        <f t="shared" si="127"/>
        <v>2</v>
      </c>
      <c r="J242">
        <f t="shared" si="128"/>
        <v>4</v>
      </c>
      <c r="K242" t="str">
        <f t="shared" si="125"/>
        <v>POM C&amp;E.FSS_CHP</v>
      </c>
    </row>
    <row r="243" spans="2:11">
      <c r="B243" t="str">
        <f t="shared" si="120"/>
        <v>SOL_WIN_BAL_WASREN</v>
      </c>
      <c r="C243" t="str">
        <f t="shared" si="121"/>
        <v>POM C&amp;E</v>
      </c>
      <c r="D243">
        <f t="shared" si="122"/>
        <v>2030</v>
      </c>
      <c r="E243">
        <f t="shared" si="123"/>
        <v>176.89331122166942</v>
      </c>
      <c r="F243">
        <f t="shared" si="124"/>
        <v>4</v>
      </c>
      <c r="H243">
        <f t="shared" si="126"/>
        <v>6</v>
      </c>
      <c r="I243">
        <f t="shared" si="127"/>
        <v>2</v>
      </c>
      <c r="J243">
        <f t="shared" si="128"/>
        <v>4</v>
      </c>
      <c r="K243" t="str">
        <f t="shared" si="125"/>
        <v>POM C&amp;E.SOL_WIN_BAL_WASREN</v>
      </c>
    </row>
    <row r="244" spans="2:11">
      <c r="B244" t="str">
        <f t="shared" si="120"/>
        <v>FSS_CHP_NEW</v>
      </c>
      <c r="C244" t="str">
        <f t="shared" si="121"/>
        <v>POM C&amp;E</v>
      </c>
      <c r="D244">
        <f t="shared" si="122"/>
        <v>2030</v>
      </c>
      <c r="E244">
        <f t="shared" si="123"/>
        <v>552.79159756771696</v>
      </c>
      <c r="F244">
        <f t="shared" si="124"/>
        <v>4</v>
      </c>
      <c r="H244">
        <f t="shared" si="126"/>
        <v>7</v>
      </c>
      <c r="I244">
        <f t="shared" si="127"/>
        <v>2</v>
      </c>
      <c r="J244">
        <f t="shared" si="128"/>
        <v>4</v>
      </c>
      <c r="K244" t="str">
        <f t="shared" si="125"/>
        <v>POM C&amp;E.FSS_CHP_NEW</v>
      </c>
    </row>
    <row r="245" spans="2:11">
      <c r="B245" t="str">
        <f t="shared" si="120"/>
        <v>SOL_WIN_BAL_WASREN_NEW</v>
      </c>
      <c r="C245" t="str">
        <f t="shared" si="121"/>
        <v>POM C&amp;E</v>
      </c>
      <c r="D245">
        <f t="shared" si="122"/>
        <v>2030</v>
      </c>
      <c r="E245">
        <f t="shared" si="123"/>
        <v>3338.7230514096186</v>
      </c>
      <c r="F245">
        <f t="shared" si="124"/>
        <v>4</v>
      </c>
      <c r="H245">
        <f t="shared" si="126"/>
        <v>8</v>
      </c>
      <c r="I245">
        <f t="shared" si="127"/>
        <v>2</v>
      </c>
      <c r="J245">
        <f t="shared" si="128"/>
        <v>4</v>
      </c>
      <c r="K245" t="str">
        <f t="shared" si="125"/>
        <v>POM C&amp;E.SOL_WIN_BAL_WASREN_NEW</v>
      </c>
    </row>
    <row r="246" spans="2:11">
      <c r="B246" t="str">
        <f t="shared" si="120"/>
        <v>FSS_ELC_NEW</v>
      </c>
      <c r="C246" t="str">
        <f t="shared" si="121"/>
        <v>POM C&amp;E</v>
      </c>
      <c r="D246">
        <f t="shared" si="122"/>
        <v>2030</v>
      </c>
      <c r="E246">
        <f t="shared" si="123"/>
        <v>1127.8330569375346</v>
      </c>
      <c r="F246">
        <f t="shared" si="124"/>
        <v>4</v>
      </c>
      <c r="H246">
        <f t="shared" si="126"/>
        <v>9</v>
      </c>
      <c r="I246">
        <f t="shared" si="127"/>
        <v>2</v>
      </c>
      <c r="J246">
        <f t="shared" si="128"/>
        <v>4</v>
      </c>
      <c r="K246" t="str">
        <f t="shared" si="125"/>
        <v>POM C&amp;E.FSS_ELC_NEW</v>
      </c>
    </row>
    <row r="247" spans="2:11">
      <c r="B247" t="str">
        <f t="shared" si="120"/>
        <v>HYD_TOT</v>
      </c>
      <c r="C247" t="str">
        <f t="shared" si="121"/>
        <v>POM E</v>
      </c>
      <c r="D247">
        <f t="shared" si="122"/>
        <v>2030</v>
      </c>
      <c r="E247">
        <f t="shared" si="123"/>
        <v>13713.02184130495</v>
      </c>
      <c r="F247">
        <f t="shared" si="124"/>
        <v>4</v>
      </c>
      <c r="H247">
        <f t="shared" si="126"/>
        <v>1</v>
      </c>
      <c r="I247">
        <f t="shared" si="127"/>
        <v>3</v>
      </c>
      <c r="J247">
        <f t="shared" si="128"/>
        <v>4</v>
      </c>
      <c r="K247" t="str">
        <f t="shared" si="125"/>
        <v>POM E.HYD_TOT</v>
      </c>
    </row>
    <row r="248" spans="2:11">
      <c r="B248" t="str">
        <f t="shared" si="120"/>
        <v>HYD_TOT_NEW</v>
      </c>
      <c r="C248" t="str">
        <f t="shared" si="121"/>
        <v>POM E</v>
      </c>
      <c r="D248">
        <f t="shared" si="122"/>
        <v>2030</v>
      </c>
      <c r="E248">
        <f t="shared" si="123"/>
        <v>3981.1998894111143</v>
      </c>
      <c r="F248">
        <f t="shared" si="124"/>
        <v>4</v>
      </c>
      <c r="H248">
        <f t="shared" si="126"/>
        <v>2</v>
      </c>
      <c r="I248">
        <f t="shared" si="127"/>
        <v>3</v>
      </c>
      <c r="J248">
        <f t="shared" si="128"/>
        <v>4</v>
      </c>
      <c r="K248" t="str">
        <f t="shared" si="125"/>
        <v>POM E.HYD_TOT_NEW</v>
      </c>
    </row>
    <row r="249" spans="2:11">
      <c r="B249" t="str">
        <f t="shared" si="120"/>
        <v>NUC_ELC</v>
      </c>
      <c r="C249" t="str">
        <f t="shared" si="121"/>
        <v>POM E</v>
      </c>
      <c r="D249">
        <f t="shared" si="122"/>
        <v>2030</v>
      </c>
      <c r="E249">
        <f t="shared" si="123"/>
        <v>1194.4982029306054</v>
      </c>
      <c r="F249">
        <f t="shared" si="124"/>
        <v>4</v>
      </c>
      <c r="H249">
        <f t="shared" si="126"/>
        <v>3</v>
      </c>
      <c r="I249">
        <f t="shared" si="127"/>
        <v>3</v>
      </c>
      <c r="J249">
        <f t="shared" si="128"/>
        <v>4</v>
      </c>
      <c r="K249" t="str">
        <f t="shared" si="125"/>
        <v>POM E.NUC_ELC</v>
      </c>
    </row>
    <row r="250" spans="2:11">
      <c r="B250" t="str">
        <f t="shared" si="120"/>
        <v>FSS_ELC</v>
      </c>
      <c r="C250" t="str">
        <f t="shared" si="121"/>
        <v>POM E</v>
      </c>
      <c r="D250">
        <f t="shared" si="122"/>
        <v>2030</v>
      </c>
      <c r="E250">
        <f t="shared" si="123"/>
        <v>0</v>
      </c>
      <c r="F250">
        <f t="shared" si="124"/>
        <v>4</v>
      </c>
      <c r="H250">
        <f t="shared" si="126"/>
        <v>4</v>
      </c>
      <c r="I250">
        <f t="shared" si="127"/>
        <v>3</v>
      </c>
      <c r="J250">
        <f t="shared" si="128"/>
        <v>4</v>
      </c>
      <c r="K250" t="str">
        <f t="shared" si="125"/>
        <v>POM E.FSS_ELC</v>
      </c>
    </row>
    <row r="251" spans="2:11">
      <c r="B251" t="str">
        <f t="shared" si="120"/>
        <v>FSS_CHP</v>
      </c>
      <c r="C251" t="str">
        <f t="shared" si="121"/>
        <v>POM E</v>
      </c>
      <c r="D251">
        <f t="shared" si="122"/>
        <v>2030</v>
      </c>
      <c r="E251">
        <f t="shared" si="123"/>
        <v>88.33287254630909</v>
      </c>
      <c r="F251">
        <f t="shared" si="124"/>
        <v>4</v>
      </c>
      <c r="H251">
        <f t="shared" si="126"/>
        <v>5</v>
      </c>
      <c r="I251">
        <f t="shared" si="127"/>
        <v>3</v>
      </c>
      <c r="J251">
        <f t="shared" si="128"/>
        <v>4</v>
      </c>
      <c r="K251" t="str">
        <f t="shared" si="125"/>
        <v>POM E.FSS_CHP</v>
      </c>
    </row>
    <row r="252" spans="2:11">
      <c r="B252" t="str">
        <f t="shared" si="120"/>
        <v>SOL_WIN_BAL_WASREN</v>
      </c>
      <c r="C252" t="str">
        <f t="shared" si="121"/>
        <v>POM E</v>
      </c>
      <c r="D252">
        <f t="shared" si="122"/>
        <v>2030</v>
      </c>
      <c r="E252">
        <f t="shared" si="123"/>
        <v>154.82444014376554</v>
      </c>
      <c r="F252">
        <f t="shared" si="124"/>
        <v>4</v>
      </c>
      <c r="H252">
        <f t="shared" si="126"/>
        <v>6</v>
      </c>
      <c r="I252">
        <f t="shared" si="127"/>
        <v>3</v>
      </c>
      <c r="J252">
        <f t="shared" si="128"/>
        <v>4</v>
      </c>
      <c r="K252" t="str">
        <f t="shared" si="125"/>
        <v>POM E.SOL_WIN_BAL_WASREN</v>
      </c>
    </row>
    <row r="253" spans="2:11">
      <c r="B253" t="str">
        <f t="shared" si="120"/>
        <v>FSS_CHP_NEW</v>
      </c>
      <c r="C253" t="str">
        <f t="shared" si="121"/>
        <v>POM E</v>
      </c>
      <c r="D253">
        <f t="shared" si="122"/>
        <v>2030</v>
      </c>
      <c r="E253">
        <f t="shared" si="123"/>
        <v>552.94442908487702</v>
      </c>
      <c r="F253">
        <f t="shared" si="124"/>
        <v>4</v>
      </c>
      <c r="H253">
        <f t="shared" si="126"/>
        <v>7</v>
      </c>
      <c r="I253">
        <f t="shared" si="127"/>
        <v>3</v>
      </c>
      <c r="J253">
        <f t="shared" si="128"/>
        <v>4</v>
      </c>
      <c r="K253" t="str">
        <f t="shared" si="125"/>
        <v>POM E.FSS_CHP_NEW</v>
      </c>
    </row>
    <row r="254" spans="2:11">
      <c r="B254" t="str">
        <f t="shared" si="120"/>
        <v>SOL_WIN_BAL_WASREN_NEW</v>
      </c>
      <c r="C254" t="str">
        <f t="shared" si="121"/>
        <v>POM E</v>
      </c>
      <c r="D254">
        <f t="shared" si="122"/>
        <v>2030</v>
      </c>
      <c r="E254">
        <f t="shared" si="123"/>
        <v>3361.9021288360518</v>
      </c>
      <c r="F254">
        <f t="shared" si="124"/>
        <v>4</v>
      </c>
      <c r="H254">
        <f t="shared" si="126"/>
        <v>8</v>
      </c>
      <c r="I254">
        <f t="shared" si="127"/>
        <v>3</v>
      </c>
      <c r="J254">
        <f t="shared" si="128"/>
        <v>4</v>
      </c>
      <c r="K254" t="str">
        <f t="shared" si="125"/>
        <v>POM E.SOL_WIN_BAL_WASREN_NEW</v>
      </c>
    </row>
    <row r="255" spans="2:11">
      <c r="B255" t="str">
        <f t="shared" si="120"/>
        <v>FSS_ELC_NEW</v>
      </c>
      <c r="C255" t="str">
        <f t="shared" si="121"/>
        <v>POM E</v>
      </c>
      <c r="D255">
        <f t="shared" si="122"/>
        <v>2030</v>
      </c>
      <c r="E255">
        <f t="shared" si="123"/>
        <v>0</v>
      </c>
      <c r="F255">
        <f t="shared" si="124"/>
        <v>4</v>
      </c>
      <c r="H255">
        <f t="shared" si="126"/>
        <v>9</v>
      </c>
      <c r="I255">
        <f t="shared" si="127"/>
        <v>3</v>
      </c>
      <c r="J255">
        <f t="shared" si="128"/>
        <v>4</v>
      </c>
      <c r="K255" t="str">
        <f t="shared" si="125"/>
        <v>POM E.FSS_ELC_NEW</v>
      </c>
    </row>
    <row r="256" spans="2:11">
      <c r="B256" t="str">
        <f t="shared" si="120"/>
        <v>HYD_TOT</v>
      </c>
      <c r="C256" t="str">
        <f t="shared" si="121"/>
        <v>NEP C</v>
      </c>
      <c r="D256">
        <f t="shared" si="122"/>
        <v>2030</v>
      </c>
      <c r="E256">
        <f t="shared" si="123"/>
        <v>13735.139618468344</v>
      </c>
      <c r="F256">
        <f t="shared" si="124"/>
        <v>4</v>
      </c>
      <c r="H256">
        <f t="shared" si="126"/>
        <v>1</v>
      </c>
      <c r="I256">
        <f t="shared" si="127"/>
        <v>4</v>
      </c>
      <c r="J256">
        <f t="shared" si="128"/>
        <v>4</v>
      </c>
      <c r="K256" t="str">
        <f t="shared" si="125"/>
        <v>NEP C.HYD_TOT</v>
      </c>
    </row>
    <row r="257" spans="2:11">
      <c r="B257" t="str">
        <f t="shared" si="120"/>
        <v>HYD_TOT_NEW</v>
      </c>
      <c r="C257" t="str">
        <f t="shared" si="121"/>
        <v>NEP C</v>
      </c>
      <c r="D257">
        <f t="shared" si="122"/>
        <v>2030</v>
      </c>
      <c r="E257">
        <f t="shared" si="123"/>
        <v>3760.0221177771632</v>
      </c>
      <c r="F257">
        <f t="shared" si="124"/>
        <v>4</v>
      </c>
      <c r="H257">
        <f t="shared" si="126"/>
        <v>2</v>
      </c>
      <c r="I257">
        <f t="shared" si="127"/>
        <v>4</v>
      </c>
      <c r="J257">
        <f t="shared" si="128"/>
        <v>4</v>
      </c>
      <c r="K257" t="str">
        <f t="shared" si="125"/>
        <v>NEP C.HYD_TOT_NEW</v>
      </c>
    </row>
    <row r="258" spans="2:11">
      <c r="B258" t="str">
        <f t="shared" si="120"/>
        <v>NUC_ELC</v>
      </c>
      <c r="C258" t="str">
        <f t="shared" si="121"/>
        <v>NEP C</v>
      </c>
      <c r="D258">
        <f t="shared" si="122"/>
        <v>2030</v>
      </c>
      <c r="E258">
        <f t="shared" si="123"/>
        <v>1194.3599668233342</v>
      </c>
      <c r="F258">
        <f t="shared" si="124"/>
        <v>4</v>
      </c>
      <c r="H258">
        <f t="shared" si="126"/>
        <v>3</v>
      </c>
      <c r="I258">
        <f t="shared" si="127"/>
        <v>4</v>
      </c>
      <c r="J258">
        <f t="shared" si="128"/>
        <v>4</v>
      </c>
      <c r="K258" t="str">
        <f t="shared" si="125"/>
        <v>NEP C.NUC_ELC</v>
      </c>
    </row>
    <row r="259" spans="2:11">
      <c r="B259" t="str">
        <f t="shared" si="120"/>
        <v>FSS_ELC</v>
      </c>
      <c r="C259" t="str">
        <f t="shared" si="121"/>
        <v>NEP C</v>
      </c>
      <c r="D259">
        <f t="shared" si="122"/>
        <v>2030</v>
      </c>
      <c r="E259">
        <f t="shared" si="123"/>
        <v>0</v>
      </c>
      <c r="F259">
        <f t="shared" si="124"/>
        <v>4</v>
      </c>
      <c r="H259">
        <f t="shared" si="126"/>
        <v>4</v>
      </c>
      <c r="I259">
        <f t="shared" si="127"/>
        <v>4</v>
      </c>
      <c r="J259">
        <f t="shared" si="128"/>
        <v>4</v>
      </c>
      <c r="K259" t="str">
        <f t="shared" si="125"/>
        <v>NEP C.FSS_ELC</v>
      </c>
    </row>
    <row r="260" spans="2:11">
      <c r="B260" t="str">
        <f t="shared" si="120"/>
        <v>FSS_CHP</v>
      </c>
      <c r="C260" t="str">
        <f t="shared" si="121"/>
        <v>NEP C</v>
      </c>
      <c r="D260">
        <f t="shared" si="122"/>
        <v>2030</v>
      </c>
      <c r="E260">
        <f t="shared" si="123"/>
        <v>88.471108653580316</v>
      </c>
      <c r="F260">
        <f t="shared" si="124"/>
        <v>4</v>
      </c>
      <c r="H260">
        <f t="shared" si="126"/>
        <v>5</v>
      </c>
      <c r="I260">
        <f t="shared" si="127"/>
        <v>4</v>
      </c>
      <c r="J260">
        <f t="shared" si="128"/>
        <v>4</v>
      </c>
      <c r="K260" t="str">
        <f t="shared" si="125"/>
        <v>NEP C.FSS_CHP</v>
      </c>
    </row>
    <row r="261" spans="2:11">
      <c r="B261" t="str">
        <f t="shared" si="120"/>
        <v>SOL_WIN_BAL_WASREN</v>
      </c>
      <c r="C261" t="str">
        <f t="shared" si="121"/>
        <v>NEP C</v>
      </c>
      <c r="D261">
        <f t="shared" si="122"/>
        <v>2030</v>
      </c>
      <c r="E261">
        <f t="shared" si="123"/>
        <v>154.82444014376554</v>
      </c>
      <c r="F261">
        <f t="shared" si="124"/>
        <v>4</v>
      </c>
      <c r="H261">
        <f t="shared" si="126"/>
        <v>6</v>
      </c>
      <c r="I261">
        <f t="shared" si="127"/>
        <v>4</v>
      </c>
      <c r="J261">
        <f t="shared" si="128"/>
        <v>4</v>
      </c>
      <c r="K261" t="str">
        <f t="shared" si="125"/>
        <v>NEP C.SOL_WIN_BAL_WASREN</v>
      </c>
    </row>
    <row r="262" spans="2:11">
      <c r="B262" t="str">
        <f t="shared" si="120"/>
        <v>FSS_CHP_NEW</v>
      </c>
      <c r="C262" t="str">
        <f t="shared" si="121"/>
        <v>NEP C</v>
      </c>
      <c r="D262">
        <f t="shared" si="122"/>
        <v>2030</v>
      </c>
      <c r="E262">
        <f t="shared" si="123"/>
        <v>552.94442908487702</v>
      </c>
      <c r="F262">
        <f t="shared" si="124"/>
        <v>4</v>
      </c>
      <c r="H262">
        <f t="shared" si="126"/>
        <v>7</v>
      </c>
      <c r="I262">
        <f t="shared" si="127"/>
        <v>4</v>
      </c>
      <c r="J262">
        <f t="shared" si="128"/>
        <v>4</v>
      </c>
      <c r="K262" t="str">
        <f t="shared" si="125"/>
        <v>NEP C.FSS_CHP_NEW</v>
      </c>
    </row>
    <row r="263" spans="2:11">
      <c r="B263" t="str">
        <f t="shared" si="120"/>
        <v>SOL_WIN_BAL_WASREN_NEW</v>
      </c>
      <c r="C263" t="str">
        <f t="shared" si="121"/>
        <v>NEP C</v>
      </c>
      <c r="D263">
        <f t="shared" si="122"/>
        <v>2030</v>
      </c>
      <c r="E263">
        <f t="shared" si="123"/>
        <v>1437.65551562068</v>
      </c>
      <c r="F263">
        <f t="shared" si="124"/>
        <v>4</v>
      </c>
      <c r="H263">
        <f t="shared" si="126"/>
        <v>8</v>
      </c>
      <c r="I263">
        <f t="shared" si="127"/>
        <v>4</v>
      </c>
      <c r="J263">
        <f t="shared" si="128"/>
        <v>4</v>
      </c>
      <c r="K263" t="str">
        <f t="shared" si="125"/>
        <v>NEP C.SOL_WIN_BAL_WASREN_NEW</v>
      </c>
    </row>
    <row r="264" spans="2:11">
      <c r="B264" t="str">
        <f t="shared" si="120"/>
        <v>FSS_ELC_NEW</v>
      </c>
      <c r="C264" t="str">
        <f t="shared" si="121"/>
        <v>NEP C</v>
      </c>
      <c r="D264">
        <f t="shared" si="122"/>
        <v>2030</v>
      </c>
      <c r="E264">
        <f t="shared" si="123"/>
        <v>1680.9510644180259</v>
      </c>
      <c r="F264">
        <f t="shared" si="124"/>
        <v>4</v>
      </c>
      <c r="H264">
        <f t="shared" si="126"/>
        <v>9</v>
      </c>
      <c r="I264">
        <f t="shared" si="127"/>
        <v>4</v>
      </c>
      <c r="J264">
        <f t="shared" si="128"/>
        <v>4</v>
      </c>
      <c r="K264" t="str">
        <f t="shared" si="125"/>
        <v>NEP C.FSS_ELC_NEW</v>
      </c>
    </row>
    <row r="265" spans="2:11">
      <c r="B265" t="str">
        <f t="shared" si="120"/>
        <v>HYD_TOT</v>
      </c>
      <c r="C265" t="str">
        <f t="shared" si="121"/>
        <v>NEP C&amp;E</v>
      </c>
      <c r="D265">
        <f t="shared" si="122"/>
        <v>2030</v>
      </c>
      <c r="E265">
        <f t="shared" si="123"/>
        <v>13735.139618468344</v>
      </c>
      <c r="F265">
        <f t="shared" si="124"/>
        <v>4</v>
      </c>
      <c r="H265">
        <f t="shared" si="126"/>
        <v>1</v>
      </c>
      <c r="I265">
        <f t="shared" si="127"/>
        <v>5</v>
      </c>
      <c r="J265">
        <f t="shared" si="128"/>
        <v>4</v>
      </c>
      <c r="K265" t="str">
        <f t="shared" si="125"/>
        <v>NEP C&amp;E.HYD_TOT</v>
      </c>
    </row>
    <row r="266" spans="2:11">
      <c r="B266" t="str">
        <f t="shared" si="120"/>
        <v>HYD_TOT_NEW</v>
      </c>
      <c r="C266" t="str">
        <f t="shared" si="121"/>
        <v>NEP C&amp;E</v>
      </c>
      <c r="D266">
        <f t="shared" si="122"/>
        <v>2030</v>
      </c>
      <c r="E266">
        <f t="shared" si="123"/>
        <v>3981.1998894111143</v>
      </c>
      <c r="F266">
        <f t="shared" si="124"/>
        <v>4</v>
      </c>
      <c r="H266">
        <f t="shared" si="126"/>
        <v>2</v>
      </c>
      <c r="I266">
        <f t="shared" si="127"/>
        <v>5</v>
      </c>
      <c r="J266">
        <f t="shared" si="128"/>
        <v>4</v>
      </c>
      <c r="K266" t="str">
        <f t="shared" si="125"/>
        <v>NEP C&amp;E.HYD_TOT_NEW</v>
      </c>
    </row>
    <row r="267" spans="2:11">
      <c r="B267" t="str">
        <f t="shared" si="120"/>
        <v>NUC_ELC</v>
      </c>
      <c r="C267" t="str">
        <f t="shared" si="121"/>
        <v>NEP C&amp;E</v>
      </c>
      <c r="D267">
        <f t="shared" si="122"/>
        <v>2030</v>
      </c>
      <c r="E267">
        <f t="shared" si="123"/>
        <v>1194.3599668233342</v>
      </c>
      <c r="F267">
        <f t="shared" si="124"/>
        <v>4</v>
      </c>
      <c r="H267">
        <f t="shared" si="126"/>
        <v>3</v>
      </c>
      <c r="I267">
        <f t="shared" si="127"/>
        <v>5</v>
      </c>
      <c r="J267">
        <f t="shared" si="128"/>
        <v>4</v>
      </c>
      <c r="K267" t="str">
        <f t="shared" si="125"/>
        <v>NEP C&amp;E.NUC_ELC</v>
      </c>
    </row>
    <row r="268" spans="2:11">
      <c r="B268" t="str">
        <f t="shared" si="120"/>
        <v>FSS_ELC</v>
      </c>
      <c r="C268" t="str">
        <f t="shared" si="121"/>
        <v>NEP C&amp;E</v>
      </c>
      <c r="D268">
        <f t="shared" si="122"/>
        <v>2030</v>
      </c>
      <c r="E268">
        <f t="shared" si="123"/>
        <v>0</v>
      </c>
      <c r="F268">
        <f t="shared" si="124"/>
        <v>4</v>
      </c>
      <c r="H268">
        <f t="shared" si="126"/>
        <v>4</v>
      </c>
      <c r="I268">
        <f t="shared" si="127"/>
        <v>5</v>
      </c>
      <c r="J268">
        <f t="shared" si="128"/>
        <v>4</v>
      </c>
      <c r="K268" t="str">
        <f t="shared" si="125"/>
        <v>NEP C&amp;E.FSS_ELC</v>
      </c>
    </row>
    <row r="269" spans="2:11">
      <c r="B269" t="str">
        <f t="shared" ref="B269:B332" si="129">INDEX(H$3:H$11,H269)</f>
        <v>FSS_CHP</v>
      </c>
      <c r="C269" t="str">
        <f t="shared" ref="C269:C332" si="130">INDEX(I$3:I$11,I269)</f>
        <v>NEP C&amp;E</v>
      </c>
      <c r="D269">
        <f t="shared" ref="D269:D332" si="131">INDEX(J$3:J$11,J269)</f>
        <v>2030</v>
      </c>
      <c r="E269">
        <f t="shared" ref="E269:E332" si="132">INDEX($U$28:$AB$156,MATCH(K269,$Q$28:$Q$156,0),MATCH(D269,$U$26:$AB$26,0))</f>
        <v>88.609344760851528</v>
      </c>
      <c r="F269">
        <f t="shared" ref="F269:F332" si="133">MATCH(D269,$U$26:$AB$26,0)</f>
        <v>4</v>
      </c>
      <c r="H269">
        <f t="shared" si="126"/>
        <v>5</v>
      </c>
      <c r="I269">
        <f t="shared" si="127"/>
        <v>5</v>
      </c>
      <c r="J269">
        <f t="shared" si="128"/>
        <v>4</v>
      </c>
      <c r="K269" t="str">
        <f t="shared" ref="K269:K332" si="134">C269&amp;"."&amp;B269</f>
        <v>NEP C&amp;E.FSS_CHP</v>
      </c>
    </row>
    <row r="270" spans="2:11">
      <c r="B270" t="str">
        <f t="shared" si="129"/>
        <v>SOL_WIN_BAL_WASREN</v>
      </c>
      <c r="C270" t="str">
        <f t="shared" si="130"/>
        <v>NEP C&amp;E</v>
      </c>
      <c r="D270">
        <f t="shared" si="131"/>
        <v>2030</v>
      </c>
      <c r="E270">
        <f t="shared" si="132"/>
        <v>154.96267625103678</v>
      </c>
      <c r="F270">
        <f t="shared" si="133"/>
        <v>4</v>
      </c>
      <c r="H270">
        <f t="shared" ref="H270:H333" si="135">IF(H269=COUNTA($H$3:$H$11),1,H269+1)</f>
        <v>6</v>
      </c>
      <c r="I270">
        <f t="shared" ref="I270:I333" si="136">IF(H270=1,IF(I269=COUNTA($I$3:$I$11),1,I269+1),I269)</f>
        <v>5</v>
      </c>
      <c r="J270">
        <f t="shared" ref="J270:J333" si="137">IF(AND(I270=1,I269&gt;1),IF(J269=$J$2,1,J269+1),J269)</f>
        <v>4</v>
      </c>
      <c r="K270" t="str">
        <f t="shared" si="134"/>
        <v>NEP C&amp;E.SOL_WIN_BAL_WASREN</v>
      </c>
    </row>
    <row r="271" spans="2:11">
      <c r="B271" t="str">
        <f t="shared" si="129"/>
        <v>FSS_CHP_NEW</v>
      </c>
      <c r="C271" t="str">
        <f t="shared" si="130"/>
        <v>NEP C&amp;E</v>
      </c>
      <c r="D271">
        <f t="shared" si="131"/>
        <v>2030</v>
      </c>
      <c r="E271">
        <f t="shared" si="132"/>
        <v>552.94442908487702</v>
      </c>
      <c r="F271">
        <f t="shared" si="133"/>
        <v>4</v>
      </c>
      <c r="H271">
        <f t="shared" si="135"/>
        <v>7</v>
      </c>
      <c r="I271">
        <f t="shared" si="136"/>
        <v>5</v>
      </c>
      <c r="J271">
        <f t="shared" si="137"/>
        <v>4</v>
      </c>
      <c r="K271" t="str">
        <f t="shared" si="134"/>
        <v>NEP C&amp;E.FSS_CHP_NEW</v>
      </c>
    </row>
    <row r="272" spans="2:11">
      <c r="B272" t="str">
        <f t="shared" si="129"/>
        <v>SOL_WIN_BAL_WASREN_NEW</v>
      </c>
      <c r="C272" t="str">
        <f t="shared" si="130"/>
        <v>NEP C&amp;E</v>
      </c>
      <c r="D272">
        <f t="shared" si="131"/>
        <v>2030</v>
      </c>
      <c r="E272">
        <f t="shared" si="132"/>
        <v>3361.7638927287808</v>
      </c>
      <c r="F272">
        <f t="shared" si="133"/>
        <v>4</v>
      </c>
      <c r="H272">
        <f t="shared" si="135"/>
        <v>8</v>
      </c>
      <c r="I272">
        <f t="shared" si="136"/>
        <v>5</v>
      </c>
      <c r="J272">
        <f t="shared" si="137"/>
        <v>4</v>
      </c>
      <c r="K272" t="str">
        <f t="shared" si="134"/>
        <v>NEP C&amp;E.SOL_WIN_BAL_WASREN_NEW</v>
      </c>
    </row>
    <row r="273" spans="2:11">
      <c r="B273" t="str">
        <f t="shared" si="129"/>
        <v>FSS_ELC_NEW</v>
      </c>
      <c r="C273" t="str">
        <f t="shared" si="130"/>
        <v>NEP C&amp;E</v>
      </c>
      <c r="D273">
        <f t="shared" si="131"/>
        <v>2030</v>
      </c>
      <c r="E273">
        <f t="shared" si="132"/>
        <v>552.94442908487702</v>
      </c>
      <c r="F273">
        <f t="shared" si="133"/>
        <v>4</v>
      </c>
      <c r="H273">
        <f t="shared" si="135"/>
        <v>9</v>
      </c>
      <c r="I273">
        <f t="shared" si="136"/>
        <v>5</v>
      </c>
      <c r="J273">
        <f t="shared" si="137"/>
        <v>4</v>
      </c>
      <c r="K273" t="str">
        <f t="shared" si="134"/>
        <v>NEP C&amp;E.FSS_ELC_NEW</v>
      </c>
    </row>
    <row r="274" spans="2:11">
      <c r="B274" t="str">
        <f t="shared" si="129"/>
        <v>HYD_TOT</v>
      </c>
      <c r="C274" t="str">
        <f t="shared" si="130"/>
        <v>NEP E</v>
      </c>
      <c r="D274">
        <f t="shared" si="131"/>
        <v>2030</v>
      </c>
      <c r="E274">
        <f t="shared" si="132"/>
        <v>13735.139618468344</v>
      </c>
      <c r="F274">
        <f t="shared" si="133"/>
        <v>4</v>
      </c>
      <c r="H274">
        <f t="shared" si="135"/>
        <v>1</v>
      </c>
      <c r="I274">
        <f t="shared" si="136"/>
        <v>6</v>
      </c>
      <c r="J274">
        <f t="shared" si="137"/>
        <v>4</v>
      </c>
      <c r="K274" t="str">
        <f t="shared" si="134"/>
        <v>NEP E.HYD_TOT</v>
      </c>
    </row>
    <row r="275" spans="2:11">
      <c r="B275" t="str">
        <f t="shared" si="129"/>
        <v>HYD_TOT_NEW</v>
      </c>
      <c r="C275" t="str">
        <f t="shared" si="130"/>
        <v>NEP E</v>
      </c>
      <c r="D275">
        <f t="shared" si="131"/>
        <v>2030</v>
      </c>
      <c r="E275">
        <f t="shared" si="132"/>
        <v>4003.3176665745091</v>
      </c>
      <c r="F275">
        <f t="shared" si="133"/>
        <v>4</v>
      </c>
      <c r="H275">
        <f t="shared" si="135"/>
        <v>2</v>
      </c>
      <c r="I275">
        <f t="shared" si="136"/>
        <v>6</v>
      </c>
      <c r="J275">
        <f t="shared" si="137"/>
        <v>4</v>
      </c>
      <c r="K275" t="str">
        <f t="shared" si="134"/>
        <v>NEP E.HYD_TOT_NEW</v>
      </c>
    </row>
    <row r="276" spans="2:11">
      <c r="B276" t="str">
        <f t="shared" si="129"/>
        <v>NUC_ELC</v>
      </c>
      <c r="C276" t="str">
        <f t="shared" si="130"/>
        <v>NEP E</v>
      </c>
      <c r="D276">
        <f t="shared" si="131"/>
        <v>2030</v>
      </c>
      <c r="E276">
        <f t="shared" si="132"/>
        <v>1194.3599668233342</v>
      </c>
      <c r="F276">
        <f t="shared" si="133"/>
        <v>4</v>
      </c>
      <c r="H276">
        <f t="shared" si="135"/>
        <v>3</v>
      </c>
      <c r="I276">
        <f t="shared" si="136"/>
        <v>6</v>
      </c>
      <c r="J276">
        <f t="shared" si="137"/>
        <v>4</v>
      </c>
      <c r="K276" t="str">
        <f t="shared" si="134"/>
        <v>NEP E.NUC_ELC</v>
      </c>
    </row>
    <row r="277" spans="2:11">
      <c r="B277" t="str">
        <f t="shared" si="129"/>
        <v>FSS_ELC</v>
      </c>
      <c r="C277" t="str">
        <f t="shared" si="130"/>
        <v>NEP E</v>
      </c>
      <c r="D277">
        <f t="shared" si="131"/>
        <v>2030</v>
      </c>
      <c r="E277">
        <f t="shared" si="132"/>
        <v>0</v>
      </c>
      <c r="F277">
        <f t="shared" si="133"/>
        <v>4</v>
      </c>
      <c r="H277">
        <f t="shared" si="135"/>
        <v>4</v>
      </c>
      <c r="I277">
        <f t="shared" si="136"/>
        <v>6</v>
      </c>
      <c r="J277">
        <f t="shared" si="137"/>
        <v>4</v>
      </c>
      <c r="K277" t="str">
        <f t="shared" si="134"/>
        <v>NEP E.FSS_ELC</v>
      </c>
    </row>
    <row r="278" spans="2:11">
      <c r="B278" t="str">
        <f t="shared" si="129"/>
        <v>FSS_CHP</v>
      </c>
      <c r="C278" t="str">
        <f t="shared" si="130"/>
        <v>NEP E</v>
      </c>
      <c r="D278">
        <f t="shared" si="131"/>
        <v>2030</v>
      </c>
      <c r="E278">
        <f t="shared" si="132"/>
        <v>88.471108653580316</v>
      </c>
      <c r="F278">
        <f t="shared" si="133"/>
        <v>4</v>
      </c>
      <c r="H278">
        <f t="shared" si="135"/>
        <v>5</v>
      </c>
      <c r="I278">
        <f t="shared" si="136"/>
        <v>6</v>
      </c>
      <c r="J278">
        <f t="shared" si="137"/>
        <v>4</v>
      </c>
      <c r="K278" t="str">
        <f t="shared" si="134"/>
        <v>NEP E.FSS_CHP</v>
      </c>
    </row>
    <row r="279" spans="2:11">
      <c r="B279" t="str">
        <f t="shared" si="129"/>
        <v>SOL_WIN_BAL_WASREN</v>
      </c>
      <c r="C279" t="str">
        <f t="shared" si="130"/>
        <v>NEP E</v>
      </c>
      <c r="D279">
        <f t="shared" si="131"/>
        <v>2030</v>
      </c>
      <c r="E279">
        <f t="shared" si="132"/>
        <v>176.94221730716063</v>
      </c>
      <c r="F279">
        <f t="shared" si="133"/>
        <v>4</v>
      </c>
      <c r="H279">
        <f t="shared" si="135"/>
        <v>6</v>
      </c>
      <c r="I279">
        <f t="shared" si="136"/>
        <v>6</v>
      </c>
      <c r="J279">
        <f t="shared" si="137"/>
        <v>4</v>
      </c>
      <c r="K279" t="str">
        <f t="shared" si="134"/>
        <v>NEP E.SOL_WIN_BAL_WASREN</v>
      </c>
    </row>
    <row r="280" spans="2:11">
      <c r="B280" t="str">
        <f t="shared" si="129"/>
        <v>FSS_CHP_NEW</v>
      </c>
      <c r="C280" t="str">
        <f t="shared" si="130"/>
        <v>NEP E</v>
      </c>
      <c r="D280">
        <f t="shared" si="131"/>
        <v>2030</v>
      </c>
      <c r="E280">
        <f t="shared" si="132"/>
        <v>552.94442908487702</v>
      </c>
      <c r="F280">
        <f t="shared" si="133"/>
        <v>4</v>
      </c>
      <c r="H280">
        <f t="shared" si="135"/>
        <v>7</v>
      </c>
      <c r="I280">
        <f t="shared" si="136"/>
        <v>6</v>
      </c>
      <c r="J280">
        <f t="shared" si="137"/>
        <v>4</v>
      </c>
      <c r="K280" t="str">
        <f t="shared" si="134"/>
        <v>NEP E.FSS_CHP_NEW</v>
      </c>
    </row>
    <row r="281" spans="2:11">
      <c r="B281" t="str">
        <f t="shared" si="129"/>
        <v>SOL_WIN_BAL_WASREN_NEW</v>
      </c>
      <c r="C281" t="str">
        <f t="shared" si="130"/>
        <v>NEP E</v>
      </c>
      <c r="D281">
        <f t="shared" si="131"/>
        <v>2030</v>
      </c>
      <c r="E281">
        <f t="shared" si="132"/>
        <v>3339.7843516726571</v>
      </c>
      <c r="F281">
        <f t="shared" si="133"/>
        <v>4</v>
      </c>
      <c r="H281">
        <f t="shared" si="135"/>
        <v>8</v>
      </c>
      <c r="I281">
        <f t="shared" si="136"/>
        <v>6</v>
      </c>
      <c r="J281">
        <f t="shared" si="137"/>
        <v>4</v>
      </c>
      <c r="K281" t="str">
        <f t="shared" si="134"/>
        <v>NEP E.SOL_WIN_BAL_WASREN_NEW</v>
      </c>
    </row>
    <row r="282" spans="2:11">
      <c r="B282" t="str">
        <f t="shared" si="129"/>
        <v>FSS_ELC_NEW</v>
      </c>
      <c r="C282" t="str">
        <f t="shared" si="130"/>
        <v>NEP E</v>
      </c>
      <c r="D282">
        <f t="shared" si="131"/>
        <v>2030</v>
      </c>
      <c r="E282">
        <f t="shared" si="132"/>
        <v>0</v>
      </c>
      <c r="F282">
        <f t="shared" si="133"/>
        <v>4</v>
      </c>
      <c r="H282">
        <f t="shared" si="135"/>
        <v>9</v>
      </c>
      <c r="I282">
        <f t="shared" si="136"/>
        <v>6</v>
      </c>
      <c r="J282">
        <f t="shared" si="137"/>
        <v>4</v>
      </c>
      <c r="K282" t="str">
        <f t="shared" si="134"/>
        <v>NEP E.FSS_ELC_NEW</v>
      </c>
    </row>
    <row r="283" spans="2:11">
      <c r="B283" t="str">
        <f t="shared" si="129"/>
        <v>HYD_TOT</v>
      </c>
      <c r="C283" t="str">
        <f t="shared" si="130"/>
        <v>WWB C</v>
      </c>
      <c r="D283">
        <f t="shared" si="131"/>
        <v>2030</v>
      </c>
      <c r="E283">
        <f t="shared" si="132"/>
        <v>13779.375172795135</v>
      </c>
      <c r="F283">
        <f t="shared" si="133"/>
        <v>4</v>
      </c>
      <c r="H283">
        <f t="shared" si="135"/>
        <v>1</v>
      </c>
      <c r="I283">
        <f t="shared" si="136"/>
        <v>7</v>
      </c>
      <c r="J283">
        <f t="shared" si="137"/>
        <v>4</v>
      </c>
      <c r="K283" t="str">
        <f t="shared" si="134"/>
        <v>WWB C.HYD_TOT</v>
      </c>
    </row>
    <row r="284" spans="2:11">
      <c r="B284" t="str">
        <f t="shared" si="129"/>
        <v>HYD_TOT_NEW</v>
      </c>
      <c r="C284" t="str">
        <f t="shared" si="130"/>
        <v>WWB C</v>
      </c>
      <c r="D284">
        <f t="shared" si="131"/>
        <v>2030</v>
      </c>
      <c r="E284">
        <f t="shared" si="132"/>
        <v>3760.0221177771632</v>
      </c>
      <c r="F284">
        <f t="shared" si="133"/>
        <v>4</v>
      </c>
      <c r="H284">
        <f t="shared" si="135"/>
        <v>2</v>
      </c>
      <c r="I284">
        <f t="shared" si="136"/>
        <v>7</v>
      </c>
      <c r="J284">
        <f t="shared" si="137"/>
        <v>4</v>
      </c>
      <c r="K284" t="str">
        <f t="shared" si="134"/>
        <v>WWB C.HYD_TOT_NEW</v>
      </c>
    </row>
    <row r="285" spans="2:11">
      <c r="B285" t="str">
        <f t="shared" si="129"/>
        <v>NUC_ELC</v>
      </c>
      <c r="C285" t="str">
        <f t="shared" si="130"/>
        <v>WWB C</v>
      </c>
      <c r="D285">
        <f t="shared" si="131"/>
        <v>2030</v>
      </c>
      <c r="E285">
        <f t="shared" si="132"/>
        <v>1194.3599668233342</v>
      </c>
      <c r="F285">
        <f t="shared" si="133"/>
        <v>4</v>
      </c>
      <c r="H285">
        <f t="shared" si="135"/>
        <v>3</v>
      </c>
      <c r="I285">
        <f t="shared" si="136"/>
        <v>7</v>
      </c>
      <c r="J285">
        <f t="shared" si="137"/>
        <v>4</v>
      </c>
      <c r="K285" t="str">
        <f t="shared" si="134"/>
        <v>WWB C.NUC_ELC</v>
      </c>
    </row>
    <row r="286" spans="2:11">
      <c r="B286" t="str">
        <f t="shared" si="129"/>
        <v>FSS_ELC</v>
      </c>
      <c r="C286" t="str">
        <f t="shared" si="130"/>
        <v>WWB C</v>
      </c>
      <c r="D286">
        <f t="shared" si="131"/>
        <v>2030</v>
      </c>
      <c r="E286">
        <f t="shared" si="132"/>
        <v>0</v>
      </c>
      <c r="F286">
        <f t="shared" si="133"/>
        <v>4</v>
      </c>
      <c r="H286">
        <f t="shared" si="135"/>
        <v>4</v>
      </c>
      <c r="I286">
        <f t="shared" si="136"/>
        <v>7</v>
      </c>
      <c r="J286">
        <f t="shared" si="137"/>
        <v>4</v>
      </c>
      <c r="K286" t="str">
        <f t="shared" si="134"/>
        <v>WWB C.FSS_ELC</v>
      </c>
    </row>
    <row r="287" spans="2:11">
      <c r="B287" t="str">
        <f t="shared" si="129"/>
        <v>FSS_CHP</v>
      </c>
      <c r="C287" t="str">
        <f t="shared" si="130"/>
        <v>WWB C</v>
      </c>
      <c r="D287">
        <f t="shared" si="131"/>
        <v>2030</v>
      </c>
      <c r="E287">
        <f t="shared" si="132"/>
        <v>88.471108653580316</v>
      </c>
      <c r="F287">
        <f t="shared" si="133"/>
        <v>4</v>
      </c>
      <c r="H287">
        <f t="shared" si="135"/>
        <v>5</v>
      </c>
      <c r="I287">
        <f t="shared" si="136"/>
        <v>7</v>
      </c>
      <c r="J287">
        <f t="shared" si="137"/>
        <v>4</v>
      </c>
      <c r="K287" t="str">
        <f t="shared" si="134"/>
        <v>WWB C.FSS_CHP</v>
      </c>
    </row>
    <row r="288" spans="2:11">
      <c r="B288" t="str">
        <f t="shared" si="129"/>
        <v>SOL_WIN_BAL_WASREN</v>
      </c>
      <c r="C288" t="str">
        <f t="shared" si="130"/>
        <v>WWB C</v>
      </c>
      <c r="D288">
        <f t="shared" si="131"/>
        <v>2030</v>
      </c>
      <c r="E288">
        <f t="shared" si="132"/>
        <v>176.94221730716063</v>
      </c>
      <c r="F288">
        <f t="shared" si="133"/>
        <v>4</v>
      </c>
      <c r="H288">
        <f t="shared" si="135"/>
        <v>6</v>
      </c>
      <c r="I288">
        <f t="shared" si="136"/>
        <v>7</v>
      </c>
      <c r="J288">
        <f t="shared" si="137"/>
        <v>4</v>
      </c>
      <c r="K288" t="str">
        <f t="shared" si="134"/>
        <v>WWB C.SOL_WIN_BAL_WASREN</v>
      </c>
    </row>
    <row r="289" spans="2:11">
      <c r="B289" t="str">
        <f t="shared" si="129"/>
        <v>FSS_CHP_NEW</v>
      </c>
      <c r="C289" t="str">
        <f t="shared" si="130"/>
        <v>WWB C</v>
      </c>
      <c r="D289">
        <f t="shared" si="131"/>
        <v>2030</v>
      </c>
      <c r="E289">
        <f t="shared" si="132"/>
        <v>552.94442908487702</v>
      </c>
      <c r="F289">
        <f t="shared" si="133"/>
        <v>4</v>
      </c>
      <c r="H289">
        <f t="shared" si="135"/>
        <v>7</v>
      </c>
      <c r="I289">
        <f t="shared" si="136"/>
        <v>7</v>
      </c>
      <c r="J289">
        <f t="shared" si="137"/>
        <v>4</v>
      </c>
      <c r="K289" t="str">
        <f t="shared" si="134"/>
        <v>WWB C.FSS_CHP_NEW</v>
      </c>
    </row>
    <row r="290" spans="2:11">
      <c r="B290" t="str">
        <f t="shared" si="129"/>
        <v>SOL_WIN_BAL_WASREN_NEW</v>
      </c>
      <c r="C290" t="str">
        <f t="shared" si="130"/>
        <v>WWB C</v>
      </c>
      <c r="D290">
        <f t="shared" si="131"/>
        <v>2030</v>
      </c>
      <c r="E290">
        <f t="shared" si="132"/>
        <v>1437.65551562068</v>
      </c>
      <c r="F290">
        <f t="shared" si="133"/>
        <v>4</v>
      </c>
      <c r="H290">
        <f t="shared" si="135"/>
        <v>8</v>
      </c>
      <c r="I290">
        <f t="shared" si="136"/>
        <v>7</v>
      </c>
      <c r="J290">
        <f t="shared" si="137"/>
        <v>4</v>
      </c>
      <c r="K290" t="str">
        <f t="shared" si="134"/>
        <v>WWB C.SOL_WIN_BAL_WASREN_NEW</v>
      </c>
    </row>
    <row r="291" spans="2:11">
      <c r="B291" t="str">
        <f t="shared" si="129"/>
        <v>FSS_ELC_NEW</v>
      </c>
      <c r="C291" t="str">
        <f t="shared" si="130"/>
        <v>WWB C</v>
      </c>
      <c r="D291">
        <f t="shared" si="131"/>
        <v>2030</v>
      </c>
      <c r="E291">
        <f t="shared" si="132"/>
        <v>2233.8954935029028</v>
      </c>
      <c r="F291">
        <f t="shared" si="133"/>
        <v>4</v>
      </c>
      <c r="H291">
        <f t="shared" si="135"/>
        <v>9</v>
      </c>
      <c r="I291">
        <f t="shared" si="136"/>
        <v>7</v>
      </c>
      <c r="J291">
        <f t="shared" si="137"/>
        <v>4</v>
      </c>
      <c r="K291" t="str">
        <f t="shared" si="134"/>
        <v>WWB C.FSS_ELC_NEW</v>
      </c>
    </row>
    <row r="292" spans="2:11">
      <c r="B292" t="str">
        <f t="shared" si="129"/>
        <v>HYD_TOT</v>
      </c>
      <c r="C292" t="str">
        <f t="shared" si="130"/>
        <v>WWB C&amp;E</v>
      </c>
      <c r="D292">
        <f t="shared" si="131"/>
        <v>2030</v>
      </c>
      <c r="E292">
        <f t="shared" si="132"/>
        <v>13757.395631739009</v>
      </c>
      <c r="F292">
        <f t="shared" si="133"/>
        <v>4</v>
      </c>
      <c r="H292">
        <f t="shared" si="135"/>
        <v>1</v>
      </c>
      <c r="I292">
        <f t="shared" si="136"/>
        <v>8</v>
      </c>
      <c r="J292">
        <f t="shared" si="137"/>
        <v>4</v>
      </c>
      <c r="K292" t="str">
        <f t="shared" si="134"/>
        <v>WWB C&amp;E.HYD_TOT</v>
      </c>
    </row>
    <row r="293" spans="2:11">
      <c r="B293" t="str">
        <f t="shared" si="129"/>
        <v>HYD_TOT_NEW</v>
      </c>
      <c r="C293" t="str">
        <f t="shared" si="130"/>
        <v>WWB C&amp;E</v>
      </c>
      <c r="D293">
        <f t="shared" si="131"/>
        <v>2030</v>
      </c>
      <c r="E293">
        <f t="shared" si="132"/>
        <v>4003.179430467238</v>
      </c>
      <c r="F293">
        <f t="shared" si="133"/>
        <v>4</v>
      </c>
      <c r="H293">
        <f t="shared" si="135"/>
        <v>2</v>
      </c>
      <c r="I293">
        <f t="shared" si="136"/>
        <v>8</v>
      </c>
      <c r="J293">
        <f t="shared" si="137"/>
        <v>4</v>
      </c>
      <c r="K293" t="str">
        <f t="shared" si="134"/>
        <v>WWB C&amp;E.HYD_TOT_NEW</v>
      </c>
    </row>
    <row r="294" spans="2:11">
      <c r="B294" t="str">
        <f t="shared" si="129"/>
        <v>NUC_ELC</v>
      </c>
      <c r="C294" t="str">
        <f t="shared" si="130"/>
        <v>WWB C&amp;E</v>
      </c>
      <c r="D294">
        <f t="shared" si="131"/>
        <v>2030</v>
      </c>
      <c r="E294">
        <f t="shared" si="132"/>
        <v>1194.4982029306054</v>
      </c>
      <c r="F294">
        <f t="shared" si="133"/>
        <v>4</v>
      </c>
      <c r="H294">
        <f t="shared" si="135"/>
        <v>3</v>
      </c>
      <c r="I294">
        <f t="shared" si="136"/>
        <v>8</v>
      </c>
      <c r="J294">
        <f t="shared" si="137"/>
        <v>4</v>
      </c>
      <c r="K294" t="str">
        <f t="shared" si="134"/>
        <v>WWB C&amp;E.NUC_ELC</v>
      </c>
    </row>
    <row r="295" spans="2:11">
      <c r="B295" t="str">
        <f t="shared" si="129"/>
        <v>FSS_ELC</v>
      </c>
      <c r="C295" t="str">
        <f t="shared" si="130"/>
        <v>WWB C&amp;E</v>
      </c>
      <c r="D295">
        <f t="shared" si="131"/>
        <v>2030</v>
      </c>
      <c r="E295">
        <f t="shared" si="132"/>
        <v>0</v>
      </c>
      <c r="F295">
        <f t="shared" si="133"/>
        <v>4</v>
      </c>
      <c r="H295">
        <f t="shared" si="135"/>
        <v>4</v>
      </c>
      <c r="I295">
        <f t="shared" si="136"/>
        <v>8</v>
      </c>
      <c r="J295">
        <f t="shared" si="137"/>
        <v>4</v>
      </c>
      <c r="K295" t="str">
        <f t="shared" si="134"/>
        <v>WWB C&amp;E.FSS_ELC</v>
      </c>
    </row>
    <row r="296" spans="2:11">
      <c r="B296" t="str">
        <f t="shared" si="129"/>
        <v>FSS_CHP</v>
      </c>
      <c r="C296" t="str">
        <f t="shared" si="130"/>
        <v>WWB C&amp;E</v>
      </c>
      <c r="D296">
        <f t="shared" si="131"/>
        <v>2030</v>
      </c>
      <c r="E296">
        <f t="shared" si="132"/>
        <v>66.215095382914015</v>
      </c>
      <c r="F296">
        <f t="shared" si="133"/>
        <v>4</v>
      </c>
      <c r="H296">
        <f t="shared" si="135"/>
        <v>5</v>
      </c>
      <c r="I296">
        <f t="shared" si="136"/>
        <v>8</v>
      </c>
      <c r="J296">
        <f t="shared" si="137"/>
        <v>4</v>
      </c>
      <c r="K296" t="str">
        <f t="shared" si="134"/>
        <v>WWB C&amp;E.FSS_CHP</v>
      </c>
    </row>
    <row r="297" spans="2:11">
      <c r="B297" t="str">
        <f t="shared" si="129"/>
        <v>SOL_WIN_BAL_WASREN</v>
      </c>
      <c r="C297" t="str">
        <f t="shared" si="130"/>
        <v>WWB C&amp;E</v>
      </c>
      <c r="D297">
        <f t="shared" si="131"/>
        <v>2030</v>
      </c>
      <c r="E297">
        <f t="shared" si="132"/>
        <v>154.82444014376554</v>
      </c>
      <c r="F297">
        <f t="shared" si="133"/>
        <v>4</v>
      </c>
      <c r="H297">
        <f t="shared" si="135"/>
        <v>6</v>
      </c>
      <c r="I297">
        <f t="shared" si="136"/>
        <v>8</v>
      </c>
      <c r="J297">
        <f t="shared" si="137"/>
        <v>4</v>
      </c>
      <c r="K297" t="str">
        <f t="shared" si="134"/>
        <v>WWB C&amp;E.SOL_WIN_BAL_WASREN</v>
      </c>
    </row>
    <row r="298" spans="2:11">
      <c r="B298" t="str">
        <f t="shared" si="129"/>
        <v>FSS_CHP_NEW</v>
      </c>
      <c r="C298" t="str">
        <f t="shared" si="130"/>
        <v>WWB C&amp;E</v>
      </c>
      <c r="D298">
        <f t="shared" si="131"/>
        <v>2030</v>
      </c>
      <c r="E298">
        <f t="shared" si="132"/>
        <v>575.0622062482721</v>
      </c>
      <c r="F298">
        <f t="shared" si="133"/>
        <v>4</v>
      </c>
      <c r="H298">
        <f t="shared" si="135"/>
        <v>7</v>
      </c>
      <c r="I298">
        <f t="shared" si="136"/>
        <v>8</v>
      </c>
      <c r="J298">
        <f t="shared" si="137"/>
        <v>4</v>
      </c>
      <c r="K298" t="str">
        <f t="shared" si="134"/>
        <v>WWB C&amp;E.FSS_CHP_NEW</v>
      </c>
    </row>
    <row r="299" spans="2:11">
      <c r="B299" t="str">
        <f t="shared" si="129"/>
        <v>SOL_WIN_BAL_WASREN_NEW</v>
      </c>
      <c r="C299" t="str">
        <f t="shared" si="130"/>
        <v>WWB C&amp;E</v>
      </c>
      <c r="D299">
        <f t="shared" si="131"/>
        <v>2030</v>
      </c>
      <c r="E299">
        <f t="shared" si="132"/>
        <v>3361.9021288360518</v>
      </c>
      <c r="F299">
        <f t="shared" si="133"/>
        <v>4</v>
      </c>
      <c r="H299">
        <f t="shared" si="135"/>
        <v>8</v>
      </c>
      <c r="I299">
        <f t="shared" si="136"/>
        <v>8</v>
      </c>
      <c r="J299">
        <f t="shared" si="137"/>
        <v>4</v>
      </c>
      <c r="K299" t="str">
        <f t="shared" si="134"/>
        <v>WWB C&amp;E.SOL_WIN_BAL_WASREN_NEW</v>
      </c>
    </row>
    <row r="300" spans="2:11">
      <c r="B300" t="str">
        <f t="shared" si="129"/>
        <v>FSS_ELC_NEW</v>
      </c>
      <c r="C300" t="str">
        <f t="shared" si="130"/>
        <v>WWB C&amp;E</v>
      </c>
      <c r="D300">
        <f t="shared" si="131"/>
        <v>2030</v>
      </c>
      <c r="E300">
        <f t="shared" si="132"/>
        <v>1592.4799557644458</v>
      </c>
      <c r="F300">
        <f t="shared" si="133"/>
        <v>4</v>
      </c>
      <c r="H300">
        <f t="shared" si="135"/>
        <v>9</v>
      </c>
      <c r="I300">
        <f t="shared" si="136"/>
        <v>8</v>
      </c>
      <c r="J300">
        <f t="shared" si="137"/>
        <v>4</v>
      </c>
      <c r="K300" t="str">
        <f t="shared" si="134"/>
        <v>WWB C&amp;E.FSS_ELC_NEW</v>
      </c>
    </row>
    <row r="301" spans="2:11">
      <c r="B301" t="str">
        <f t="shared" si="129"/>
        <v>HYD_TOT</v>
      </c>
      <c r="C301" t="str">
        <f t="shared" si="130"/>
        <v>POM C</v>
      </c>
      <c r="D301">
        <f t="shared" si="131"/>
        <v>2035</v>
      </c>
      <c r="E301">
        <f t="shared" si="132"/>
        <v>13709.231619679382</v>
      </c>
      <c r="F301">
        <f t="shared" si="133"/>
        <v>5</v>
      </c>
      <c r="H301">
        <f t="shared" si="135"/>
        <v>1</v>
      </c>
      <c r="I301">
        <f t="shared" si="136"/>
        <v>1</v>
      </c>
      <c r="J301">
        <f t="shared" si="137"/>
        <v>5</v>
      </c>
      <c r="K301" t="str">
        <f t="shared" si="134"/>
        <v>POM C.HYD_TOT</v>
      </c>
    </row>
    <row r="302" spans="2:11">
      <c r="B302" t="str">
        <f t="shared" si="129"/>
        <v>HYD_TOT_NEW</v>
      </c>
      <c r="C302" t="str">
        <f t="shared" si="130"/>
        <v>POM C</v>
      </c>
      <c r="D302">
        <f t="shared" si="131"/>
        <v>2035</v>
      </c>
      <c r="E302">
        <f t="shared" si="132"/>
        <v>3758.9828634604755</v>
      </c>
      <c r="F302">
        <f t="shared" si="133"/>
        <v>5</v>
      </c>
      <c r="H302">
        <f t="shared" si="135"/>
        <v>2</v>
      </c>
      <c r="I302">
        <f t="shared" si="136"/>
        <v>1</v>
      </c>
      <c r="J302">
        <f t="shared" si="137"/>
        <v>5</v>
      </c>
      <c r="K302" t="str">
        <f t="shared" si="134"/>
        <v>POM C.HYD_TOT_NEW</v>
      </c>
    </row>
    <row r="303" spans="2:11">
      <c r="B303" t="str">
        <f t="shared" si="129"/>
        <v>NUC_ELC</v>
      </c>
      <c r="C303" t="str">
        <f t="shared" si="130"/>
        <v>POM C</v>
      </c>
      <c r="D303">
        <f t="shared" si="131"/>
        <v>2035</v>
      </c>
      <c r="E303">
        <f t="shared" si="132"/>
        <v>0</v>
      </c>
      <c r="F303">
        <f t="shared" si="133"/>
        <v>5</v>
      </c>
      <c r="H303">
        <f t="shared" si="135"/>
        <v>3</v>
      </c>
      <c r="I303">
        <f t="shared" si="136"/>
        <v>1</v>
      </c>
      <c r="J303">
        <f t="shared" si="137"/>
        <v>5</v>
      </c>
      <c r="K303" t="str">
        <f t="shared" si="134"/>
        <v>POM C.NUC_ELC</v>
      </c>
    </row>
    <row r="304" spans="2:11">
      <c r="B304" t="str">
        <f t="shared" si="129"/>
        <v>FSS_ELC</v>
      </c>
      <c r="C304" t="str">
        <f t="shared" si="130"/>
        <v>POM C</v>
      </c>
      <c r="D304">
        <f t="shared" si="131"/>
        <v>2035</v>
      </c>
      <c r="E304">
        <f t="shared" si="132"/>
        <v>0</v>
      </c>
      <c r="F304">
        <f t="shared" si="133"/>
        <v>5</v>
      </c>
      <c r="H304">
        <f t="shared" si="135"/>
        <v>4</v>
      </c>
      <c r="I304">
        <f t="shared" si="136"/>
        <v>1</v>
      </c>
      <c r="J304">
        <f t="shared" si="137"/>
        <v>5</v>
      </c>
      <c r="K304" t="str">
        <f t="shared" si="134"/>
        <v>POM C.FSS_ELC</v>
      </c>
    </row>
    <row r="305" spans="2:11">
      <c r="B305" t="str">
        <f t="shared" si="129"/>
        <v>FSS_CHP</v>
      </c>
      <c r="C305" t="str">
        <f t="shared" si="130"/>
        <v>POM C</v>
      </c>
      <c r="D305">
        <f t="shared" si="131"/>
        <v>2035</v>
      </c>
      <c r="E305">
        <f t="shared" si="132"/>
        <v>88.446655610834711</v>
      </c>
      <c r="F305">
        <f t="shared" si="133"/>
        <v>5</v>
      </c>
      <c r="H305">
        <f t="shared" si="135"/>
        <v>5</v>
      </c>
      <c r="I305">
        <f t="shared" si="136"/>
        <v>1</v>
      </c>
      <c r="J305">
        <f t="shared" si="137"/>
        <v>5</v>
      </c>
      <c r="K305" t="str">
        <f t="shared" si="134"/>
        <v>POM C.FSS_CHP</v>
      </c>
    </row>
    <row r="306" spans="2:11">
      <c r="B306" t="str">
        <f t="shared" si="129"/>
        <v>SOL_WIN_BAL_WASREN</v>
      </c>
      <c r="C306" t="str">
        <f t="shared" si="130"/>
        <v>POM C</v>
      </c>
      <c r="D306">
        <f t="shared" si="131"/>
        <v>2035</v>
      </c>
      <c r="E306">
        <f t="shared" si="132"/>
        <v>0</v>
      </c>
      <c r="F306">
        <f t="shared" si="133"/>
        <v>5</v>
      </c>
      <c r="H306">
        <f t="shared" si="135"/>
        <v>6</v>
      </c>
      <c r="I306">
        <f t="shared" si="136"/>
        <v>1</v>
      </c>
      <c r="J306">
        <f t="shared" si="137"/>
        <v>5</v>
      </c>
      <c r="K306" t="str">
        <f t="shared" si="134"/>
        <v>POM C.SOL_WIN_BAL_WASREN</v>
      </c>
    </row>
    <row r="307" spans="2:11">
      <c r="B307" t="str">
        <f t="shared" si="129"/>
        <v>FSS_CHP_NEW</v>
      </c>
      <c r="C307" t="str">
        <f t="shared" si="130"/>
        <v>POM C</v>
      </c>
      <c r="D307">
        <f t="shared" si="131"/>
        <v>2035</v>
      </c>
      <c r="E307">
        <f t="shared" si="132"/>
        <v>707.57324488667768</v>
      </c>
      <c r="F307">
        <f t="shared" si="133"/>
        <v>5</v>
      </c>
      <c r="H307">
        <f t="shared" si="135"/>
        <v>7</v>
      </c>
      <c r="I307">
        <f t="shared" si="136"/>
        <v>1</v>
      </c>
      <c r="J307">
        <f t="shared" si="137"/>
        <v>5</v>
      </c>
      <c r="K307" t="str">
        <f t="shared" si="134"/>
        <v>POM C.FSS_CHP_NEW</v>
      </c>
    </row>
    <row r="308" spans="2:11">
      <c r="B308" t="str">
        <f t="shared" si="129"/>
        <v>SOL_WIN_BAL_WASREN_NEW</v>
      </c>
      <c r="C308" t="str">
        <f t="shared" si="130"/>
        <v>POM C</v>
      </c>
      <c r="D308">
        <f t="shared" si="131"/>
        <v>2035</v>
      </c>
      <c r="E308">
        <f t="shared" si="132"/>
        <v>2940.7131011608622</v>
      </c>
      <c r="F308">
        <f t="shared" si="133"/>
        <v>5</v>
      </c>
      <c r="H308">
        <f t="shared" si="135"/>
        <v>8</v>
      </c>
      <c r="I308">
        <f t="shared" si="136"/>
        <v>1</v>
      </c>
      <c r="J308">
        <f t="shared" si="137"/>
        <v>5</v>
      </c>
      <c r="K308" t="str">
        <f t="shared" si="134"/>
        <v>POM C.SOL_WIN_BAL_WASREN_NEW</v>
      </c>
    </row>
    <row r="309" spans="2:11">
      <c r="B309" t="str">
        <f t="shared" si="129"/>
        <v>FSS_ELC_NEW</v>
      </c>
      <c r="C309" t="str">
        <f t="shared" si="130"/>
        <v>POM C</v>
      </c>
      <c r="D309">
        <f t="shared" si="131"/>
        <v>2035</v>
      </c>
      <c r="E309">
        <f t="shared" si="132"/>
        <v>3272.6644555002763</v>
      </c>
      <c r="F309">
        <f t="shared" si="133"/>
        <v>5</v>
      </c>
      <c r="H309">
        <f t="shared" si="135"/>
        <v>9</v>
      </c>
      <c r="I309">
        <f t="shared" si="136"/>
        <v>1</v>
      </c>
      <c r="J309">
        <f t="shared" si="137"/>
        <v>5</v>
      </c>
      <c r="K309" t="str">
        <f t="shared" si="134"/>
        <v>POM C.FSS_ELC_NEW</v>
      </c>
    </row>
    <row r="310" spans="2:11">
      <c r="B310" t="str">
        <f t="shared" si="129"/>
        <v>HYD_TOT</v>
      </c>
      <c r="C310" t="str">
        <f t="shared" si="130"/>
        <v>POM C&amp;E</v>
      </c>
      <c r="D310">
        <f t="shared" si="131"/>
        <v>2035</v>
      </c>
      <c r="E310">
        <f t="shared" si="132"/>
        <v>13731.343283582089</v>
      </c>
      <c r="F310">
        <f t="shared" si="133"/>
        <v>5</v>
      </c>
      <c r="H310">
        <f t="shared" si="135"/>
        <v>1</v>
      </c>
      <c r="I310">
        <f t="shared" si="136"/>
        <v>2</v>
      </c>
      <c r="J310">
        <f t="shared" si="137"/>
        <v>5</v>
      </c>
      <c r="K310" t="str">
        <f t="shared" si="134"/>
        <v>POM C&amp;E.HYD_TOT</v>
      </c>
    </row>
    <row r="311" spans="2:11">
      <c r="B311" t="str">
        <f t="shared" si="129"/>
        <v>HYD_TOT_NEW</v>
      </c>
      <c r="C311" t="str">
        <f t="shared" si="130"/>
        <v>POM C&amp;E</v>
      </c>
      <c r="D311">
        <f t="shared" si="131"/>
        <v>2035</v>
      </c>
      <c r="E311">
        <f t="shared" si="132"/>
        <v>4135.0193477059147</v>
      </c>
      <c r="F311">
        <f t="shared" si="133"/>
        <v>5</v>
      </c>
      <c r="H311">
        <f t="shared" si="135"/>
        <v>2</v>
      </c>
      <c r="I311">
        <f t="shared" si="136"/>
        <v>2</v>
      </c>
      <c r="J311">
        <f t="shared" si="137"/>
        <v>5</v>
      </c>
      <c r="K311" t="str">
        <f t="shared" si="134"/>
        <v>POM C&amp;E.HYD_TOT_NEW</v>
      </c>
    </row>
    <row r="312" spans="2:11">
      <c r="B312" t="str">
        <f t="shared" si="129"/>
        <v>NUC_ELC</v>
      </c>
      <c r="C312" t="str">
        <f t="shared" si="130"/>
        <v>POM C&amp;E</v>
      </c>
      <c r="D312">
        <f t="shared" si="131"/>
        <v>2035</v>
      </c>
      <c r="E312">
        <f t="shared" si="132"/>
        <v>0</v>
      </c>
      <c r="F312">
        <f t="shared" si="133"/>
        <v>5</v>
      </c>
      <c r="H312">
        <f t="shared" si="135"/>
        <v>3</v>
      </c>
      <c r="I312">
        <f t="shared" si="136"/>
        <v>2</v>
      </c>
      <c r="J312">
        <f t="shared" si="137"/>
        <v>5</v>
      </c>
      <c r="K312" t="str">
        <f t="shared" si="134"/>
        <v>POM C&amp;E.NUC_ELC</v>
      </c>
    </row>
    <row r="313" spans="2:11">
      <c r="B313" t="str">
        <f t="shared" si="129"/>
        <v>FSS_ELC</v>
      </c>
      <c r="C313" t="str">
        <f t="shared" si="130"/>
        <v>POM C&amp;E</v>
      </c>
      <c r="D313">
        <f t="shared" si="131"/>
        <v>2035</v>
      </c>
      <c r="E313">
        <f t="shared" si="132"/>
        <v>0</v>
      </c>
      <c r="F313">
        <f t="shared" si="133"/>
        <v>5</v>
      </c>
      <c r="H313">
        <f t="shared" si="135"/>
        <v>4</v>
      </c>
      <c r="I313">
        <f t="shared" si="136"/>
        <v>2</v>
      </c>
      <c r="J313">
        <f t="shared" si="137"/>
        <v>5</v>
      </c>
      <c r="K313" t="str">
        <f t="shared" si="134"/>
        <v>POM C&amp;E.FSS_ELC</v>
      </c>
    </row>
    <row r="314" spans="2:11">
      <c r="B314" t="str">
        <f t="shared" si="129"/>
        <v>FSS_CHP</v>
      </c>
      <c r="C314" t="str">
        <f t="shared" si="130"/>
        <v>POM C&amp;E</v>
      </c>
      <c r="D314">
        <f t="shared" si="131"/>
        <v>2035</v>
      </c>
      <c r="E314">
        <f t="shared" si="132"/>
        <v>88.170259812050858</v>
      </c>
      <c r="F314">
        <f t="shared" si="133"/>
        <v>5</v>
      </c>
      <c r="H314">
        <f t="shared" si="135"/>
        <v>5</v>
      </c>
      <c r="I314">
        <f t="shared" si="136"/>
        <v>2</v>
      </c>
      <c r="J314">
        <f t="shared" si="137"/>
        <v>5</v>
      </c>
      <c r="K314" t="str">
        <f t="shared" si="134"/>
        <v>POM C&amp;E.FSS_CHP</v>
      </c>
    </row>
    <row r="315" spans="2:11">
      <c r="B315" t="str">
        <f t="shared" si="129"/>
        <v>SOL_WIN_BAL_WASREN</v>
      </c>
      <c r="C315" t="str">
        <f t="shared" si="130"/>
        <v>POM C&amp;E</v>
      </c>
      <c r="D315">
        <f t="shared" si="131"/>
        <v>2035</v>
      </c>
      <c r="E315">
        <f t="shared" si="132"/>
        <v>0</v>
      </c>
      <c r="F315">
        <f t="shared" si="133"/>
        <v>5</v>
      </c>
      <c r="H315">
        <f t="shared" si="135"/>
        <v>6</v>
      </c>
      <c r="I315">
        <f t="shared" si="136"/>
        <v>2</v>
      </c>
      <c r="J315">
        <f t="shared" si="137"/>
        <v>5</v>
      </c>
      <c r="K315" t="str">
        <f t="shared" si="134"/>
        <v>POM C&amp;E.SOL_WIN_BAL_WASREN</v>
      </c>
    </row>
    <row r="316" spans="2:11">
      <c r="B316" t="str">
        <f t="shared" si="129"/>
        <v>FSS_CHP_NEW</v>
      </c>
      <c r="C316" t="str">
        <f t="shared" si="130"/>
        <v>POM C&amp;E</v>
      </c>
      <c r="D316">
        <f t="shared" si="131"/>
        <v>2035</v>
      </c>
      <c r="E316">
        <f t="shared" si="132"/>
        <v>641.10005527915973</v>
      </c>
      <c r="F316">
        <f t="shared" si="133"/>
        <v>5</v>
      </c>
      <c r="H316">
        <f t="shared" si="135"/>
        <v>7</v>
      </c>
      <c r="I316">
        <f t="shared" si="136"/>
        <v>2</v>
      </c>
      <c r="J316">
        <f t="shared" si="137"/>
        <v>5</v>
      </c>
      <c r="K316" t="str">
        <f t="shared" si="134"/>
        <v>POM C&amp;E.FSS_CHP_NEW</v>
      </c>
    </row>
    <row r="317" spans="2:11">
      <c r="B317" t="str">
        <f t="shared" si="129"/>
        <v>SOL_WIN_BAL_WASREN_NEW</v>
      </c>
      <c r="C317" t="str">
        <f t="shared" si="130"/>
        <v>POM C&amp;E</v>
      </c>
      <c r="D317">
        <f t="shared" si="131"/>
        <v>2035</v>
      </c>
      <c r="E317">
        <f t="shared" si="132"/>
        <v>5727.1973466003319</v>
      </c>
      <c r="F317">
        <f t="shared" si="133"/>
        <v>5</v>
      </c>
      <c r="H317">
        <f t="shared" si="135"/>
        <v>8</v>
      </c>
      <c r="I317">
        <f t="shared" si="136"/>
        <v>2</v>
      </c>
      <c r="J317">
        <f t="shared" si="137"/>
        <v>5</v>
      </c>
      <c r="K317" t="str">
        <f t="shared" si="134"/>
        <v>POM C&amp;E.SOL_WIN_BAL_WASREN_NEW</v>
      </c>
    </row>
    <row r="318" spans="2:11">
      <c r="B318" t="str">
        <f t="shared" si="129"/>
        <v>FSS_ELC_NEW</v>
      </c>
      <c r="C318" t="str">
        <f t="shared" si="130"/>
        <v>POM C&amp;E</v>
      </c>
      <c r="D318">
        <f t="shared" si="131"/>
        <v>2035</v>
      </c>
      <c r="E318">
        <f t="shared" si="132"/>
        <v>2719.5964621337757</v>
      </c>
      <c r="F318">
        <f t="shared" si="133"/>
        <v>5</v>
      </c>
      <c r="H318">
        <f t="shared" si="135"/>
        <v>9</v>
      </c>
      <c r="I318">
        <f t="shared" si="136"/>
        <v>2</v>
      </c>
      <c r="J318">
        <f t="shared" si="137"/>
        <v>5</v>
      </c>
      <c r="K318" t="str">
        <f t="shared" si="134"/>
        <v>POM C&amp;E.FSS_ELC_NEW</v>
      </c>
    </row>
    <row r="319" spans="2:11">
      <c r="B319" t="str">
        <f t="shared" si="129"/>
        <v>HYD_TOT</v>
      </c>
      <c r="C319" t="str">
        <f t="shared" si="130"/>
        <v>POM E</v>
      </c>
      <c r="D319">
        <f t="shared" si="131"/>
        <v>2035</v>
      </c>
      <c r="E319">
        <f t="shared" si="132"/>
        <v>13713.02184130495</v>
      </c>
      <c r="F319">
        <f t="shared" si="133"/>
        <v>5</v>
      </c>
      <c r="H319">
        <f t="shared" si="135"/>
        <v>1</v>
      </c>
      <c r="I319">
        <f t="shared" si="136"/>
        <v>3</v>
      </c>
      <c r="J319">
        <f t="shared" si="137"/>
        <v>5</v>
      </c>
      <c r="K319" t="str">
        <f t="shared" si="134"/>
        <v>POM E.HYD_TOT</v>
      </c>
    </row>
    <row r="320" spans="2:11">
      <c r="B320" t="str">
        <f t="shared" si="129"/>
        <v>HYD_TOT_NEW</v>
      </c>
      <c r="C320" t="str">
        <f t="shared" si="130"/>
        <v>POM E</v>
      </c>
      <c r="D320">
        <f t="shared" si="131"/>
        <v>2035</v>
      </c>
      <c r="E320">
        <f t="shared" si="132"/>
        <v>4158.1421067182746</v>
      </c>
      <c r="F320">
        <f t="shared" si="133"/>
        <v>5</v>
      </c>
      <c r="H320">
        <f t="shared" si="135"/>
        <v>2</v>
      </c>
      <c r="I320">
        <f t="shared" si="136"/>
        <v>3</v>
      </c>
      <c r="J320">
        <f t="shared" si="137"/>
        <v>5</v>
      </c>
      <c r="K320" t="str">
        <f t="shared" si="134"/>
        <v>POM E.HYD_TOT_NEW</v>
      </c>
    </row>
    <row r="321" spans="2:11">
      <c r="B321" t="str">
        <f t="shared" si="129"/>
        <v>NUC_ELC</v>
      </c>
      <c r="C321" t="str">
        <f t="shared" si="130"/>
        <v>POM E</v>
      </c>
      <c r="D321">
        <f t="shared" si="131"/>
        <v>2035</v>
      </c>
      <c r="E321">
        <f t="shared" si="132"/>
        <v>0</v>
      </c>
      <c r="F321">
        <f t="shared" si="133"/>
        <v>5</v>
      </c>
      <c r="H321">
        <f t="shared" si="135"/>
        <v>3</v>
      </c>
      <c r="I321">
        <f t="shared" si="136"/>
        <v>3</v>
      </c>
      <c r="J321">
        <f t="shared" si="137"/>
        <v>5</v>
      </c>
      <c r="K321" t="str">
        <f t="shared" si="134"/>
        <v>POM E.NUC_ELC</v>
      </c>
    </row>
    <row r="322" spans="2:11">
      <c r="B322" t="str">
        <f t="shared" si="129"/>
        <v>FSS_ELC</v>
      </c>
      <c r="C322" t="str">
        <f t="shared" si="130"/>
        <v>POM E</v>
      </c>
      <c r="D322">
        <f t="shared" si="131"/>
        <v>2035</v>
      </c>
      <c r="E322">
        <f t="shared" si="132"/>
        <v>0</v>
      </c>
      <c r="F322">
        <f t="shared" si="133"/>
        <v>5</v>
      </c>
      <c r="H322">
        <f t="shared" si="135"/>
        <v>4</v>
      </c>
      <c r="I322">
        <f t="shared" si="136"/>
        <v>3</v>
      </c>
      <c r="J322">
        <f t="shared" si="137"/>
        <v>5</v>
      </c>
      <c r="K322" t="str">
        <f t="shared" si="134"/>
        <v>POM E.FSS_ELC</v>
      </c>
    </row>
    <row r="323" spans="2:11">
      <c r="B323" t="str">
        <f t="shared" si="129"/>
        <v>FSS_CHP</v>
      </c>
      <c r="C323" t="str">
        <f t="shared" si="130"/>
        <v>POM E</v>
      </c>
      <c r="D323">
        <f t="shared" si="131"/>
        <v>2035</v>
      </c>
      <c r="E323">
        <f t="shared" si="132"/>
        <v>66.353331490185241</v>
      </c>
      <c r="F323">
        <f t="shared" si="133"/>
        <v>5</v>
      </c>
      <c r="H323">
        <f t="shared" si="135"/>
        <v>5</v>
      </c>
      <c r="I323">
        <f t="shared" si="136"/>
        <v>3</v>
      </c>
      <c r="J323">
        <f t="shared" si="137"/>
        <v>5</v>
      </c>
      <c r="K323" t="str">
        <f t="shared" si="134"/>
        <v>POM E.FSS_CHP</v>
      </c>
    </row>
    <row r="324" spans="2:11">
      <c r="B324" t="str">
        <f t="shared" si="129"/>
        <v>SOL_WIN_BAL_WASREN</v>
      </c>
      <c r="C324" t="str">
        <f t="shared" si="130"/>
        <v>POM E</v>
      </c>
      <c r="D324">
        <f t="shared" si="131"/>
        <v>2035</v>
      </c>
      <c r="E324">
        <f t="shared" si="132"/>
        <v>88.33287254630909</v>
      </c>
      <c r="F324">
        <f t="shared" si="133"/>
        <v>5</v>
      </c>
      <c r="H324">
        <f t="shared" si="135"/>
        <v>6</v>
      </c>
      <c r="I324">
        <f t="shared" si="136"/>
        <v>3</v>
      </c>
      <c r="J324">
        <f t="shared" si="137"/>
        <v>5</v>
      </c>
      <c r="K324" t="str">
        <f t="shared" si="134"/>
        <v>POM E.SOL_WIN_BAL_WASREN</v>
      </c>
    </row>
    <row r="325" spans="2:11">
      <c r="B325" t="str">
        <f t="shared" si="129"/>
        <v>FSS_CHP_NEW</v>
      </c>
      <c r="C325" t="str">
        <f t="shared" si="130"/>
        <v>POM E</v>
      </c>
      <c r="D325">
        <f t="shared" si="131"/>
        <v>2035</v>
      </c>
      <c r="E325">
        <f t="shared" si="132"/>
        <v>552.94442908487702</v>
      </c>
      <c r="F325">
        <f t="shared" si="133"/>
        <v>5</v>
      </c>
      <c r="H325">
        <f t="shared" si="135"/>
        <v>7</v>
      </c>
      <c r="I325">
        <f t="shared" si="136"/>
        <v>3</v>
      </c>
      <c r="J325">
        <f t="shared" si="137"/>
        <v>5</v>
      </c>
      <c r="K325" t="str">
        <f t="shared" si="134"/>
        <v>POM E.FSS_CHP_NEW</v>
      </c>
    </row>
    <row r="326" spans="2:11">
      <c r="B326" t="str">
        <f t="shared" si="129"/>
        <v>SOL_WIN_BAL_WASREN_NEW</v>
      </c>
      <c r="C326" t="str">
        <f t="shared" si="130"/>
        <v>POM E</v>
      </c>
      <c r="D326">
        <f t="shared" si="131"/>
        <v>2035</v>
      </c>
      <c r="E326">
        <f t="shared" si="132"/>
        <v>5750.6220624827201</v>
      </c>
      <c r="F326">
        <f t="shared" si="133"/>
        <v>5</v>
      </c>
      <c r="H326">
        <f t="shared" si="135"/>
        <v>8</v>
      </c>
      <c r="I326">
        <f t="shared" si="136"/>
        <v>3</v>
      </c>
      <c r="J326">
        <f t="shared" si="137"/>
        <v>5</v>
      </c>
      <c r="K326" t="str">
        <f t="shared" si="134"/>
        <v>POM E.SOL_WIN_BAL_WASREN_NEW</v>
      </c>
    </row>
    <row r="327" spans="2:11">
      <c r="B327" t="str">
        <f t="shared" si="129"/>
        <v>FSS_ELC_NEW</v>
      </c>
      <c r="C327" t="str">
        <f t="shared" si="130"/>
        <v>POM E</v>
      </c>
      <c r="D327">
        <f t="shared" si="131"/>
        <v>2035</v>
      </c>
      <c r="E327">
        <f t="shared" si="132"/>
        <v>0</v>
      </c>
      <c r="F327">
        <f t="shared" si="133"/>
        <v>5</v>
      </c>
      <c r="H327">
        <f t="shared" si="135"/>
        <v>9</v>
      </c>
      <c r="I327">
        <f t="shared" si="136"/>
        <v>3</v>
      </c>
      <c r="J327">
        <f t="shared" si="137"/>
        <v>5</v>
      </c>
      <c r="K327" t="str">
        <f t="shared" si="134"/>
        <v>POM E.FSS_ELC_NEW</v>
      </c>
    </row>
    <row r="328" spans="2:11">
      <c r="B328" t="str">
        <f t="shared" si="129"/>
        <v>HYD_TOT</v>
      </c>
      <c r="C328" t="str">
        <f t="shared" si="130"/>
        <v>NEP C</v>
      </c>
      <c r="D328">
        <f t="shared" si="131"/>
        <v>2035</v>
      </c>
      <c r="E328">
        <f t="shared" si="132"/>
        <v>13735.139618468344</v>
      </c>
      <c r="F328">
        <f t="shared" si="133"/>
        <v>5</v>
      </c>
      <c r="H328">
        <f t="shared" si="135"/>
        <v>1</v>
      </c>
      <c r="I328">
        <f t="shared" si="136"/>
        <v>4</v>
      </c>
      <c r="J328">
        <f t="shared" si="137"/>
        <v>5</v>
      </c>
      <c r="K328" t="str">
        <f t="shared" si="134"/>
        <v>NEP C.HYD_TOT</v>
      </c>
    </row>
    <row r="329" spans="2:11">
      <c r="B329" t="str">
        <f t="shared" si="129"/>
        <v>HYD_TOT_NEW</v>
      </c>
      <c r="C329" t="str">
        <f t="shared" si="130"/>
        <v>NEP C</v>
      </c>
      <c r="D329">
        <f t="shared" si="131"/>
        <v>2035</v>
      </c>
      <c r="E329">
        <f t="shared" si="132"/>
        <v>3760.0221177771632</v>
      </c>
      <c r="F329">
        <f t="shared" si="133"/>
        <v>5</v>
      </c>
      <c r="H329">
        <f t="shared" si="135"/>
        <v>2</v>
      </c>
      <c r="I329">
        <f t="shared" si="136"/>
        <v>4</v>
      </c>
      <c r="J329">
        <f t="shared" si="137"/>
        <v>5</v>
      </c>
      <c r="K329" t="str">
        <f t="shared" si="134"/>
        <v>NEP C.HYD_TOT_NEW</v>
      </c>
    </row>
    <row r="330" spans="2:11">
      <c r="B330" t="str">
        <f t="shared" si="129"/>
        <v>NUC_ELC</v>
      </c>
      <c r="C330" t="str">
        <f t="shared" si="130"/>
        <v>NEP C</v>
      </c>
      <c r="D330">
        <f t="shared" si="131"/>
        <v>2035</v>
      </c>
      <c r="E330">
        <f t="shared" si="132"/>
        <v>0</v>
      </c>
      <c r="F330">
        <f t="shared" si="133"/>
        <v>5</v>
      </c>
      <c r="H330">
        <f t="shared" si="135"/>
        <v>3</v>
      </c>
      <c r="I330">
        <f t="shared" si="136"/>
        <v>4</v>
      </c>
      <c r="J330">
        <f t="shared" si="137"/>
        <v>5</v>
      </c>
      <c r="K330" t="str">
        <f t="shared" si="134"/>
        <v>NEP C.NUC_ELC</v>
      </c>
    </row>
    <row r="331" spans="2:11">
      <c r="B331" t="str">
        <f t="shared" si="129"/>
        <v>FSS_ELC</v>
      </c>
      <c r="C331" t="str">
        <f t="shared" si="130"/>
        <v>NEP C</v>
      </c>
      <c r="D331">
        <f t="shared" si="131"/>
        <v>2035</v>
      </c>
      <c r="E331">
        <f t="shared" si="132"/>
        <v>0</v>
      </c>
      <c r="F331">
        <f t="shared" si="133"/>
        <v>5</v>
      </c>
      <c r="H331">
        <f t="shared" si="135"/>
        <v>4</v>
      </c>
      <c r="I331">
        <f t="shared" si="136"/>
        <v>4</v>
      </c>
      <c r="J331">
        <f t="shared" si="137"/>
        <v>5</v>
      </c>
      <c r="K331" t="str">
        <f t="shared" si="134"/>
        <v>NEP C.FSS_ELC</v>
      </c>
    </row>
    <row r="332" spans="2:11">
      <c r="B332" t="str">
        <f t="shared" si="129"/>
        <v>FSS_CHP</v>
      </c>
      <c r="C332" t="str">
        <f t="shared" si="130"/>
        <v>NEP C</v>
      </c>
      <c r="D332">
        <f t="shared" si="131"/>
        <v>2035</v>
      </c>
      <c r="E332">
        <f t="shared" si="132"/>
        <v>154.96267625103678</v>
      </c>
      <c r="F332">
        <f t="shared" si="133"/>
        <v>5</v>
      </c>
      <c r="H332">
        <f t="shared" si="135"/>
        <v>5</v>
      </c>
      <c r="I332">
        <f t="shared" si="136"/>
        <v>4</v>
      </c>
      <c r="J332">
        <f t="shared" si="137"/>
        <v>5</v>
      </c>
      <c r="K332" t="str">
        <f t="shared" si="134"/>
        <v>NEP C.FSS_CHP</v>
      </c>
    </row>
    <row r="333" spans="2:11">
      <c r="B333" t="str">
        <f t="shared" ref="B333:B396" si="138">INDEX(H$3:H$11,H333)</f>
        <v>SOL_WIN_BAL_WASREN</v>
      </c>
      <c r="C333" t="str">
        <f t="shared" ref="C333:C396" si="139">INDEX(I$3:I$11,I333)</f>
        <v>NEP C</v>
      </c>
      <c r="D333">
        <f t="shared" ref="D333:D396" si="140">INDEX(J$3:J$11,J333)</f>
        <v>2035</v>
      </c>
      <c r="E333">
        <f t="shared" ref="E333:E396" si="141">INDEX($U$28:$AB$156,MATCH(K333,$Q$28:$Q$156,0),MATCH(D333,$U$26:$AB$26,0))</f>
        <v>66.215095382914015</v>
      </c>
      <c r="F333">
        <f t="shared" ref="F333:F396" si="142">MATCH(D333,$U$26:$AB$26,0)</f>
        <v>5</v>
      </c>
      <c r="H333">
        <f t="shared" si="135"/>
        <v>6</v>
      </c>
      <c r="I333">
        <f t="shared" si="136"/>
        <v>4</v>
      </c>
      <c r="J333">
        <f t="shared" si="137"/>
        <v>5</v>
      </c>
      <c r="K333" t="str">
        <f t="shared" ref="K333:K396" si="143">C333&amp;"."&amp;B333</f>
        <v>NEP C.SOL_WIN_BAL_WASREN</v>
      </c>
    </row>
    <row r="334" spans="2:11">
      <c r="B334" t="str">
        <f t="shared" si="138"/>
        <v>FSS_CHP_NEW</v>
      </c>
      <c r="C334" t="str">
        <f t="shared" si="139"/>
        <v>NEP C</v>
      </c>
      <c r="D334">
        <f t="shared" si="140"/>
        <v>2035</v>
      </c>
      <c r="E334">
        <f t="shared" si="141"/>
        <v>641.41553773845726</v>
      </c>
      <c r="F334">
        <f t="shared" si="142"/>
        <v>5</v>
      </c>
      <c r="H334">
        <f t="shared" ref="H334:H397" si="144">IF(H333=COUNTA($H$3:$H$11),1,H333+1)</f>
        <v>7</v>
      </c>
      <c r="I334">
        <f t="shared" ref="I334:I397" si="145">IF(H334=1,IF(I333=COUNTA($I$3:$I$11),1,I333+1),I333)</f>
        <v>4</v>
      </c>
      <c r="J334">
        <f t="shared" ref="J334:J397" si="146">IF(AND(I334=1,I333&gt;1),IF(J333=$J$2,1,J333+1),J333)</f>
        <v>5</v>
      </c>
      <c r="K334" t="str">
        <f t="shared" si="143"/>
        <v>NEP C.FSS_CHP_NEW</v>
      </c>
    </row>
    <row r="335" spans="2:11">
      <c r="B335" t="str">
        <f t="shared" si="138"/>
        <v>SOL_WIN_BAL_WASREN_NEW</v>
      </c>
      <c r="C335" t="str">
        <f t="shared" si="139"/>
        <v>NEP C</v>
      </c>
      <c r="D335">
        <f t="shared" si="140"/>
        <v>2035</v>
      </c>
      <c r="E335">
        <f t="shared" si="141"/>
        <v>2963.7821398949404</v>
      </c>
      <c r="F335">
        <f t="shared" si="142"/>
        <v>5</v>
      </c>
      <c r="H335">
        <f t="shared" si="144"/>
        <v>8</v>
      </c>
      <c r="I335">
        <f t="shared" si="145"/>
        <v>4</v>
      </c>
      <c r="J335">
        <f t="shared" si="146"/>
        <v>5</v>
      </c>
      <c r="K335" t="str">
        <f t="shared" si="143"/>
        <v>NEP C.SOL_WIN_BAL_WASREN_NEW</v>
      </c>
    </row>
    <row r="336" spans="2:11">
      <c r="B336" t="str">
        <f t="shared" si="138"/>
        <v>FSS_ELC_NEW</v>
      </c>
      <c r="C336" t="str">
        <f t="shared" si="139"/>
        <v>NEP C</v>
      </c>
      <c r="D336">
        <f t="shared" si="140"/>
        <v>2035</v>
      </c>
      <c r="E336">
        <f t="shared" si="141"/>
        <v>2698.3688139341998</v>
      </c>
      <c r="F336">
        <f t="shared" si="142"/>
        <v>5</v>
      </c>
      <c r="H336">
        <f t="shared" si="144"/>
        <v>9</v>
      </c>
      <c r="I336">
        <f t="shared" si="145"/>
        <v>4</v>
      </c>
      <c r="J336">
        <f t="shared" si="146"/>
        <v>5</v>
      </c>
      <c r="K336" t="str">
        <f t="shared" si="143"/>
        <v>NEP C.FSS_ELC_NEW</v>
      </c>
    </row>
    <row r="337" spans="2:11">
      <c r="B337" t="str">
        <f t="shared" si="138"/>
        <v>HYD_TOT</v>
      </c>
      <c r="C337" t="str">
        <f t="shared" si="139"/>
        <v>NEP C&amp;E</v>
      </c>
      <c r="D337">
        <f t="shared" si="140"/>
        <v>2035</v>
      </c>
      <c r="E337">
        <f t="shared" si="141"/>
        <v>13735.139618468344</v>
      </c>
      <c r="F337">
        <f t="shared" si="142"/>
        <v>5</v>
      </c>
      <c r="H337">
        <f t="shared" si="144"/>
        <v>1</v>
      </c>
      <c r="I337">
        <f t="shared" si="145"/>
        <v>5</v>
      </c>
      <c r="J337">
        <f t="shared" si="146"/>
        <v>5</v>
      </c>
      <c r="K337" t="str">
        <f t="shared" si="143"/>
        <v>NEP C&amp;E.HYD_TOT</v>
      </c>
    </row>
    <row r="338" spans="2:11">
      <c r="B338" t="str">
        <f t="shared" si="138"/>
        <v>HYD_TOT_NEW</v>
      </c>
      <c r="C338" t="str">
        <f t="shared" si="139"/>
        <v>NEP C&amp;E</v>
      </c>
      <c r="D338">
        <f t="shared" si="140"/>
        <v>2035</v>
      </c>
      <c r="E338">
        <f t="shared" si="141"/>
        <v>4136.0243295548798</v>
      </c>
      <c r="F338">
        <f t="shared" si="142"/>
        <v>5</v>
      </c>
      <c r="H338">
        <f t="shared" si="144"/>
        <v>2</v>
      </c>
      <c r="I338">
        <f t="shared" si="145"/>
        <v>5</v>
      </c>
      <c r="J338">
        <f t="shared" si="146"/>
        <v>5</v>
      </c>
      <c r="K338" t="str">
        <f t="shared" si="143"/>
        <v>NEP C&amp;E.HYD_TOT_NEW</v>
      </c>
    </row>
    <row r="339" spans="2:11">
      <c r="B339" t="str">
        <f t="shared" si="138"/>
        <v>NUC_ELC</v>
      </c>
      <c r="C339" t="str">
        <f t="shared" si="139"/>
        <v>NEP C&amp;E</v>
      </c>
      <c r="D339">
        <f t="shared" si="140"/>
        <v>2035</v>
      </c>
      <c r="E339">
        <f t="shared" si="141"/>
        <v>0</v>
      </c>
      <c r="F339">
        <f t="shared" si="142"/>
        <v>5</v>
      </c>
      <c r="H339">
        <f t="shared" si="144"/>
        <v>3</v>
      </c>
      <c r="I339">
        <f t="shared" si="145"/>
        <v>5</v>
      </c>
      <c r="J339">
        <f t="shared" si="146"/>
        <v>5</v>
      </c>
      <c r="K339" t="str">
        <f t="shared" si="143"/>
        <v>NEP C&amp;E.NUC_ELC</v>
      </c>
    </row>
    <row r="340" spans="2:11">
      <c r="B340" t="str">
        <f t="shared" si="138"/>
        <v>FSS_ELC</v>
      </c>
      <c r="C340" t="str">
        <f t="shared" si="139"/>
        <v>NEP C&amp;E</v>
      </c>
      <c r="D340">
        <f t="shared" si="140"/>
        <v>2035</v>
      </c>
      <c r="E340">
        <f t="shared" si="141"/>
        <v>0</v>
      </c>
      <c r="F340">
        <f t="shared" si="142"/>
        <v>5</v>
      </c>
      <c r="H340">
        <f t="shared" si="144"/>
        <v>4</v>
      </c>
      <c r="I340">
        <f t="shared" si="145"/>
        <v>5</v>
      </c>
      <c r="J340">
        <f t="shared" si="146"/>
        <v>5</v>
      </c>
      <c r="K340" t="str">
        <f t="shared" si="143"/>
        <v>NEP C&amp;E.FSS_ELC</v>
      </c>
    </row>
    <row r="341" spans="2:11">
      <c r="B341" t="str">
        <f t="shared" si="138"/>
        <v>FSS_CHP</v>
      </c>
      <c r="C341" t="str">
        <f t="shared" si="139"/>
        <v>NEP C&amp;E</v>
      </c>
      <c r="D341">
        <f t="shared" si="140"/>
        <v>2035</v>
      </c>
      <c r="E341">
        <f t="shared" si="141"/>
        <v>88.471108653580316</v>
      </c>
      <c r="F341">
        <f t="shared" si="142"/>
        <v>5</v>
      </c>
      <c r="H341">
        <f t="shared" si="144"/>
        <v>5</v>
      </c>
      <c r="I341">
        <f t="shared" si="145"/>
        <v>5</v>
      </c>
      <c r="J341">
        <f t="shared" si="146"/>
        <v>5</v>
      </c>
      <c r="K341" t="str">
        <f t="shared" si="143"/>
        <v>NEP C&amp;E.FSS_CHP</v>
      </c>
    </row>
    <row r="342" spans="2:11">
      <c r="B342" t="str">
        <f t="shared" si="138"/>
        <v>SOL_WIN_BAL_WASREN</v>
      </c>
      <c r="C342" t="str">
        <f t="shared" si="139"/>
        <v>NEP C&amp;E</v>
      </c>
      <c r="D342">
        <f t="shared" si="140"/>
        <v>2035</v>
      </c>
      <c r="E342">
        <f t="shared" si="141"/>
        <v>88.609344760851528</v>
      </c>
      <c r="F342">
        <f t="shared" si="142"/>
        <v>5</v>
      </c>
      <c r="H342">
        <f t="shared" si="144"/>
        <v>6</v>
      </c>
      <c r="I342">
        <f t="shared" si="145"/>
        <v>5</v>
      </c>
      <c r="J342">
        <f t="shared" si="146"/>
        <v>5</v>
      </c>
      <c r="K342" t="str">
        <f t="shared" si="143"/>
        <v>NEP C&amp;E.SOL_WIN_BAL_WASREN</v>
      </c>
    </row>
    <row r="343" spans="2:11">
      <c r="B343" t="str">
        <f t="shared" si="138"/>
        <v>FSS_CHP_NEW</v>
      </c>
      <c r="C343" t="str">
        <f t="shared" si="139"/>
        <v>NEP C&amp;E</v>
      </c>
      <c r="D343">
        <f t="shared" si="140"/>
        <v>2035</v>
      </c>
      <c r="E343">
        <f t="shared" si="141"/>
        <v>552.94442908487702</v>
      </c>
      <c r="F343">
        <f t="shared" si="142"/>
        <v>5</v>
      </c>
      <c r="H343">
        <f t="shared" si="144"/>
        <v>7</v>
      </c>
      <c r="I343">
        <f t="shared" si="145"/>
        <v>5</v>
      </c>
      <c r="J343">
        <f t="shared" si="146"/>
        <v>5</v>
      </c>
      <c r="K343" t="str">
        <f t="shared" si="143"/>
        <v>NEP C&amp;E.FSS_CHP_NEW</v>
      </c>
    </row>
    <row r="344" spans="2:11">
      <c r="B344" t="str">
        <f t="shared" si="138"/>
        <v>SOL_WIN_BAL_WASREN_NEW</v>
      </c>
      <c r="C344" t="str">
        <f t="shared" si="139"/>
        <v>NEP C&amp;E</v>
      </c>
      <c r="D344">
        <f t="shared" si="140"/>
        <v>2035</v>
      </c>
      <c r="E344">
        <f t="shared" si="141"/>
        <v>5750.6220624827201</v>
      </c>
      <c r="F344">
        <f t="shared" si="142"/>
        <v>5</v>
      </c>
      <c r="H344">
        <f t="shared" si="144"/>
        <v>8</v>
      </c>
      <c r="I344">
        <f t="shared" si="145"/>
        <v>5</v>
      </c>
      <c r="J344">
        <f t="shared" si="146"/>
        <v>5</v>
      </c>
      <c r="K344" t="str">
        <f t="shared" si="143"/>
        <v>NEP C&amp;E.SOL_WIN_BAL_WASREN_NEW</v>
      </c>
    </row>
    <row r="345" spans="2:11">
      <c r="B345" t="str">
        <f t="shared" si="138"/>
        <v>FSS_ELC_NEW</v>
      </c>
      <c r="C345" t="str">
        <f t="shared" si="139"/>
        <v>NEP C&amp;E</v>
      </c>
      <c r="D345">
        <f t="shared" si="140"/>
        <v>2035</v>
      </c>
      <c r="E345">
        <f t="shared" si="141"/>
        <v>2145.2861487420514</v>
      </c>
      <c r="F345">
        <f t="shared" si="142"/>
        <v>5</v>
      </c>
      <c r="H345">
        <f t="shared" si="144"/>
        <v>9</v>
      </c>
      <c r="I345">
        <f t="shared" si="145"/>
        <v>5</v>
      </c>
      <c r="J345">
        <f t="shared" si="146"/>
        <v>5</v>
      </c>
      <c r="K345" t="str">
        <f t="shared" si="143"/>
        <v>NEP C&amp;E.FSS_ELC_NEW</v>
      </c>
    </row>
    <row r="346" spans="2:11">
      <c r="B346" t="str">
        <f t="shared" si="138"/>
        <v>HYD_TOT</v>
      </c>
      <c r="C346" t="str">
        <f t="shared" si="139"/>
        <v>NEP E</v>
      </c>
      <c r="D346">
        <f t="shared" si="140"/>
        <v>2035</v>
      </c>
      <c r="E346">
        <f t="shared" si="141"/>
        <v>13735.139618468344</v>
      </c>
      <c r="F346">
        <f t="shared" si="142"/>
        <v>5</v>
      </c>
      <c r="H346">
        <f t="shared" si="144"/>
        <v>1</v>
      </c>
      <c r="I346">
        <f t="shared" si="145"/>
        <v>6</v>
      </c>
      <c r="J346">
        <f t="shared" si="146"/>
        <v>5</v>
      </c>
      <c r="K346" t="str">
        <f t="shared" si="143"/>
        <v>NEP E.HYD_TOT</v>
      </c>
    </row>
    <row r="347" spans="2:11">
      <c r="B347" t="str">
        <f t="shared" si="138"/>
        <v>HYD_TOT_NEW</v>
      </c>
      <c r="C347" t="str">
        <f t="shared" si="139"/>
        <v>NEP E</v>
      </c>
      <c r="D347">
        <f t="shared" si="140"/>
        <v>2035</v>
      </c>
      <c r="E347">
        <f t="shared" si="141"/>
        <v>4158.1421067182746</v>
      </c>
      <c r="F347">
        <f t="shared" si="142"/>
        <v>5</v>
      </c>
      <c r="H347">
        <f t="shared" si="144"/>
        <v>2</v>
      </c>
      <c r="I347">
        <f t="shared" si="145"/>
        <v>6</v>
      </c>
      <c r="J347">
        <f t="shared" si="146"/>
        <v>5</v>
      </c>
      <c r="K347" t="str">
        <f t="shared" si="143"/>
        <v>NEP E.HYD_TOT_NEW</v>
      </c>
    </row>
    <row r="348" spans="2:11">
      <c r="B348" t="str">
        <f t="shared" si="138"/>
        <v>NUC_ELC</v>
      </c>
      <c r="C348" t="str">
        <f t="shared" si="139"/>
        <v>NEP E</v>
      </c>
      <c r="D348">
        <f t="shared" si="140"/>
        <v>2035</v>
      </c>
      <c r="E348">
        <f t="shared" si="141"/>
        <v>0</v>
      </c>
      <c r="F348">
        <f t="shared" si="142"/>
        <v>5</v>
      </c>
      <c r="H348">
        <f t="shared" si="144"/>
        <v>3</v>
      </c>
      <c r="I348">
        <f t="shared" si="145"/>
        <v>6</v>
      </c>
      <c r="J348">
        <f t="shared" si="146"/>
        <v>5</v>
      </c>
      <c r="K348" t="str">
        <f t="shared" si="143"/>
        <v>NEP E.NUC_ELC</v>
      </c>
    </row>
    <row r="349" spans="2:11">
      <c r="B349" t="str">
        <f t="shared" si="138"/>
        <v>FSS_ELC</v>
      </c>
      <c r="C349" t="str">
        <f t="shared" si="139"/>
        <v>NEP E</v>
      </c>
      <c r="D349">
        <f t="shared" si="140"/>
        <v>2035</v>
      </c>
      <c r="E349">
        <f t="shared" si="141"/>
        <v>0</v>
      </c>
      <c r="F349">
        <f t="shared" si="142"/>
        <v>5</v>
      </c>
      <c r="H349">
        <f t="shared" si="144"/>
        <v>4</v>
      </c>
      <c r="I349">
        <f t="shared" si="145"/>
        <v>6</v>
      </c>
      <c r="J349">
        <f t="shared" si="146"/>
        <v>5</v>
      </c>
      <c r="K349" t="str">
        <f t="shared" si="143"/>
        <v>NEP E.FSS_ELC</v>
      </c>
    </row>
    <row r="350" spans="2:11">
      <c r="B350" t="str">
        <f t="shared" si="138"/>
        <v>FSS_CHP</v>
      </c>
      <c r="C350" t="str">
        <f t="shared" si="139"/>
        <v>NEP E</v>
      </c>
      <c r="D350">
        <f t="shared" si="140"/>
        <v>2035</v>
      </c>
      <c r="E350">
        <f t="shared" si="141"/>
        <v>88.609344760851528</v>
      </c>
      <c r="F350">
        <f t="shared" si="142"/>
        <v>5</v>
      </c>
      <c r="H350">
        <f t="shared" si="144"/>
        <v>5</v>
      </c>
      <c r="I350">
        <f t="shared" si="145"/>
        <v>6</v>
      </c>
      <c r="J350">
        <f t="shared" si="146"/>
        <v>5</v>
      </c>
      <c r="K350" t="str">
        <f t="shared" si="143"/>
        <v>NEP E.FSS_CHP</v>
      </c>
    </row>
    <row r="351" spans="2:11">
      <c r="B351" t="str">
        <f t="shared" si="138"/>
        <v>SOL_WIN_BAL_WASREN</v>
      </c>
      <c r="C351" t="str">
        <f t="shared" si="139"/>
        <v>NEP E</v>
      </c>
      <c r="D351">
        <f t="shared" si="140"/>
        <v>2035</v>
      </c>
      <c r="E351">
        <f t="shared" si="141"/>
        <v>66.353331490185241</v>
      </c>
      <c r="F351">
        <f t="shared" si="142"/>
        <v>5</v>
      </c>
      <c r="H351">
        <f t="shared" si="144"/>
        <v>6</v>
      </c>
      <c r="I351">
        <f t="shared" si="145"/>
        <v>6</v>
      </c>
      <c r="J351">
        <f t="shared" si="146"/>
        <v>5</v>
      </c>
      <c r="K351" t="str">
        <f t="shared" si="143"/>
        <v>NEP E.SOL_WIN_BAL_WASREN</v>
      </c>
    </row>
    <row r="352" spans="2:11">
      <c r="B352" t="str">
        <f t="shared" si="138"/>
        <v>FSS_CHP_NEW</v>
      </c>
      <c r="C352" t="str">
        <f t="shared" si="139"/>
        <v>NEP E</v>
      </c>
      <c r="D352">
        <f t="shared" si="140"/>
        <v>2035</v>
      </c>
      <c r="E352">
        <f t="shared" si="141"/>
        <v>575.0622062482721</v>
      </c>
      <c r="F352">
        <f t="shared" si="142"/>
        <v>5</v>
      </c>
      <c r="H352">
        <f t="shared" si="144"/>
        <v>7</v>
      </c>
      <c r="I352">
        <f t="shared" si="145"/>
        <v>6</v>
      </c>
      <c r="J352">
        <f t="shared" si="146"/>
        <v>5</v>
      </c>
      <c r="K352" t="str">
        <f t="shared" si="143"/>
        <v>NEP E.FSS_CHP_NEW</v>
      </c>
    </row>
    <row r="353" spans="2:11">
      <c r="B353" t="str">
        <f t="shared" si="138"/>
        <v>SOL_WIN_BAL_WASREN_NEW</v>
      </c>
      <c r="C353" t="str">
        <f t="shared" si="139"/>
        <v>NEP E</v>
      </c>
      <c r="D353">
        <f t="shared" si="140"/>
        <v>2035</v>
      </c>
      <c r="E353">
        <f t="shared" si="141"/>
        <v>5728.5042853193254</v>
      </c>
      <c r="F353">
        <f t="shared" si="142"/>
        <v>5</v>
      </c>
      <c r="H353">
        <f t="shared" si="144"/>
        <v>8</v>
      </c>
      <c r="I353">
        <f t="shared" si="145"/>
        <v>6</v>
      </c>
      <c r="J353">
        <f t="shared" si="146"/>
        <v>5</v>
      </c>
      <c r="K353" t="str">
        <f t="shared" si="143"/>
        <v>NEP E.SOL_WIN_BAL_WASREN_NEW</v>
      </c>
    </row>
    <row r="354" spans="2:11">
      <c r="B354" t="str">
        <f t="shared" si="138"/>
        <v>FSS_ELC_NEW</v>
      </c>
      <c r="C354" t="str">
        <f t="shared" si="139"/>
        <v>NEP E</v>
      </c>
      <c r="D354">
        <f t="shared" si="140"/>
        <v>2035</v>
      </c>
      <c r="E354">
        <f t="shared" si="141"/>
        <v>0</v>
      </c>
      <c r="F354">
        <f t="shared" si="142"/>
        <v>5</v>
      </c>
      <c r="H354">
        <f t="shared" si="144"/>
        <v>9</v>
      </c>
      <c r="I354">
        <f t="shared" si="145"/>
        <v>6</v>
      </c>
      <c r="J354">
        <f t="shared" si="146"/>
        <v>5</v>
      </c>
      <c r="K354" t="str">
        <f t="shared" si="143"/>
        <v>NEP E.FSS_ELC_NEW</v>
      </c>
    </row>
    <row r="355" spans="2:11">
      <c r="B355" t="str">
        <f t="shared" si="138"/>
        <v>HYD_TOT</v>
      </c>
      <c r="C355" t="str">
        <f t="shared" si="139"/>
        <v>WWB C</v>
      </c>
      <c r="D355">
        <f t="shared" si="140"/>
        <v>2035</v>
      </c>
      <c r="E355">
        <f t="shared" si="141"/>
        <v>13779.375172795135</v>
      </c>
      <c r="F355">
        <f t="shared" si="142"/>
        <v>5</v>
      </c>
      <c r="H355">
        <f t="shared" si="144"/>
        <v>1</v>
      </c>
      <c r="I355">
        <f t="shared" si="145"/>
        <v>7</v>
      </c>
      <c r="J355">
        <f t="shared" si="146"/>
        <v>5</v>
      </c>
      <c r="K355" t="str">
        <f t="shared" si="143"/>
        <v>WWB C.HYD_TOT</v>
      </c>
    </row>
    <row r="356" spans="2:11">
      <c r="B356" t="str">
        <f t="shared" si="138"/>
        <v>HYD_TOT_NEW</v>
      </c>
      <c r="C356" t="str">
        <f t="shared" si="139"/>
        <v>WWB C</v>
      </c>
      <c r="D356">
        <f t="shared" si="140"/>
        <v>2035</v>
      </c>
      <c r="E356">
        <f t="shared" si="141"/>
        <v>3760.0221177771632</v>
      </c>
      <c r="F356">
        <f t="shared" si="142"/>
        <v>5</v>
      </c>
      <c r="H356">
        <f t="shared" si="144"/>
        <v>2</v>
      </c>
      <c r="I356">
        <f t="shared" si="145"/>
        <v>7</v>
      </c>
      <c r="J356">
        <f t="shared" si="146"/>
        <v>5</v>
      </c>
      <c r="K356" t="str">
        <f t="shared" si="143"/>
        <v>WWB C.HYD_TOT_NEW</v>
      </c>
    </row>
    <row r="357" spans="2:11">
      <c r="B357" t="str">
        <f t="shared" si="138"/>
        <v>NUC_ELC</v>
      </c>
      <c r="C357" t="str">
        <f t="shared" si="139"/>
        <v>WWB C</v>
      </c>
      <c r="D357">
        <f t="shared" si="140"/>
        <v>2035</v>
      </c>
      <c r="E357">
        <f t="shared" si="141"/>
        <v>0</v>
      </c>
      <c r="F357">
        <f t="shared" si="142"/>
        <v>5</v>
      </c>
      <c r="H357">
        <f t="shared" si="144"/>
        <v>3</v>
      </c>
      <c r="I357">
        <f t="shared" si="145"/>
        <v>7</v>
      </c>
      <c r="J357">
        <f t="shared" si="146"/>
        <v>5</v>
      </c>
      <c r="K357" t="str">
        <f t="shared" si="143"/>
        <v>WWB C.NUC_ELC</v>
      </c>
    </row>
    <row r="358" spans="2:11">
      <c r="B358" t="str">
        <f t="shared" si="138"/>
        <v>FSS_ELC</v>
      </c>
      <c r="C358" t="str">
        <f t="shared" si="139"/>
        <v>WWB C</v>
      </c>
      <c r="D358">
        <f t="shared" si="140"/>
        <v>2035</v>
      </c>
      <c r="E358">
        <f t="shared" si="141"/>
        <v>0</v>
      </c>
      <c r="F358">
        <f t="shared" si="142"/>
        <v>5</v>
      </c>
      <c r="H358">
        <f t="shared" si="144"/>
        <v>4</v>
      </c>
      <c r="I358">
        <f t="shared" si="145"/>
        <v>7</v>
      </c>
      <c r="J358">
        <f t="shared" si="146"/>
        <v>5</v>
      </c>
      <c r="K358" t="str">
        <f t="shared" si="143"/>
        <v>WWB C.FSS_ELC</v>
      </c>
    </row>
    <row r="359" spans="2:11">
      <c r="B359" t="str">
        <f t="shared" si="138"/>
        <v>FSS_CHP</v>
      </c>
      <c r="C359" t="str">
        <f t="shared" si="139"/>
        <v>WWB C</v>
      </c>
      <c r="D359">
        <f t="shared" si="140"/>
        <v>2035</v>
      </c>
      <c r="E359">
        <f t="shared" si="141"/>
        <v>66.353331490185241</v>
      </c>
      <c r="F359">
        <f t="shared" si="142"/>
        <v>5</v>
      </c>
      <c r="H359">
        <f t="shared" si="144"/>
        <v>5</v>
      </c>
      <c r="I359">
        <f t="shared" si="145"/>
        <v>7</v>
      </c>
      <c r="J359">
        <f t="shared" si="146"/>
        <v>5</v>
      </c>
      <c r="K359" t="str">
        <f t="shared" si="143"/>
        <v>WWB C.FSS_CHP</v>
      </c>
    </row>
    <row r="360" spans="2:11">
      <c r="B360" t="str">
        <f t="shared" si="138"/>
        <v>SOL_WIN_BAL_WASREN</v>
      </c>
      <c r="C360" t="str">
        <f t="shared" si="139"/>
        <v>WWB C</v>
      </c>
      <c r="D360">
        <f t="shared" si="140"/>
        <v>2035</v>
      </c>
      <c r="E360">
        <f t="shared" si="141"/>
        <v>88.33287254630909</v>
      </c>
      <c r="F360">
        <f t="shared" si="142"/>
        <v>5</v>
      </c>
      <c r="H360">
        <f t="shared" si="144"/>
        <v>6</v>
      </c>
      <c r="I360">
        <f t="shared" si="145"/>
        <v>7</v>
      </c>
      <c r="J360">
        <f t="shared" si="146"/>
        <v>5</v>
      </c>
      <c r="K360" t="str">
        <f t="shared" si="143"/>
        <v>WWB C.SOL_WIN_BAL_WASREN</v>
      </c>
    </row>
    <row r="361" spans="2:11">
      <c r="B361" t="str">
        <f t="shared" si="138"/>
        <v>FSS_CHP_NEW</v>
      </c>
      <c r="C361" t="str">
        <f t="shared" si="139"/>
        <v>WWB C</v>
      </c>
      <c r="D361">
        <f t="shared" si="140"/>
        <v>2035</v>
      </c>
      <c r="E361">
        <f t="shared" si="141"/>
        <v>641.41553773845726</v>
      </c>
      <c r="F361">
        <f t="shared" si="142"/>
        <v>5</v>
      </c>
      <c r="H361">
        <f t="shared" si="144"/>
        <v>7</v>
      </c>
      <c r="I361">
        <f t="shared" si="145"/>
        <v>7</v>
      </c>
      <c r="J361">
        <f t="shared" si="146"/>
        <v>5</v>
      </c>
      <c r="K361" t="str">
        <f t="shared" si="143"/>
        <v>WWB C.FSS_CHP_NEW</v>
      </c>
    </row>
    <row r="362" spans="2:11">
      <c r="B362" t="str">
        <f t="shared" si="138"/>
        <v>SOL_WIN_BAL_WASREN_NEW</v>
      </c>
      <c r="C362" t="str">
        <f t="shared" si="139"/>
        <v>WWB C</v>
      </c>
      <c r="D362">
        <f t="shared" si="140"/>
        <v>2035</v>
      </c>
      <c r="E362">
        <f t="shared" si="141"/>
        <v>2963.7821398949404</v>
      </c>
      <c r="F362">
        <f t="shared" si="142"/>
        <v>5</v>
      </c>
      <c r="H362">
        <f t="shared" si="144"/>
        <v>8</v>
      </c>
      <c r="I362">
        <f t="shared" si="145"/>
        <v>7</v>
      </c>
      <c r="J362">
        <f t="shared" si="146"/>
        <v>5</v>
      </c>
      <c r="K362" t="str">
        <f t="shared" si="143"/>
        <v>WWB C.SOL_WIN_BAL_WASREN_NEW</v>
      </c>
    </row>
    <row r="363" spans="2:11">
      <c r="B363" t="str">
        <f t="shared" si="138"/>
        <v>FSS_ELC_NEW</v>
      </c>
      <c r="C363" t="str">
        <f t="shared" si="139"/>
        <v>WWB C</v>
      </c>
      <c r="D363">
        <f t="shared" si="140"/>
        <v>2035</v>
      </c>
      <c r="E363">
        <f t="shared" si="141"/>
        <v>4401.4376555156205</v>
      </c>
      <c r="F363">
        <f t="shared" si="142"/>
        <v>5</v>
      </c>
      <c r="H363">
        <f t="shared" si="144"/>
        <v>9</v>
      </c>
      <c r="I363">
        <f t="shared" si="145"/>
        <v>7</v>
      </c>
      <c r="J363">
        <f t="shared" si="146"/>
        <v>5</v>
      </c>
      <c r="K363" t="str">
        <f t="shared" si="143"/>
        <v>WWB C.FSS_ELC_NEW</v>
      </c>
    </row>
    <row r="364" spans="2:11">
      <c r="B364" t="str">
        <f t="shared" si="138"/>
        <v>HYD_TOT</v>
      </c>
      <c r="C364" t="str">
        <f t="shared" si="139"/>
        <v>WWB C&amp;E</v>
      </c>
      <c r="D364">
        <f t="shared" si="140"/>
        <v>2035</v>
      </c>
      <c r="E364">
        <f t="shared" si="141"/>
        <v>13757.395631739009</v>
      </c>
      <c r="F364">
        <f t="shared" si="142"/>
        <v>5</v>
      </c>
      <c r="H364">
        <f t="shared" si="144"/>
        <v>1</v>
      </c>
      <c r="I364">
        <f t="shared" si="145"/>
        <v>8</v>
      </c>
      <c r="J364">
        <f t="shared" si="146"/>
        <v>5</v>
      </c>
      <c r="K364" t="str">
        <f t="shared" si="143"/>
        <v>WWB C&amp;E.HYD_TOT</v>
      </c>
    </row>
    <row r="365" spans="2:11">
      <c r="B365" t="str">
        <f t="shared" si="138"/>
        <v>HYD_TOT_NEW</v>
      </c>
      <c r="C365" t="str">
        <f t="shared" si="139"/>
        <v>WWB C&amp;E</v>
      </c>
      <c r="D365">
        <f t="shared" si="140"/>
        <v>2035</v>
      </c>
      <c r="E365">
        <f t="shared" si="141"/>
        <v>4158.0038706110035</v>
      </c>
      <c r="F365">
        <f t="shared" si="142"/>
        <v>5</v>
      </c>
      <c r="H365">
        <f t="shared" si="144"/>
        <v>2</v>
      </c>
      <c r="I365">
        <f t="shared" si="145"/>
        <v>8</v>
      </c>
      <c r="J365">
        <f t="shared" si="146"/>
        <v>5</v>
      </c>
      <c r="K365" t="str">
        <f t="shared" si="143"/>
        <v>WWB C&amp;E.HYD_TOT_NEW</v>
      </c>
    </row>
    <row r="366" spans="2:11">
      <c r="B366" t="str">
        <f t="shared" si="138"/>
        <v>NUC_ELC</v>
      </c>
      <c r="C366" t="str">
        <f t="shared" si="139"/>
        <v>WWB C&amp;E</v>
      </c>
      <c r="D366">
        <f t="shared" si="140"/>
        <v>2035</v>
      </c>
      <c r="E366">
        <f t="shared" si="141"/>
        <v>0</v>
      </c>
      <c r="F366">
        <f t="shared" si="142"/>
        <v>5</v>
      </c>
      <c r="H366">
        <f t="shared" si="144"/>
        <v>3</v>
      </c>
      <c r="I366">
        <f t="shared" si="145"/>
        <v>8</v>
      </c>
      <c r="J366">
        <f t="shared" si="146"/>
        <v>5</v>
      </c>
      <c r="K366" t="str">
        <f t="shared" si="143"/>
        <v>WWB C&amp;E.NUC_ELC</v>
      </c>
    </row>
    <row r="367" spans="2:11">
      <c r="B367" t="str">
        <f t="shared" si="138"/>
        <v>FSS_ELC</v>
      </c>
      <c r="C367" t="str">
        <f t="shared" si="139"/>
        <v>WWB C&amp;E</v>
      </c>
      <c r="D367">
        <f t="shared" si="140"/>
        <v>2035</v>
      </c>
      <c r="E367">
        <f t="shared" si="141"/>
        <v>0</v>
      </c>
      <c r="F367">
        <f t="shared" si="142"/>
        <v>5</v>
      </c>
      <c r="H367">
        <f t="shared" si="144"/>
        <v>4</v>
      </c>
      <c r="I367">
        <f t="shared" si="145"/>
        <v>8</v>
      </c>
      <c r="J367">
        <f t="shared" si="146"/>
        <v>5</v>
      </c>
      <c r="K367" t="str">
        <f t="shared" si="143"/>
        <v>WWB C&amp;E.FSS_ELC</v>
      </c>
    </row>
    <row r="368" spans="2:11">
      <c r="B368" t="str">
        <f t="shared" si="138"/>
        <v>FSS_CHP</v>
      </c>
      <c r="C368" t="str">
        <f t="shared" si="139"/>
        <v>WWB C&amp;E</v>
      </c>
      <c r="D368">
        <f t="shared" si="140"/>
        <v>2035</v>
      </c>
      <c r="E368">
        <f t="shared" si="141"/>
        <v>66.353331490185241</v>
      </c>
      <c r="F368">
        <f t="shared" si="142"/>
        <v>5</v>
      </c>
      <c r="H368">
        <f t="shared" si="144"/>
        <v>5</v>
      </c>
      <c r="I368">
        <f t="shared" si="145"/>
        <v>8</v>
      </c>
      <c r="J368">
        <f t="shared" si="146"/>
        <v>5</v>
      </c>
      <c r="K368" t="str">
        <f t="shared" si="143"/>
        <v>WWB C&amp;E.FSS_CHP</v>
      </c>
    </row>
    <row r="369" spans="2:11">
      <c r="B369" t="str">
        <f t="shared" si="138"/>
        <v>SOL_WIN_BAL_WASREN</v>
      </c>
      <c r="C369" t="str">
        <f t="shared" si="139"/>
        <v>WWB C&amp;E</v>
      </c>
      <c r="D369">
        <f t="shared" si="140"/>
        <v>2035</v>
      </c>
      <c r="E369">
        <f t="shared" si="141"/>
        <v>88.471108653580316</v>
      </c>
      <c r="F369">
        <f t="shared" si="142"/>
        <v>5</v>
      </c>
      <c r="H369">
        <f t="shared" si="144"/>
        <v>6</v>
      </c>
      <c r="I369">
        <f t="shared" si="145"/>
        <v>8</v>
      </c>
      <c r="J369">
        <f t="shared" si="146"/>
        <v>5</v>
      </c>
      <c r="K369" t="str">
        <f t="shared" si="143"/>
        <v>WWB C&amp;E.SOL_WIN_BAL_WASREN</v>
      </c>
    </row>
    <row r="370" spans="2:11">
      <c r="B370" t="str">
        <f t="shared" si="138"/>
        <v>FSS_CHP_NEW</v>
      </c>
      <c r="C370" t="str">
        <f t="shared" si="139"/>
        <v>WWB C&amp;E</v>
      </c>
      <c r="D370">
        <f t="shared" si="140"/>
        <v>2035</v>
      </c>
      <c r="E370">
        <f t="shared" si="141"/>
        <v>552.94442908487702</v>
      </c>
      <c r="F370">
        <f t="shared" si="142"/>
        <v>5</v>
      </c>
      <c r="H370">
        <f t="shared" si="144"/>
        <v>7</v>
      </c>
      <c r="I370">
        <f t="shared" si="145"/>
        <v>8</v>
      </c>
      <c r="J370">
        <f t="shared" si="146"/>
        <v>5</v>
      </c>
      <c r="K370" t="str">
        <f t="shared" si="143"/>
        <v>WWB C&amp;E.FSS_CHP_NEW</v>
      </c>
    </row>
    <row r="371" spans="2:11">
      <c r="B371" t="str">
        <f t="shared" si="138"/>
        <v>SOL_WIN_BAL_WASREN_NEW</v>
      </c>
      <c r="C371" t="str">
        <f t="shared" si="139"/>
        <v>WWB C&amp;E</v>
      </c>
      <c r="D371">
        <f t="shared" si="140"/>
        <v>2035</v>
      </c>
      <c r="E371">
        <f t="shared" si="141"/>
        <v>5772.7398396461158</v>
      </c>
      <c r="F371">
        <f t="shared" si="142"/>
        <v>5</v>
      </c>
      <c r="H371">
        <f t="shared" si="144"/>
        <v>8</v>
      </c>
      <c r="I371">
        <f t="shared" si="145"/>
        <v>8</v>
      </c>
      <c r="J371">
        <f t="shared" si="146"/>
        <v>5</v>
      </c>
      <c r="K371" t="str">
        <f t="shared" si="143"/>
        <v>WWB C&amp;E.SOL_WIN_BAL_WASREN_NEW</v>
      </c>
    </row>
    <row r="372" spans="2:11">
      <c r="B372" t="str">
        <f t="shared" si="138"/>
        <v>FSS_ELC_NEW</v>
      </c>
      <c r="C372" t="str">
        <f t="shared" si="139"/>
        <v>WWB C&amp;E</v>
      </c>
      <c r="D372">
        <f t="shared" si="140"/>
        <v>2035</v>
      </c>
      <c r="E372">
        <f t="shared" si="141"/>
        <v>3273.4310201824715</v>
      </c>
      <c r="F372">
        <f t="shared" si="142"/>
        <v>5</v>
      </c>
      <c r="H372">
        <f t="shared" si="144"/>
        <v>9</v>
      </c>
      <c r="I372">
        <f t="shared" si="145"/>
        <v>8</v>
      </c>
      <c r="J372">
        <f t="shared" si="146"/>
        <v>5</v>
      </c>
      <c r="K372" t="str">
        <f t="shared" si="143"/>
        <v>WWB C&amp;E.FSS_ELC_NEW</v>
      </c>
    </row>
    <row r="373" spans="2:11">
      <c r="B373" t="str">
        <f t="shared" si="138"/>
        <v>HYD_TOT</v>
      </c>
      <c r="C373" t="str">
        <f t="shared" si="139"/>
        <v>POM C</v>
      </c>
      <c r="D373">
        <f t="shared" si="140"/>
        <v>2040</v>
      </c>
      <c r="E373">
        <f t="shared" si="141"/>
        <v>13709.231619679382</v>
      </c>
      <c r="F373">
        <f t="shared" si="142"/>
        <v>6</v>
      </c>
      <c r="H373">
        <f t="shared" si="144"/>
        <v>1</v>
      </c>
      <c r="I373">
        <f t="shared" si="145"/>
        <v>1</v>
      </c>
      <c r="J373">
        <f t="shared" si="146"/>
        <v>6</v>
      </c>
      <c r="K373" t="str">
        <f t="shared" si="143"/>
        <v>POM C.HYD_TOT</v>
      </c>
    </row>
    <row r="374" spans="2:11">
      <c r="B374" t="str">
        <f t="shared" si="138"/>
        <v>HYD_TOT_NEW</v>
      </c>
      <c r="C374" t="str">
        <f t="shared" si="139"/>
        <v>POM C</v>
      </c>
      <c r="D374">
        <f t="shared" si="140"/>
        <v>2040</v>
      </c>
      <c r="E374">
        <f t="shared" si="141"/>
        <v>3847.4295190713101</v>
      </c>
      <c r="F374">
        <f t="shared" si="142"/>
        <v>6</v>
      </c>
      <c r="H374">
        <f t="shared" si="144"/>
        <v>2</v>
      </c>
      <c r="I374">
        <f t="shared" si="145"/>
        <v>1</v>
      </c>
      <c r="J374">
        <f t="shared" si="146"/>
        <v>6</v>
      </c>
      <c r="K374" t="str">
        <f t="shared" si="143"/>
        <v>POM C.HYD_TOT_NEW</v>
      </c>
    </row>
    <row r="375" spans="2:11">
      <c r="B375" t="str">
        <f t="shared" si="138"/>
        <v>NUC_ELC</v>
      </c>
      <c r="C375" t="str">
        <f t="shared" si="139"/>
        <v>POM C</v>
      </c>
      <c r="D375">
        <f t="shared" si="140"/>
        <v>2040</v>
      </c>
      <c r="E375">
        <f t="shared" si="141"/>
        <v>0</v>
      </c>
      <c r="F375">
        <f t="shared" si="142"/>
        <v>6</v>
      </c>
      <c r="H375">
        <f t="shared" si="144"/>
        <v>3</v>
      </c>
      <c r="I375">
        <f t="shared" si="145"/>
        <v>1</v>
      </c>
      <c r="J375">
        <f t="shared" si="146"/>
        <v>6</v>
      </c>
      <c r="K375" t="str">
        <f t="shared" si="143"/>
        <v>POM C.NUC_ELC</v>
      </c>
    </row>
    <row r="376" spans="2:11">
      <c r="B376" t="str">
        <f t="shared" si="138"/>
        <v>FSS_ELC</v>
      </c>
      <c r="C376" t="str">
        <f t="shared" si="139"/>
        <v>POM C</v>
      </c>
      <c r="D376">
        <f t="shared" si="140"/>
        <v>2040</v>
      </c>
      <c r="E376">
        <f t="shared" si="141"/>
        <v>0</v>
      </c>
      <c r="F376">
        <f t="shared" si="142"/>
        <v>6</v>
      </c>
      <c r="H376">
        <f t="shared" si="144"/>
        <v>4</v>
      </c>
      <c r="I376">
        <f t="shared" si="145"/>
        <v>1</v>
      </c>
      <c r="J376">
        <f t="shared" si="146"/>
        <v>6</v>
      </c>
      <c r="K376" t="str">
        <f t="shared" si="143"/>
        <v>POM C.FSS_ELC</v>
      </c>
    </row>
    <row r="377" spans="2:11">
      <c r="B377" t="str">
        <f t="shared" si="138"/>
        <v>FSS_CHP</v>
      </c>
      <c r="C377" t="str">
        <f t="shared" si="139"/>
        <v>POM C</v>
      </c>
      <c r="D377">
        <f t="shared" si="140"/>
        <v>2040</v>
      </c>
      <c r="E377">
        <f t="shared" si="141"/>
        <v>0</v>
      </c>
      <c r="F377">
        <f t="shared" si="142"/>
        <v>6</v>
      </c>
      <c r="H377">
        <f t="shared" si="144"/>
        <v>5</v>
      </c>
      <c r="I377">
        <f t="shared" si="145"/>
        <v>1</v>
      </c>
      <c r="J377">
        <f t="shared" si="146"/>
        <v>6</v>
      </c>
      <c r="K377" t="str">
        <f t="shared" si="143"/>
        <v>POM C.FSS_CHP</v>
      </c>
    </row>
    <row r="378" spans="2:11">
      <c r="B378" t="str">
        <f t="shared" si="138"/>
        <v>SOL_WIN_BAL_WASREN</v>
      </c>
      <c r="C378" t="str">
        <f t="shared" si="139"/>
        <v>POM C</v>
      </c>
      <c r="D378">
        <f t="shared" si="140"/>
        <v>2040</v>
      </c>
      <c r="E378">
        <f t="shared" si="141"/>
        <v>0</v>
      </c>
      <c r="F378">
        <f t="shared" si="142"/>
        <v>6</v>
      </c>
      <c r="H378">
        <f t="shared" si="144"/>
        <v>6</v>
      </c>
      <c r="I378">
        <f t="shared" si="145"/>
        <v>1</v>
      </c>
      <c r="J378">
        <f t="shared" si="146"/>
        <v>6</v>
      </c>
      <c r="K378" t="str">
        <f t="shared" si="143"/>
        <v>POM C.SOL_WIN_BAL_WASREN</v>
      </c>
    </row>
    <row r="379" spans="2:11">
      <c r="B379" t="str">
        <f t="shared" si="138"/>
        <v>FSS_CHP_NEW</v>
      </c>
      <c r="C379" t="str">
        <f t="shared" si="139"/>
        <v>POM C</v>
      </c>
      <c r="D379">
        <f t="shared" si="140"/>
        <v>2040</v>
      </c>
      <c r="E379">
        <f t="shared" si="141"/>
        <v>729.68490878938644</v>
      </c>
      <c r="F379">
        <f t="shared" si="142"/>
        <v>6</v>
      </c>
      <c r="H379">
        <f t="shared" si="144"/>
        <v>7</v>
      </c>
      <c r="I379">
        <f t="shared" si="145"/>
        <v>1</v>
      </c>
      <c r="J379">
        <f t="shared" si="146"/>
        <v>6</v>
      </c>
      <c r="K379" t="str">
        <f t="shared" si="143"/>
        <v>POM C.FSS_CHP_NEW</v>
      </c>
    </row>
    <row r="380" spans="2:11">
      <c r="B380" t="str">
        <f t="shared" si="138"/>
        <v>SOL_WIN_BAL_WASREN_NEW</v>
      </c>
      <c r="C380" t="str">
        <f t="shared" si="139"/>
        <v>POM C</v>
      </c>
      <c r="D380">
        <f t="shared" si="140"/>
        <v>2040</v>
      </c>
      <c r="E380">
        <f t="shared" si="141"/>
        <v>3825.1796572692097</v>
      </c>
      <c r="F380">
        <f t="shared" si="142"/>
        <v>6</v>
      </c>
      <c r="H380">
        <f t="shared" si="144"/>
        <v>8</v>
      </c>
      <c r="I380">
        <f t="shared" si="145"/>
        <v>1</v>
      </c>
      <c r="J380">
        <f t="shared" si="146"/>
        <v>6</v>
      </c>
      <c r="K380" t="str">
        <f t="shared" si="143"/>
        <v>POM C.SOL_WIN_BAL_WASREN_NEW</v>
      </c>
    </row>
    <row r="381" spans="2:11">
      <c r="B381" t="str">
        <f t="shared" si="138"/>
        <v>FSS_ELC_NEW</v>
      </c>
      <c r="C381" t="str">
        <f t="shared" si="139"/>
        <v>POM C</v>
      </c>
      <c r="D381">
        <f t="shared" si="140"/>
        <v>2040</v>
      </c>
      <c r="E381">
        <f t="shared" si="141"/>
        <v>3272.6644555002763</v>
      </c>
      <c r="F381">
        <f t="shared" si="142"/>
        <v>6</v>
      </c>
      <c r="H381">
        <f t="shared" si="144"/>
        <v>9</v>
      </c>
      <c r="I381">
        <f t="shared" si="145"/>
        <v>1</v>
      </c>
      <c r="J381">
        <f t="shared" si="146"/>
        <v>6</v>
      </c>
      <c r="K381" t="str">
        <f t="shared" si="143"/>
        <v>POM C.FSS_ELC_NEW</v>
      </c>
    </row>
    <row r="382" spans="2:11">
      <c r="B382" t="str">
        <f t="shared" si="138"/>
        <v>HYD_TOT</v>
      </c>
      <c r="C382" t="str">
        <f t="shared" si="139"/>
        <v>POM C&amp;E</v>
      </c>
      <c r="D382">
        <f t="shared" si="140"/>
        <v>2040</v>
      </c>
      <c r="E382">
        <f t="shared" si="141"/>
        <v>13731.343283582089</v>
      </c>
      <c r="F382">
        <f t="shared" si="142"/>
        <v>6</v>
      </c>
      <c r="H382">
        <f t="shared" si="144"/>
        <v>1</v>
      </c>
      <c r="I382">
        <f t="shared" si="145"/>
        <v>2</v>
      </c>
      <c r="J382">
        <f t="shared" si="146"/>
        <v>6</v>
      </c>
      <c r="K382" t="str">
        <f t="shared" si="143"/>
        <v>POM C&amp;E.HYD_TOT</v>
      </c>
    </row>
    <row r="383" spans="2:11">
      <c r="B383" t="str">
        <f t="shared" si="138"/>
        <v>HYD_TOT_NEW</v>
      </c>
      <c r="C383" t="str">
        <f t="shared" si="139"/>
        <v>POM C&amp;E</v>
      </c>
      <c r="D383">
        <f t="shared" si="140"/>
        <v>2040</v>
      </c>
      <c r="E383">
        <f t="shared" si="141"/>
        <v>4289.6627971254838</v>
      </c>
      <c r="F383">
        <f t="shared" si="142"/>
        <v>6</v>
      </c>
      <c r="H383">
        <f t="shared" si="144"/>
        <v>2</v>
      </c>
      <c r="I383">
        <f t="shared" si="145"/>
        <v>2</v>
      </c>
      <c r="J383">
        <f t="shared" si="146"/>
        <v>6</v>
      </c>
      <c r="K383" t="str">
        <f t="shared" si="143"/>
        <v>POM C&amp;E.HYD_TOT_NEW</v>
      </c>
    </row>
    <row r="384" spans="2:11">
      <c r="B384" t="str">
        <f t="shared" si="138"/>
        <v>NUC_ELC</v>
      </c>
      <c r="C384" t="str">
        <f t="shared" si="139"/>
        <v>POM C&amp;E</v>
      </c>
      <c r="D384">
        <f t="shared" si="140"/>
        <v>2040</v>
      </c>
      <c r="E384">
        <f t="shared" si="141"/>
        <v>0</v>
      </c>
      <c r="F384">
        <f t="shared" si="142"/>
        <v>6</v>
      </c>
      <c r="H384">
        <f t="shared" si="144"/>
        <v>3</v>
      </c>
      <c r="I384">
        <f t="shared" si="145"/>
        <v>2</v>
      </c>
      <c r="J384">
        <f t="shared" si="146"/>
        <v>6</v>
      </c>
      <c r="K384" t="str">
        <f t="shared" si="143"/>
        <v>POM C&amp;E.NUC_ELC</v>
      </c>
    </row>
    <row r="385" spans="2:11">
      <c r="B385" t="str">
        <f t="shared" si="138"/>
        <v>FSS_ELC</v>
      </c>
      <c r="C385" t="str">
        <f t="shared" si="139"/>
        <v>POM C&amp;E</v>
      </c>
      <c r="D385">
        <f t="shared" si="140"/>
        <v>2040</v>
      </c>
      <c r="E385">
        <f t="shared" si="141"/>
        <v>0</v>
      </c>
      <c r="F385">
        <f t="shared" si="142"/>
        <v>6</v>
      </c>
      <c r="H385">
        <f t="shared" si="144"/>
        <v>4</v>
      </c>
      <c r="I385">
        <f t="shared" si="145"/>
        <v>2</v>
      </c>
      <c r="J385">
        <f t="shared" si="146"/>
        <v>6</v>
      </c>
      <c r="K385" t="str">
        <f t="shared" si="143"/>
        <v>POM C&amp;E.FSS_ELC</v>
      </c>
    </row>
    <row r="386" spans="2:11">
      <c r="B386" t="str">
        <f t="shared" si="138"/>
        <v>FSS_CHP</v>
      </c>
      <c r="C386" t="str">
        <f t="shared" si="139"/>
        <v>POM C&amp;E</v>
      </c>
      <c r="D386">
        <f t="shared" si="140"/>
        <v>2040</v>
      </c>
      <c r="E386">
        <f t="shared" si="141"/>
        <v>0</v>
      </c>
      <c r="F386">
        <f t="shared" si="142"/>
        <v>6</v>
      </c>
      <c r="H386">
        <f t="shared" si="144"/>
        <v>5</v>
      </c>
      <c r="I386">
        <f t="shared" si="145"/>
        <v>2</v>
      </c>
      <c r="J386">
        <f t="shared" si="146"/>
        <v>6</v>
      </c>
      <c r="K386" t="str">
        <f t="shared" si="143"/>
        <v>POM C&amp;E.FSS_CHP</v>
      </c>
    </row>
    <row r="387" spans="2:11">
      <c r="B387" t="str">
        <f t="shared" si="138"/>
        <v>SOL_WIN_BAL_WASREN</v>
      </c>
      <c r="C387" t="str">
        <f t="shared" si="139"/>
        <v>POM C&amp;E</v>
      </c>
      <c r="D387">
        <f t="shared" si="140"/>
        <v>2040</v>
      </c>
      <c r="E387">
        <f t="shared" si="141"/>
        <v>0</v>
      </c>
      <c r="F387">
        <f t="shared" si="142"/>
        <v>6</v>
      </c>
      <c r="H387">
        <f t="shared" si="144"/>
        <v>6</v>
      </c>
      <c r="I387">
        <f t="shared" si="145"/>
        <v>2</v>
      </c>
      <c r="J387">
        <f t="shared" si="146"/>
        <v>6</v>
      </c>
      <c r="K387" t="str">
        <f t="shared" si="143"/>
        <v>POM C&amp;E.SOL_WIN_BAL_WASREN</v>
      </c>
    </row>
    <row r="388" spans="2:11">
      <c r="B388" t="str">
        <f t="shared" si="138"/>
        <v>FSS_CHP_NEW</v>
      </c>
      <c r="C388" t="str">
        <f t="shared" si="139"/>
        <v>POM C&amp;E</v>
      </c>
      <c r="D388">
        <f t="shared" si="140"/>
        <v>2040</v>
      </c>
      <c r="E388">
        <f t="shared" si="141"/>
        <v>707.29684908789386</v>
      </c>
      <c r="F388">
        <f t="shared" si="142"/>
        <v>6</v>
      </c>
      <c r="H388">
        <f t="shared" si="144"/>
        <v>7</v>
      </c>
      <c r="I388">
        <f t="shared" si="145"/>
        <v>2</v>
      </c>
      <c r="J388">
        <f t="shared" si="146"/>
        <v>6</v>
      </c>
      <c r="K388" t="str">
        <f t="shared" si="143"/>
        <v>POM C&amp;E.FSS_CHP_NEW</v>
      </c>
    </row>
    <row r="389" spans="2:11">
      <c r="B389" t="str">
        <f t="shared" si="138"/>
        <v>SOL_WIN_BAL_WASREN_NEW</v>
      </c>
      <c r="C389" t="str">
        <f t="shared" si="139"/>
        <v>POM C&amp;E</v>
      </c>
      <c r="D389">
        <f t="shared" si="140"/>
        <v>2040</v>
      </c>
      <c r="E389">
        <f t="shared" si="141"/>
        <v>8137.3687119955775</v>
      </c>
      <c r="F389">
        <f t="shared" si="142"/>
        <v>6</v>
      </c>
      <c r="H389">
        <f t="shared" si="144"/>
        <v>8</v>
      </c>
      <c r="I389">
        <f t="shared" si="145"/>
        <v>2</v>
      </c>
      <c r="J389">
        <f t="shared" si="146"/>
        <v>6</v>
      </c>
      <c r="K389" t="str">
        <f t="shared" si="143"/>
        <v>POM C&amp;E.SOL_WIN_BAL_WASREN_NEW</v>
      </c>
    </row>
    <row r="390" spans="2:11">
      <c r="B390" t="str">
        <f t="shared" si="138"/>
        <v>FSS_ELC_NEW</v>
      </c>
      <c r="C390" t="str">
        <f t="shared" si="139"/>
        <v>POM C&amp;E</v>
      </c>
      <c r="D390">
        <f t="shared" si="140"/>
        <v>2040</v>
      </c>
      <c r="E390">
        <f t="shared" si="141"/>
        <v>2785.9314538419017</v>
      </c>
      <c r="F390">
        <f t="shared" si="142"/>
        <v>6</v>
      </c>
      <c r="H390">
        <f t="shared" si="144"/>
        <v>9</v>
      </c>
      <c r="I390">
        <f t="shared" si="145"/>
        <v>2</v>
      </c>
      <c r="J390">
        <f t="shared" si="146"/>
        <v>6</v>
      </c>
      <c r="K390" t="str">
        <f t="shared" si="143"/>
        <v>POM C&amp;E.FSS_ELC_NEW</v>
      </c>
    </row>
    <row r="391" spans="2:11">
      <c r="B391" t="str">
        <f t="shared" si="138"/>
        <v>HYD_TOT</v>
      </c>
      <c r="C391" t="str">
        <f t="shared" si="139"/>
        <v>POM E</v>
      </c>
      <c r="D391">
        <f t="shared" si="140"/>
        <v>2040</v>
      </c>
      <c r="E391">
        <f t="shared" si="141"/>
        <v>13713.02184130495</v>
      </c>
      <c r="F391">
        <f t="shared" si="142"/>
        <v>6</v>
      </c>
      <c r="H391">
        <f t="shared" si="144"/>
        <v>1</v>
      </c>
      <c r="I391">
        <f t="shared" si="145"/>
        <v>3</v>
      </c>
      <c r="J391">
        <f t="shared" si="146"/>
        <v>6</v>
      </c>
      <c r="K391" t="str">
        <f t="shared" si="143"/>
        <v>POM E.HYD_TOT</v>
      </c>
    </row>
    <row r="392" spans="2:11">
      <c r="B392" t="str">
        <f t="shared" si="138"/>
        <v>HYD_TOT_NEW</v>
      </c>
      <c r="C392" t="str">
        <f t="shared" si="139"/>
        <v>POM E</v>
      </c>
      <c r="D392">
        <f t="shared" si="140"/>
        <v>2040</v>
      </c>
      <c r="E392">
        <f t="shared" si="141"/>
        <v>4312.9665468620406</v>
      </c>
      <c r="F392">
        <f t="shared" si="142"/>
        <v>6</v>
      </c>
      <c r="H392">
        <f t="shared" si="144"/>
        <v>2</v>
      </c>
      <c r="I392">
        <f t="shared" si="145"/>
        <v>3</v>
      </c>
      <c r="J392">
        <f t="shared" si="146"/>
        <v>6</v>
      </c>
      <c r="K392" t="str">
        <f t="shared" si="143"/>
        <v>POM E.HYD_TOT_NEW</v>
      </c>
    </row>
    <row r="393" spans="2:11">
      <c r="B393" t="str">
        <f t="shared" si="138"/>
        <v>NUC_ELC</v>
      </c>
      <c r="C393" t="str">
        <f t="shared" si="139"/>
        <v>POM E</v>
      </c>
      <c r="D393">
        <f t="shared" si="140"/>
        <v>2040</v>
      </c>
      <c r="E393">
        <f t="shared" si="141"/>
        <v>0</v>
      </c>
      <c r="F393">
        <f t="shared" si="142"/>
        <v>6</v>
      </c>
      <c r="H393">
        <f t="shared" si="144"/>
        <v>3</v>
      </c>
      <c r="I393">
        <f t="shared" si="145"/>
        <v>3</v>
      </c>
      <c r="J393">
        <f t="shared" si="146"/>
        <v>6</v>
      </c>
      <c r="K393" t="str">
        <f t="shared" si="143"/>
        <v>POM E.NUC_ELC</v>
      </c>
    </row>
    <row r="394" spans="2:11">
      <c r="B394" t="str">
        <f t="shared" si="138"/>
        <v>FSS_ELC</v>
      </c>
      <c r="C394" t="str">
        <f t="shared" si="139"/>
        <v>POM E</v>
      </c>
      <c r="D394">
        <f t="shared" si="140"/>
        <v>2040</v>
      </c>
      <c r="E394">
        <f t="shared" si="141"/>
        <v>0</v>
      </c>
      <c r="F394">
        <f t="shared" si="142"/>
        <v>6</v>
      </c>
      <c r="H394">
        <f t="shared" si="144"/>
        <v>4</v>
      </c>
      <c r="I394">
        <f t="shared" si="145"/>
        <v>3</v>
      </c>
      <c r="J394">
        <f t="shared" si="146"/>
        <v>6</v>
      </c>
      <c r="K394" t="str">
        <f t="shared" si="143"/>
        <v>POM E.FSS_ELC</v>
      </c>
    </row>
    <row r="395" spans="2:11">
      <c r="B395" t="str">
        <f t="shared" si="138"/>
        <v>FSS_CHP</v>
      </c>
      <c r="C395" t="str">
        <f t="shared" si="139"/>
        <v>POM E</v>
      </c>
      <c r="D395">
        <f t="shared" si="140"/>
        <v>2040</v>
      </c>
      <c r="E395">
        <f t="shared" si="141"/>
        <v>0</v>
      </c>
      <c r="F395">
        <f t="shared" si="142"/>
        <v>6</v>
      </c>
      <c r="H395">
        <f t="shared" si="144"/>
        <v>5</v>
      </c>
      <c r="I395">
        <f t="shared" si="145"/>
        <v>3</v>
      </c>
      <c r="J395">
        <f t="shared" si="146"/>
        <v>6</v>
      </c>
      <c r="K395" t="str">
        <f t="shared" si="143"/>
        <v>POM E.FSS_CHP</v>
      </c>
    </row>
    <row r="396" spans="2:11">
      <c r="B396" t="str">
        <f t="shared" si="138"/>
        <v>SOL_WIN_BAL_WASREN</v>
      </c>
      <c r="C396" t="str">
        <f t="shared" si="139"/>
        <v>POM E</v>
      </c>
      <c r="D396">
        <f t="shared" si="140"/>
        <v>2040</v>
      </c>
      <c r="E396">
        <f t="shared" si="141"/>
        <v>88.471108653580316</v>
      </c>
      <c r="F396">
        <f t="shared" si="142"/>
        <v>6</v>
      </c>
      <c r="H396">
        <f t="shared" si="144"/>
        <v>6</v>
      </c>
      <c r="I396">
        <f t="shared" si="145"/>
        <v>3</v>
      </c>
      <c r="J396">
        <f t="shared" si="146"/>
        <v>6</v>
      </c>
      <c r="K396" t="str">
        <f t="shared" si="143"/>
        <v>POM E.SOL_WIN_BAL_WASREN</v>
      </c>
    </row>
    <row r="397" spans="2:11">
      <c r="B397" t="str">
        <f t="shared" ref="B397:B460" si="147">INDEX(H$3:H$11,H397)</f>
        <v>FSS_CHP_NEW</v>
      </c>
      <c r="C397" t="str">
        <f t="shared" ref="C397:C460" si="148">INDEX(I$3:I$11,I397)</f>
        <v>POM E</v>
      </c>
      <c r="D397">
        <f t="shared" ref="D397:D460" si="149">INDEX(J$3:J$11,J397)</f>
        <v>2040</v>
      </c>
      <c r="E397">
        <f t="shared" ref="E397:E460" si="150">INDEX($U$28:$AB$156,MATCH(K397,$Q$28:$Q$156,0),MATCH(D397,$U$26:$AB$26,0))</f>
        <v>619.43599668233344</v>
      </c>
      <c r="F397">
        <f t="shared" ref="F397:F460" si="151">MATCH(D397,$U$26:$AB$26,0)</f>
        <v>6</v>
      </c>
      <c r="H397">
        <f t="shared" si="144"/>
        <v>7</v>
      </c>
      <c r="I397">
        <f t="shared" si="145"/>
        <v>3</v>
      </c>
      <c r="J397">
        <f t="shared" si="146"/>
        <v>6</v>
      </c>
      <c r="K397" t="str">
        <f t="shared" ref="K397:K460" si="152">C397&amp;"."&amp;B397</f>
        <v>POM E.FSS_CHP_NEW</v>
      </c>
    </row>
    <row r="398" spans="2:11">
      <c r="B398" t="str">
        <f t="shared" si="147"/>
        <v>SOL_WIN_BAL_WASREN_NEW</v>
      </c>
      <c r="C398" t="str">
        <f t="shared" si="148"/>
        <v>POM E</v>
      </c>
      <c r="D398">
        <f t="shared" si="149"/>
        <v>2040</v>
      </c>
      <c r="E398">
        <f t="shared" si="150"/>
        <v>8139.2037600221174</v>
      </c>
      <c r="F398">
        <f t="shared" si="151"/>
        <v>6</v>
      </c>
      <c r="H398">
        <f t="shared" ref="H398:H461" si="153">IF(H397=COUNTA($H$3:$H$11),1,H397+1)</f>
        <v>8</v>
      </c>
      <c r="I398">
        <f t="shared" ref="I398:I461" si="154">IF(H398=1,IF(I397=COUNTA($I$3:$I$11),1,I397+1),I397)</f>
        <v>3</v>
      </c>
      <c r="J398">
        <f t="shared" ref="J398:J461" si="155">IF(AND(I398=1,I397&gt;1),IF(J397=$J$2,1,J397+1),J397)</f>
        <v>6</v>
      </c>
      <c r="K398" t="str">
        <f t="shared" si="152"/>
        <v>POM E.SOL_WIN_BAL_WASREN_NEW</v>
      </c>
    </row>
    <row r="399" spans="2:11">
      <c r="B399" t="str">
        <f t="shared" si="147"/>
        <v>FSS_ELC_NEW</v>
      </c>
      <c r="C399" t="str">
        <f t="shared" si="148"/>
        <v>POM E</v>
      </c>
      <c r="D399">
        <f t="shared" si="149"/>
        <v>2040</v>
      </c>
      <c r="E399">
        <f t="shared" si="150"/>
        <v>0</v>
      </c>
      <c r="F399">
        <f t="shared" si="151"/>
        <v>6</v>
      </c>
      <c r="H399">
        <f t="shared" si="153"/>
        <v>9</v>
      </c>
      <c r="I399">
        <f t="shared" si="154"/>
        <v>3</v>
      </c>
      <c r="J399">
        <f t="shared" si="155"/>
        <v>6</v>
      </c>
      <c r="K399" t="str">
        <f t="shared" si="152"/>
        <v>POM E.FSS_ELC_NEW</v>
      </c>
    </row>
    <row r="400" spans="2:11">
      <c r="B400" t="str">
        <f t="shared" si="147"/>
        <v>HYD_TOT</v>
      </c>
      <c r="C400" t="str">
        <f t="shared" si="148"/>
        <v>NEP C</v>
      </c>
      <c r="D400">
        <f t="shared" si="149"/>
        <v>2040</v>
      </c>
      <c r="E400">
        <f t="shared" si="150"/>
        <v>13735.139618468344</v>
      </c>
      <c r="F400">
        <f t="shared" si="151"/>
        <v>6</v>
      </c>
      <c r="H400">
        <f t="shared" si="153"/>
        <v>1</v>
      </c>
      <c r="I400">
        <f t="shared" si="154"/>
        <v>4</v>
      </c>
      <c r="J400">
        <f t="shared" si="155"/>
        <v>6</v>
      </c>
      <c r="K400" t="str">
        <f t="shared" si="152"/>
        <v>NEP C.HYD_TOT</v>
      </c>
    </row>
    <row r="401" spans="2:11">
      <c r="B401" t="str">
        <f t="shared" si="147"/>
        <v>HYD_TOT_NEW</v>
      </c>
      <c r="C401" t="str">
        <f t="shared" si="148"/>
        <v>NEP C</v>
      </c>
      <c r="D401">
        <f t="shared" si="149"/>
        <v>2040</v>
      </c>
      <c r="E401">
        <f t="shared" si="150"/>
        <v>3848.4932264307436</v>
      </c>
      <c r="F401">
        <f t="shared" si="151"/>
        <v>6</v>
      </c>
      <c r="H401">
        <f t="shared" si="153"/>
        <v>2</v>
      </c>
      <c r="I401">
        <f t="shared" si="154"/>
        <v>4</v>
      </c>
      <c r="J401">
        <f t="shared" si="155"/>
        <v>6</v>
      </c>
      <c r="K401" t="str">
        <f t="shared" si="152"/>
        <v>NEP C.HYD_TOT_NEW</v>
      </c>
    </row>
    <row r="402" spans="2:11">
      <c r="B402" t="str">
        <f t="shared" si="147"/>
        <v>NUC_ELC</v>
      </c>
      <c r="C402" t="str">
        <f t="shared" si="148"/>
        <v>NEP C</v>
      </c>
      <c r="D402">
        <f t="shared" si="149"/>
        <v>2040</v>
      </c>
      <c r="E402">
        <f t="shared" si="150"/>
        <v>0</v>
      </c>
      <c r="F402">
        <f t="shared" si="151"/>
        <v>6</v>
      </c>
      <c r="H402">
        <f t="shared" si="153"/>
        <v>3</v>
      </c>
      <c r="I402">
        <f t="shared" si="154"/>
        <v>4</v>
      </c>
      <c r="J402">
        <f t="shared" si="155"/>
        <v>6</v>
      </c>
      <c r="K402" t="str">
        <f t="shared" si="152"/>
        <v>NEP C.NUC_ELC</v>
      </c>
    </row>
    <row r="403" spans="2:11">
      <c r="B403" t="str">
        <f t="shared" si="147"/>
        <v>FSS_ELC</v>
      </c>
      <c r="C403" t="str">
        <f t="shared" si="148"/>
        <v>NEP C</v>
      </c>
      <c r="D403">
        <f t="shared" si="149"/>
        <v>2040</v>
      </c>
      <c r="E403">
        <f t="shared" si="150"/>
        <v>0</v>
      </c>
      <c r="F403">
        <f t="shared" si="151"/>
        <v>6</v>
      </c>
      <c r="H403">
        <f t="shared" si="153"/>
        <v>4</v>
      </c>
      <c r="I403">
        <f t="shared" si="154"/>
        <v>4</v>
      </c>
      <c r="J403">
        <f t="shared" si="155"/>
        <v>6</v>
      </c>
      <c r="K403" t="str">
        <f t="shared" si="152"/>
        <v>NEP C.FSS_ELC</v>
      </c>
    </row>
    <row r="404" spans="2:11">
      <c r="B404" t="str">
        <f t="shared" si="147"/>
        <v>FSS_CHP</v>
      </c>
      <c r="C404" t="str">
        <f t="shared" si="148"/>
        <v>NEP C</v>
      </c>
      <c r="D404">
        <f t="shared" si="149"/>
        <v>2040</v>
      </c>
      <c r="E404">
        <f t="shared" si="150"/>
        <v>0</v>
      </c>
      <c r="F404">
        <f t="shared" si="151"/>
        <v>6</v>
      </c>
      <c r="H404">
        <f t="shared" si="153"/>
        <v>5</v>
      </c>
      <c r="I404">
        <f t="shared" si="154"/>
        <v>4</v>
      </c>
      <c r="J404">
        <f t="shared" si="155"/>
        <v>6</v>
      </c>
      <c r="K404" t="str">
        <f t="shared" si="152"/>
        <v>NEP C.FSS_CHP</v>
      </c>
    </row>
    <row r="405" spans="2:11">
      <c r="B405" t="str">
        <f t="shared" si="147"/>
        <v>SOL_WIN_BAL_WASREN</v>
      </c>
      <c r="C405" t="str">
        <f t="shared" si="148"/>
        <v>NEP C</v>
      </c>
      <c r="D405">
        <f t="shared" si="149"/>
        <v>2040</v>
      </c>
      <c r="E405">
        <f t="shared" si="150"/>
        <v>88.471108653580316</v>
      </c>
      <c r="F405">
        <f t="shared" si="151"/>
        <v>6</v>
      </c>
      <c r="H405">
        <f t="shared" si="153"/>
        <v>6</v>
      </c>
      <c r="I405">
        <f t="shared" si="154"/>
        <v>4</v>
      </c>
      <c r="J405">
        <f t="shared" si="155"/>
        <v>6</v>
      </c>
      <c r="K405" t="str">
        <f t="shared" si="152"/>
        <v>NEP C.SOL_WIN_BAL_WASREN</v>
      </c>
    </row>
    <row r="406" spans="2:11">
      <c r="B406" t="str">
        <f t="shared" si="147"/>
        <v>FSS_CHP_NEW</v>
      </c>
      <c r="C406" t="str">
        <f t="shared" si="148"/>
        <v>NEP C</v>
      </c>
      <c r="D406">
        <f t="shared" si="149"/>
        <v>2040</v>
      </c>
      <c r="E406">
        <f t="shared" si="150"/>
        <v>641.55377384572853</v>
      </c>
      <c r="F406">
        <f t="shared" si="151"/>
        <v>6</v>
      </c>
      <c r="H406">
        <f t="shared" si="153"/>
        <v>7</v>
      </c>
      <c r="I406">
        <f t="shared" si="154"/>
        <v>4</v>
      </c>
      <c r="J406">
        <f t="shared" si="155"/>
        <v>6</v>
      </c>
      <c r="K406" t="str">
        <f t="shared" si="152"/>
        <v>NEP C.FSS_CHP_NEW</v>
      </c>
    </row>
    <row r="407" spans="2:11">
      <c r="B407" t="str">
        <f t="shared" si="147"/>
        <v>SOL_WIN_BAL_WASREN_NEW</v>
      </c>
      <c r="C407" t="str">
        <f t="shared" si="148"/>
        <v>NEP C</v>
      </c>
      <c r="D407">
        <f t="shared" si="149"/>
        <v>2040</v>
      </c>
      <c r="E407">
        <f t="shared" si="150"/>
        <v>3826.2372131600773</v>
      </c>
      <c r="F407">
        <f t="shared" si="151"/>
        <v>6</v>
      </c>
      <c r="H407">
        <f t="shared" si="153"/>
        <v>8</v>
      </c>
      <c r="I407">
        <f t="shared" si="154"/>
        <v>4</v>
      </c>
      <c r="J407">
        <f t="shared" si="155"/>
        <v>6</v>
      </c>
      <c r="K407" t="str">
        <f t="shared" si="152"/>
        <v>NEP C.SOL_WIN_BAL_WASREN_NEW</v>
      </c>
    </row>
    <row r="408" spans="2:11">
      <c r="B408" t="str">
        <f t="shared" si="147"/>
        <v>FSS_ELC_NEW</v>
      </c>
      <c r="C408" t="str">
        <f t="shared" si="148"/>
        <v>NEP C</v>
      </c>
      <c r="D408">
        <f t="shared" si="149"/>
        <v>2040</v>
      </c>
      <c r="E408">
        <f t="shared" si="150"/>
        <v>2720.4865910975946</v>
      </c>
      <c r="F408">
        <f t="shared" si="151"/>
        <v>6</v>
      </c>
      <c r="H408">
        <f t="shared" si="153"/>
        <v>9</v>
      </c>
      <c r="I408">
        <f t="shared" si="154"/>
        <v>4</v>
      </c>
      <c r="J408">
        <f t="shared" si="155"/>
        <v>6</v>
      </c>
      <c r="K408" t="str">
        <f t="shared" si="152"/>
        <v>NEP C.FSS_ELC_NEW</v>
      </c>
    </row>
    <row r="409" spans="2:11">
      <c r="B409" t="str">
        <f t="shared" si="147"/>
        <v>HYD_TOT</v>
      </c>
      <c r="C409" t="str">
        <f t="shared" si="148"/>
        <v>NEP C&amp;E</v>
      </c>
      <c r="D409">
        <f t="shared" si="149"/>
        <v>2040</v>
      </c>
      <c r="E409">
        <f t="shared" si="150"/>
        <v>13735.139618468344</v>
      </c>
      <c r="F409">
        <f t="shared" si="151"/>
        <v>6</v>
      </c>
      <c r="H409">
        <f t="shared" si="153"/>
        <v>1</v>
      </c>
      <c r="I409">
        <f t="shared" si="154"/>
        <v>5</v>
      </c>
      <c r="J409">
        <f t="shared" si="155"/>
        <v>6</v>
      </c>
      <c r="K409" t="str">
        <f t="shared" si="152"/>
        <v>NEP C&amp;E.HYD_TOT</v>
      </c>
    </row>
    <row r="410" spans="2:11">
      <c r="B410" t="str">
        <f t="shared" si="147"/>
        <v>HYD_TOT_NEW</v>
      </c>
      <c r="C410" t="str">
        <f t="shared" si="148"/>
        <v>NEP C&amp;E</v>
      </c>
      <c r="D410">
        <f t="shared" si="149"/>
        <v>2040</v>
      </c>
      <c r="E410">
        <f t="shared" si="150"/>
        <v>4312.9665468620406</v>
      </c>
      <c r="F410">
        <f t="shared" si="151"/>
        <v>6</v>
      </c>
      <c r="H410">
        <f t="shared" si="153"/>
        <v>2</v>
      </c>
      <c r="I410">
        <f t="shared" si="154"/>
        <v>5</v>
      </c>
      <c r="J410">
        <f t="shared" si="155"/>
        <v>6</v>
      </c>
      <c r="K410" t="str">
        <f t="shared" si="152"/>
        <v>NEP C&amp;E.HYD_TOT_NEW</v>
      </c>
    </row>
    <row r="411" spans="2:11">
      <c r="B411" t="str">
        <f t="shared" si="147"/>
        <v>NUC_ELC</v>
      </c>
      <c r="C411" t="str">
        <f t="shared" si="148"/>
        <v>NEP C&amp;E</v>
      </c>
      <c r="D411">
        <f t="shared" si="149"/>
        <v>2040</v>
      </c>
      <c r="E411">
        <f t="shared" si="150"/>
        <v>0</v>
      </c>
      <c r="F411">
        <f t="shared" si="151"/>
        <v>6</v>
      </c>
      <c r="H411">
        <f t="shared" si="153"/>
        <v>3</v>
      </c>
      <c r="I411">
        <f t="shared" si="154"/>
        <v>5</v>
      </c>
      <c r="J411">
        <f t="shared" si="155"/>
        <v>6</v>
      </c>
      <c r="K411" t="str">
        <f t="shared" si="152"/>
        <v>NEP C&amp;E.NUC_ELC</v>
      </c>
    </row>
    <row r="412" spans="2:11">
      <c r="B412" t="str">
        <f t="shared" si="147"/>
        <v>FSS_ELC</v>
      </c>
      <c r="C412" t="str">
        <f t="shared" si="148"/>
        <v>NEP C&amp;E</v>
      </c>
      <c r="D412">
        <f t="shared" si="149"/>
        <v>2040</v>
      </c>
      <c r="E412">
        <f t="shared" si="150"/>
        <v>0</v>
      </c>
      <c r="F412">
        <f t="shared" si="151"/>
        <v>6</v>
      </c>
      <c r="H412">
        <f t="shared" si="153"/>
        <v>4</v>
      </c>
      <c r="I412">
        <f t="shared" si="154"/>
        <v>5</v>
      </c>
      <c r="J412">
        <f t="shared" si="155"/>
        <v>6</v>
      </c>
      <c r="K412" t="str">
        <f t="shared" si="152"/>
        <v>NEP C&amp;E.FSS_ELC</v>
      </c>
    </row>
    <row r="413" spans="2:11">
      <c r="B413" t="str">
        <f t="shared" si="147"/>
        <v>FSS_CHP</v>
      </c>
      <c r="C413" t="str">
        <f t="shared" si="148"/>
        <v>NEP C&amp;E</v>
      </c>
      <c r="D413">
        <f t="shared" si="149"/>
        <v>2040</v>
      </c>
      <c r="E413">
        <f t="shared" si="150"/>
        <v>0</v>
      </c>
      <c r="F413">
        <f t="shared" si="151"/>
        <v>6</v>
      </c>
      <c r="H413">
        <f t="shared" si="153"/>
        <v>5</v>
      </c>
      <c r="I413">
        <f t="shared" si="154"/>
        <v>5</v>
      </c>
      <c r="J413">
        <f t="shared" si="155"/>
        <v>6</v>
      </c>
      <c r="K413" t="str">
        <f t="shared" si="152"/>
        <v>NEP C&amp;E.FSS_CHP</v>
      </c>
    </row>
    <row r="414" spans="2:11">
      <c r="B414" t="str">
        <f t="shared" si="147"/>
        <v>SOL_WIN_BAL_WASREN</v>
      </c>
      <c r="C414" t="str">
        <f t="shared" si="148"/>
        <v>NEP C&amp;E</v>
      </c>
      <c r="D414">
        <f t="shared" si="149"/>
        <v>2040</v>
      </c>
      <c r="E414">
        <f t="shared" si="150"/>
        <v>66.353331490185241</v>
      </c>
      <c r="F414">
        <f t="shared" si="151"/>
        <v>6</v>
      </c>
      <c r="H414">
        <f t="shared" si="153"/>
        <v>6</v>
      </c>
      <c r="I414">
        <f t="shared" si="154"/>
        <v>5</v>
      </c>
      <c r="J414">
        <f t="shared" si="155"/>
        <v>6</v>
      </c>
      <c r="K414" t="str">
        <f t="shared" si="152"/>
        <v>NEP C&amp;E.SOL_WIN_BAL_WASREN</v>
      </c>
    </row>
    <row r="415" spans="2:11">
      <c r="B415" t="str">
        <f t="shared" si="147"/>
        <v>FSS_CHP_NEW</v>
      </c>
      <c r="C415" t="str">
        <f t="shared" si="148"/>
        <v>NEP C&amp;E</v>
      </c>
      <c r="D415">
        <f t="shared" si="149"/>
        <v>2040</v>
      </c>
      <c r="E415">
        <f t="shared" si="150"/>
        <v>641.41553773845726</v>
      </c>
      <c r="F415">
        <f t="shared" si="151"/>
        <v>6</v>
      </c>
      <c r="H415">
        <f t="shared" si="153"/>
        <v>7</v>
      </c>
      <c r="I415">
        <f t="shared" si="154"/>
        <v>5</v>
      </c>
      <c r="J415">
        <f t="shared" si="155"/>
        <v>6</v>
      </c>
      <c r="K415" t="str">
        <f t="shared" si="152"/>
        <v>NEP C&amp;E.FSS_CHP_NEW</v>
      </c>
    </row>
    <row r="416" spans="2:11">
      <c r="B416" t="str">
        <f t="shared" si="147"/>
        <v>SOL_WIN_BAL_WASREN_NEW</v>
      </c>
      <c r="C416" t="str">
        <f t="shared" si="148"/>
        <v>NEP C&amp;E</v>
      </c>
      <c r="D416">
        <f t="shared" si="149"/>
        <v>2040</v>
      </c>
      <c r="E416">
        <f t="shared" si="150"/>
        <v>8161.5980094000552</v>
      </c>
      <c r="F416">
        <f t="shared" si="151"/>
        <v>6</v>
      </c>
      <c r="H416">
        <f t="shared" si="153"/>
        <v>8</v>
      </c>
      <c r="I416">
        <f t="shared" si="154"/>
        <v>5</v>
      </c>
      <c r="J416">
        <f t="shared" si="155"/>
        <v>6</v>
      </c>
      <c r="K416" t="str">
        <f t="shared" si="152"/>
        <v>NEP C&amp;E.SOL_WIN_BAL_WASREN_NEW</v>
      </c>
    </row>
    <row r="417" spans="2:11">
      <c r="B417" t="str">
        <f t="shared" si="147"/>
        <v>FSS_ELC_NEW</v>
      </c>
      <c r="C417" t="str">
        <f t="shared" si="148"/>
        <v>NEP C&amp;E</v>
      </c>
      <c r="D417">
        <f t="shared" si="149"/>
        <v>2040</v>
      </c>
      <c r="E417">
        <f t="shared" si="150"/>
        <v>2233.7572573956318</v>
      </c>
      <c r="F417">
        <f t="shared" si="151"/>
        <v>6</v>
      </c>
      <c r="H417">
        <f t="shared" si="153"/>
        <v>9</v>
      </c>
      <c r="I417">
        <f t="shared" si="154"/>
        <v>5</v>
      </c>
      <c r="J417">
        <f t="shared" si="155"/>
        <v>6</v>
      </c>
      <c r="K417" t="str">
        <f t="shared" si="152"/>
        <v>NEP C&amp;E.FSS_ELC_NEW</v>
      </c>
    </row>
    <row r="418" spans="2:11">
      <c r="B418" t="str">
        <f t="shared" si="147"/>
        <v>HYD_TOT</v>
      </c>
      <c r="C418" t="str">
        <f t="shared" si="148"/>
        <v>NEP E</v>
      </c>
      <c r="D418">
        <f t="shared" si="149"/>
        <v>2040</v>
      </c>
      <c r="E418">
        <f t="shared" si="150"/>
        <v>13735.139618468344</v>
      </c>
      <c r="F418">
        <f t="shared" si="151"/>
        <v>6</v>
      </c>
      <c r="H418">
        <f t="shared" si="153"/>
        <v>1</v>
      </c>
      <c r="I418">
        <f t="shared" si="154"/>
        <v>6</v>
      </c>
      <c r="J418">
        <f t="shared" si="155"/>
        <v>6</v>
      </c>
      <c r="K418" t="str">
        <f t="shared" si="152"/>
        <v>NEP E.HYD_TOT</v>
      </c>
    </row>
    <row r="419" spans="2:11">
      <c r="B419" t="str">
        <f t="shared" si="147"/>
        <v>HYD_TOT_NEW</v>
      </c>
      <c r="C419" t="str">
        <f t="shared" si="148"/>
        <v>NEP E</v>
      </c>
      <c r="D419">
        <f t="shared" si="149"/>
        <v>2040</v>
      </c>
      <c r="E419">
        <f t="shared" si="150"/>
        <v>4312.9665468620406</v>
      </c>
      <c r="F419">
        <f t="shared" si="151"/>
        <v>6</v>
      </c>
      <c r="H419">
        <f t="shared" si="153"/>
        <v>2</v>
      </c>
      <c r="I419">
        <f t="shared" si="154"/>
        <v>6</v>
      </c>
      <c r="J419">
        <f t="shared" si="155"/>
        <v>6</v>
      </c>
      <c r="K419" t="str">
        <f t="shared" si="152"/>
        <v>NEP E.HYD_TOT_NEW</v>
      </c>
    </row>
    <row r="420" spans="2:11">
      <c r="B420" t="str">
        <f t="shared" si="147"/>
        <v>NUC_ELC</v>
      </c>
      <c r="C420" t="str">
        <f t="shared" si="148"/>
        <v>NEP E</v>
      </c>
      <c r="D420">
        <f t="shared" si="149"/>
        <v>2040</v>
      </c>
      <c r="E420">
        <f t="shared" si="150"/>
        <v>0</v>
      </c>
      <c r="F420">
        <f t="shared" si="151"/>
        <v>6</v>
      </c>
      <c r="H420">
        <f t="shared" si="153"/>
        <v>3</v>
      </c>
      <c r="I420">
        <f t="shared" si="154"/>
        <v>6</v>
      </c>
      <c r="J420">
        <f t="shared" si="155"/>
        <v>6</v>
      </c>
      <c r="K420" t="str">
        <f t="shared" si="152"/>
        <v>NEP E.NUC_ELC</v>
      </c>
    </row>
    <row r="421" spans="2:11">
      <c r="B421" t="str">
        <f t="shared" si="147"/>
        <v>FSS_ELC</v>
      </c>
      <c r="C421" t="str">
        <f t="shared" si="148"/>
        <v>NEP E</v>
      </c>
      <c r="D421">
        <f t="shared" si="149"/>
        <v>2040</v>
      </c>
      <c r="E421">
        <f t="shared" si="150"/>
        <v>0</v>
      </c>
      <c r="F421">
        <f t="shared" si="151"/>
        <v>6</v>
      </c>
      <c r="H421">
        <f t="shared" si="153"/>
        <v>4</v>
      </c>
      <c r="I421">
        <f t="shared" si="154"/>
        <v>6</v>
      </c>
      <c r="J421">
        <f t="shared" si="155"/>
        <v>6</v>
      </c>
      <c r="K421" t="str">
        <f t="shared" si="152"/>
        <v>NEP E.FSS_ELC</v>
      </c>
    </row>
    <row r="422" spans="2:11">
      <c r="B422" t="str">
        <f t="shared" si="147"/>
        <v>FSS_CHP</v>
      </c>
      <c r="C422" t="str">
        <f t="shared" si="148"/>
        <v>NEP E</v>
      </c>
      <c r="D422">
        <f t="shared" si="149"/>
        <v>2040</v>
      </c>
      <c r="E422">
        <f t="shared" si="150"/>
        <v>0</v>
      </c>
      <c r="F422">
        <f t="shared" si="151"/>
        <v>6</v>
      </c>
      <c r="H422">
        <f t="shared" si="153"/>
        <v>5</v>
      </c>
      <c r="I422">
        <f t="shared" si="154"/>
        <v>6</v>
      </c>
      <c r="J422">
        <f t="shared" si="155"/>
        <v>6</v>
      </c>
      <c r="K422" t="str">
        <f t="shared" si="152"/>
        <v>NEP E.FSS_CHP</v>
      </c>
    </row>
    <row r="423" spans="2:11">
      <c r="B423" t="str">
        <f t="shared" si="147"/>
        <v>SOL_WIN_BAL_WASREN</v>
      </c>
      <c r="C423" t="str">
        <f t="shared" si="148"/>
        <v>NEP E</v>
      </c>
      <c r="D423">
        <f t="shared" si="149"/>
        <v>2040</v>
      </c>
      <c r="E423">
        <f t="shared" si="150"/>
        <v>88.33287254630909</v>
      </c>
      <c r="F423">
        <f t="shared" si="151"/>
        <v>6</v>
      </c>
      <c r="H423">
        <f t="shared" si="153"/>
        <v>6</v>
      </c>
      <c r="I423">
        <f t="shared" si="154"/>
        <v>6</v>
      </c>
      <c r="J423">
        <f t="shared" si="155"/>
        <v>6</v>
      </c>
      <c r="K423" t="str">
        <f t="shared" si="152"/>
        <v>NEP E.SOL_WIN_BAL_WASREN</v>
      </c>
    </row>
    <row r="424" spans="2:11">
      <c r="B424" t="str">
        <f t="shared" si="147"/>
        <v>FSS_CHP_NEW</v>
      </c>
      <c r="C424" t="str">
        <f t="shared" si="148"/>
        <v>NEP E</v>
      </c>
      <c r="D424">
        <f t="shared" si="149"/>
        <v>2040</v>
      </c>
      <c r="E424">
        <f t="shared" si="150"/>
        <v>641.41553773845726</v>
      </c>
      <c r="F424">
        <f t="shared" si="151"/>
        <v>6</v>
      </c>
      <c r="H424">
        <f t="shared" si="153"/>
        <v>7</v>
      </c>
      <c r="I424">
        <f t="shared" si="154"/>
        <v>6</v>
      </c>
      <c r="J424">
        <f t="shared" si="155"/>
        <v>6</v>
      </c>
      <c r="K424" t="str">
        <f t="shared" si="152"/>
        <v>NEP E.FSS_CHP_NEW</v>
      </c>
    </row>
    <row r="425" spans="2:11">
      <c r="B425" t="str">
        <f t="shared" si="147"/>
        <v>SOL_WIN_BAL_WASREN_NEW</v>
      </c>
      <c r="C425" t="str">
        <f t="shared" si="148"/>
        <v>NEP E</v>
      </c>
      <c r="D425">
        <f t="shared" si="149"/>
        <v>2040</v>
      </c>
      <c r="E425">
        <f t="shared" si="150"/>
        <v>8139.3419961293894</v>
      </c>
      <c r="F425">
        <f t="shared" si="151"/>
        <v>6</v>
      </c>
      <c r="H425">
        <f t="shared" si="153"/>
        <v>8</v>
      </c>
      <c r="I425">
        <f t="shared" si="154"/>
        <v>6</v>
      </c>
      <c r="J425">
        <f t="shared" si="155"/>
        <v>6</v>
      </c>
      <c r="K425" t="str">
        <f t="shared" si="152"/>
        <v>NEP E.SOL_WIN_BAL_WASREN_NEW</v>
      </c>
    </row>
    <row r="426" spans="2:11">
      <c r="B426" t="str">
        <f t="shared" si="147"/>
        <v>FSS_ELC_NEW</v>
      </c>
      <c r="C426" t="str">
        <f t="shared" si="148"/>
        <v>NEP E</v>
      </c>
      <c r="D426">
        <f t="shared" si="149"/>
        <v>2040</v>
      </c>
      <c r="E426">
        <f t="shared" si="150"/>
        <v>0</v>
      </c>
      <c r="F426">
        <f t="shared" si="151"/>
        <v>6</v>
      </c>
      <c r="H426">
        <f t="shared" si="153"/>
        <v>9</v>
      </c>
      <c r="I426">
        <f t="shared" si="154"/>
        <v>6</v>
      </c>
      <c r="J426">
        <f t="shared" si="155"/>
        <v>6</v>
      </c>
      <c r="K426" t="str">
        <f t="shared" si="152"/>
        <v>NEP E.FSS_ELC_NEW</v>
      </c>
    </row>
    <row r="427" spans="2:11">
      <c r="B427" t="str">
        <f t="shared" si="147"/>
        <v>HYD_TOT</v>
      </c>
      <c r="C427" t="str">
        <f t="shared" si="148"/>
        <v>WWB C</v>
      </c>
      <c r="D427">
        <f t="shared" si="149"/>
        <v>2040</v>
      </c>
      <c r="E427">
        <f t="shared" si="150"/>
        <v>13779.375172795135</v>
      </c>
      <c r="F427">
        <f t="shared" si="151"/>
        <v>6</v>
      </c>
      <c r="H427">
        <f t="shared" si="153"/>
        <v>1</v>
      </c>
      <c r="I427">
        <f t="shared" si="154"/>
        <v>7</v>
      </c>
      <c r="J427">
        <f t="shared" si="155"/>
        <v>6</v>
      </c>
      <c r="K427" t="str">
        <f t="shared" si="152"/>
        <v>WWB C.HYD_TOT</v>
      </c>
    </row>
    <row r="428" spans="2:11">
      <c r="B428" t="str">
        <f t="shared" si="147"/>
        <v>HYD_TOT_NEW</v>
      </c>
      <c r="C428" t="str">
        <f t="shared" si="148"/>
        <v>WWB C</v>
      </c>
      <c r="D428">
        <f t="shared" si="149"/>
        <v>2040</v>
      </c>
      <c r="E428">
        <f t="shared" si="150"/>
        <v>3826.3754492673488</v>
      </c>
      <c r="F428">
        <f t="shared" si="151"/>
        <v>6</v>
      </c>
      <c r="H428">
        <f t="shared" si="153"/>
        <v>2</v>
      </c>
      <c r="I428">
        <f t="shared" si="154"/>
        <v>7</v>
      </c>
      <c r="J428">
        <f t="shared" si="155"/>
        <v>6</v>
      </c>
      <c r="K428" t="str">
        <f t="shared" si="152"/>
        <v>WWB C.HYD_TOT_NEW</v>
      </c>
    </row>
    <row r="429" spans="2:11">
      <c r="B429" t="str">
        <f t="shared" si="147"/>
        <v>NUC_ELC</v>
      </c>
      <c r="C429" t="str">
        <f t="shared" si="148"/>
        <v>WWB C</v>
      </c>
      <c r="D429">
        <f t="shared" si="149"/>
        <v>2040</v>
      </c>
      <c r="E429">
        <f t="shared" si="150"/>
        <v>0</v>
      </c>
      <c r="F429">
        <f t="shared" si="151"/>
        <v>6</v>
      </c>
      <c r="H429">
        <f t="shared" si="153"/>
        <v>3</v>
      </c>
      <c r="I429">
        <f t="shared" si="154"/>
        <v>7</v>
      </c>
      <c r="J429">
        <f t="shared" si="155"/>
        <v>6</v>
      </c>
      <c r="K429" t="str">
        <f t="shared" si="152"/>
        <v>WWB C.NUC_ELC</v>
      </c>
    </row>
    <row r="430" spans="2:11">
      <c r="B430" t="str">
        <f t="shared" si="147"/>
        <v>FSS_ELC</v>
      </c>
      <c r="C430" t="str">
        <f t="shared" si="148"/>
        <v>WWB C</v>
      </c>
      <c r="D430">
        <f t="shared" si="149"/>
        <v>2040</v>
      </c>
      <c r="E430">
        <f t="shared" si="150"/>
        <v>0</v>
      </c>
      <c r="F430">
        <f t="shared" si="151"/>
        <v>6</v>
      </c>
      <c r="H430">
        <f t="shared" si="153"/>
        <v>4</v>
      </c>
      <c r="I430">
        <f t="shared" si="154"/>
        <v>7</v>
      </c>
      <c r="J430">
        <f t="shared" si="155"/>
        <v>6</v>
      </c>
      <c r="K430" t="str">
        <f t="shared" si="152"/>
        <v>WWB C.FSS_ELC</v>
      </c>
    </row>
    <row r="431" spans="2:11">
      <c r="B431" t="str">
        <f t="shared" si="147"/>
        <v>FSS_CHP</v>
      </c>
      <c r="C431" t="str">
        <f t="shared" si="148"/>
        <v>WWB C</v>
      </c>
      <c r="D431">
        <f t="shared" si="149"/>
        <v>2040</v>
      </c>
      <c r="E431">
        <f t="shared" si="150"/>
        <v>0</v>
      </c>
      <c r="F431">
        <f t="shared" si="151"/>
        <v>6</v>
      </c>
      <c r="H431">
        <f t="shared" si="153"/>
        <v>5</v>
      </c>
      <c r="I431">
        <f t="shared" si="154"/>
        <v>7</v>
      </c>
      <c r="J431">
        <f t="shared" si="155"/>
        <v>6</v>
      </c>
      <c r="K431" t="str">
        <f t="shared" si="152"/>
        <v>WWB C.FSS_CHP</v>
      </c>
    </row>
    <row r="432" spans="2:11">
      <c r="B432" t="str">
        <f t="shared" si="147"/>
        <v>SOL_WIN_BAL_WASREN</v>
      </c>
      <c r="C432" t="str">
        <f t="shared" si="148"/>
        <v>WWB C</v>
      </c>
      <c r="D432">
        <f t="shared" si="149"/>
        <v>2040</v>
      </c>
      <c r="E432">
        <f t="shared" si="150"/>
        <v>88.471108653580316</v>
      </c>
      <c r="F432">
        <f t="shared" si="151"/>
        <v>6</v>
      </c>
      <c r="H432">
        <f t="shared" si="153"/>
        <v>6</v>
      </c>
      <c r="I432">
        <f t="shared" si="154"/>
        <v>7</v>
      </c>
      <c r="J432">
        <f t="shared" si="155"/>
        <v>6</v>
      </c>
      <c r="K432" t="str">
        <f t="shared" si="152"/>
        <v>WWB C.SOL_WIN_BAL_WASREN</v>
      </c>
    </row>
    <row r="433" spans="2:11">
      <c r="B433" t="str">
        <f t="shared" si="147"/>
        <v>FSS_CHP_NEW</v>
      </c>
      <c r="C433" t="str">
        <f t="shared" si="148"/>
        <v>WWB C</v>
      </c>
      <c r="D433">
        <f t="shared" si="149"/>
        <v>2040</v>
      </c>
      <c r="E433">
        <f t="shared" si="150"/>
        <v>641.41553773845726</v>
      </c>
      <c r="F433">
        <f t="shared" si="151"/>
        <v>6</v>
      </c>
      <c r="H433">
        <f t="shared" si="153"/>
        <v>7</v>
      </c>
      <c r="I433">
        <f t="shared" si="154"/>
        <v>7</v>
      </c>
      <c r="J433">
        <f t="shared" si="155"/>
        <v>6</v>
      </c>
      <c r="K433" t="str">
        <f t="shared" si="152"/>
        <v>WWB C.FSS_CHP_NEW</v>
      </c>
    </row>
    <row r="434" spans="2:11">
      <c r="B434" t="str">
        <f t="shared" si="147"/>
        <v>SOL_WIN_BAL_WASREN_NEW</v>
      </c>
      <c r="C434" t="str">
        <f t="shared" si="148"/>
        <v>WWB C</v>
      </c>
      <c r="D434">
        <f t="shared" si="149"/>
        <v>2040</v>
      </c>
      <c r="E434">
        <f t="shared" si="150"/>
        <v>3826.3754492673488</v>
      </c>
      <c r="F434">
        <f t="shared" si="151"/>
        <v>6</v>
      </c>
      <c r="H434">
        <f t="shared" si="153"/>
        <v>8</v>
      </c>
      <c r="I434">
        <f t="shared" si="154"/>
        <v>7</v>
      </c>
      <c r="J434">
        <f t="shared" si="155"/>
        <v>6</v>
      </c>
      <c r="K434" t="str">
        <f t="shared" si="152"/>
        <v>WWB C.SOL_WIN_BAL_WASREN_NEW</v>
      </c>
    </row>
    <row r="435" spans="2:11">
      <c r="B435" t="str">
        <f t="shared" si="147"/>
        <v>FSS_ELC_NEW</v>
      </c>
      <c r="C435" t="str">
        <f t="shared" si="148"/>
        <v>WWB C</v>
      </c>
      <c r="D435">
        <f t="shared" si="149"/>
        <v>2040</v>
      </c>
      <c r="E435">
        <f t="shared" si="150"/>
        <v>4401.4376555156205</v>
      </c>
      <c r="F435">
        <f t="shared" si="151"/>
        <v>6</v>
      </c>
      <c r="H435">
        <f t="shared" si="153"/>
        <v>9</v>
      </c>
      <c r="I435">
        <f t="shared" si="154"/>
        <v>7</v>
      </c>
      <c r="J435">
        <f t="shared" si="155"/>
        <v>6</v>
      </c>
      <c r="K435" t="str">
        <f t="shared" si="152"/>
        <v>WWB C.FSS_ELC_NEW</v>
      </c>
    </row>
    <row r="436" spans="2:11">
      <c r="B436" t="str">
        <f t="shared" si="147"/>
        <v>HYD_TOT</v>
      </c>
      <c r="C436" t="str">
        <f t="shared" si="148"/>
        <v>WWB C&amp;E</v>
      </c>
      <c r="D436">
        <f t="shared" si="149"/>
        <v>2040</v>
      </c>
      <c r="E436">
        <f t="shared" si="150"/>
        <v>13757.395631739009</v>
      </c>
      <c r="F436">
        <f t="shared" si="151"/>
        <v>6</v>
      </c>
      <c r="H436">
        <f t="shared" si="153"/>
        <v>1</v>
      </c>
      <c r="I436">
        <f t="shared" si="154"/>
        <v>8</v>
      </c>
      <c r="J436">
        <f t="shared" si="155"/>
        <v>6</v>
      </c>
      <c r="K436" t="str">
        <f t="shared" si="152"/>
        <v>WWB C&amp;E.HYD_TOT</v>
      </c>
    </row>
    <row r="437" spans="2:11">
      <c r="B437" t="str">
        <f t="shared" si="147"/>
        <v>HYD_TOT_NEW</v>
      </c>
      <c r="C437" t="str">
        <f t="shared" si="148"/>
        <v>WWB C&amp;E</v>
      </c>
      <c r="D437">
        <f t="shared" si="149"/>
        <v>2040</v>
      </c>
      <c r="E437">
        <f t="shared" si="150"/>
        <v>4312.9665468620406</v>
      </c>
      <c r="F437">
        <f t="shared" si="151"/>
        <v>6</v>
      </c>
      <c r="H437">
        <f t="shared" si="153"/>
        <v>2</v>
      </c>
      <c r="I437">
        <f t="shared" si="154"/>
        <v>8</v>
      </c>
      <c r="J437">
        <f t="shared" si="155"/>
        <v>6</v>
      </c>
      <c r="K437" t="str">
        <f t="shared" si="152"/>
        <v>WWB C&amp;E.HYD_TOT_NEW</v>
      </c>
    </row>
    <row r="438" spans="2:11">
      <c r="B438" t="str">
        <f t="shared" si="147"/>
        <v>NUC_ELC</v>
      </c>
      <c r="C438" t="str">
        <f t="shared" si="148"/>
        <v>WWB C&amp;E</v>
      </c>
      <c r="D438">
        <f t="shared" si="149"/>
        <v>2040</v>
      </c>
      <c r="E438">
        <f t="shared" si="150"/>
        <v>0</v>
      </c>
      <c r="F438">
        <f t="shared" si="151"/>
        <v>6</v>
      </c>
      <c r="H438">
        <f t="shared" si="153"/>
        <v>3</v>
      </c>
      <c r="I438">
        <f t="shared" si="154"/>
        <v>8</v>
      </c>
      <c r="J438">
        <f t="shared" si="155"/>
        <v>6</v>
      </c>
      <c r="K438" t="str">
        <f t="shared" si="152"/>
        <v>WWB C&amp;E.NUC_ELC</v>
      </c>
    </row>
    <row r="439" spans="2:11">
      <c r="B439" t="str">
        <f t="shared" si="147"/>
        <v>FSS_ELC</v>
      </c>
      <c r="C439" t="str">
        <f t="shared" si="148"/>
        <v>WWB C&amp;E</v>
      </c>
      <c r="D439">
        <f t="shared" si="149"/>
        <v>2040</v>
      </c>
      <c r="E439">
        <f t="shared" si="150"/>
        <v>0</v>
      </c>
      <c r="F439">
        <f t="shared" si="151"/>
        <v>6</v>
      </c>
      <c r="H439">
        <f t="shared" si="153"/>
        <v>4</v>
      </c>
      <c r="I439">
        <f t="shared" si="154"/>
        <v>8</v>
      </c>
      <c r="J439">
        <f t="shared" si="155"/>
        <v>6</v>
      </c>
      <c r="K439" t="str">
        <f t="shared" si="152"/>
        <v>WWB C&amp;E.FSS_ELC</v>
      </c>
    </row>
    <row r="440" spans="2:11">
      <c r="B440" t="str">
        <f t="shared" si="147"/>
        <v>FSS_CHP</v>
      </c>
      <c r="C440" t="str">
        <f t="shared" si="148"/>
        <v>WWB C&amp;E</v>
      </c>
      <c r="D440">
        <f t="shared" si="149"/>
        <v>2040</v>
      </c>
      <c r="E440">
        <f t="shared" si="150"/>
        <v>0</v>
      </c>
      <c r="F440">
        <f t="shared" si="151"/>
        <v>6</v>
      </c>
      <c r="H440">
        <f t="shared" si="153"/>
        <v>5</v>
      </c>
      <c r="I440">
        <f t="shared" si="154"/>
        <v>8</v>
      </c>
      <c r="J440">
        <f t="shared" si="155"/>
        <v>6</v>
      </c>
      <c r="K440" t="str">
        <f t="shared" si="152"/>
        <v>WWB C&amp;E.FSS_CHP</v>
      </c>
    </row>
    <row r="441" spans="2:11">
      <c r="B441" t="str">
        <f t="shared" si="147"/>
        <v>SOL_WIN_BAL_WASREN</v>
      </c>
      <c r="C441" t="str">
        <f t="shared" si="148"/>
        <v>WWB C&amp;E</v>
      </c>
      <c r="D441">
        <f t="shared" si="149"/>
        <v>2040</v>
      </c>
      <c r="E441">
        <f t="shared" si="150"/>
        <v>88.471108653580316</v>
      </c>
      <c r="F441">
        <f t="shared" si="151"/>
        <v>6</v>
      </c>
      <c r="H441">
        <f t="shared" si="153"/>
        <v>6</v>
      </c>
      <c r="I441">
        <f t="shared" si="154"/>
        <v>8</v>
      </c>
      <c r="J441">
        <f t="shared" si="155"/>
        <v>6</v>
      </c>
      <c r="K441" t="str">
        <f t="shared" si="152"/>
        <v>WWB C&amp;E.SOL_WIN_BAL_WASREN</v>
      </c>
    </row>
    <row r="442" spans="2:11">
      <c r="B442" t="str">
        <f t="shared" si="147"/>
        <v>FSS_CHP_NEW</v>
      </c>
      <c r="C442" t="str">
        <f t="shared" si="148"/>
        <v>WWB C&amp;E</v>
      </c>
      <c r="D442">
        <f t="shared" si="149"/>
        <v>2040</v>
      </c>
      <c r="E442">
        <f t="shared" si="150"/>
        <v>641.55377384572853</v>
      </c>
      <c r="F442">
        <f t="shared" si="151"/>
        <v>6</v>
      </c>
      <c r="H442">
        <f t="shared" si="153"/>
        <v>7</v>
      </c>
      <c r="I442">
        <f t="shared" si="154"/>
        <v>8</v>
      </c>
      <c r="J442">
        <f t="shared" si="155"/>
        <v>6</v>
      </c>
      <c r="K442" t="str">
        <f t="shared" si="152"/>
        <v>WWB C&amp;E.FSS_CHP_NEW</v>
      </c>
    </row>
    <row r="443" spans="2:11">
      <c r="B443" t="str">
        <f t="shared" si="147"/>
        <v>SOL_WIN_BAL_WASREN_NEW</v>
      </c>
      <c r="C443" t="str">
        <f t="shared" si="148"/>
        <v>WWB C&amp;E</v>
      </c>
      <c r="D443">
        <f t="shared" si="149"/>
        <v>2040</v>
      </c>
      <c r="E443">
        <f t="shared" si="150"/>
        <v>8139.2037600221174</v>
      </c>
      <c r="F443">
        <f t="shared" si="151"/>
        <v>6</v>
      </c>
      <c r="H443">
        <f t="shared" si="153"/>
        <v>8</v>
      </c>
      <c r="I443">
        <f t="shared" si="154"/>
        <v>8</v>
      </c>
      <c r="J443">
        <f t="shared" si="155"/>
        <v>6</v>
      </c>
      <c r="K443" t="str">
        <f t="shared" si="152"/>
        <v>WWB C&amp;E.SOL_WIN_BAL_WASREN_NEW</v>
      </c>
    </row>
    <row r="444" spans="2:11">
      <c r="B444" t="str">
        <f t="shared" si="147"/>
        <v>FSS_ELC_NEW</v>
      </c>
      <c r="C444" t="str">
        <f t="shared" si="148"/>
        <v>WWB C&amp;E</v>
      </c>
      <c r="D444">
        <f t="shared" si="149"/>
        <v>2040</v>
      </c>
      <c r="E444">
        <f t="shared" si="150"/>
        <v>3362.0403649433233</v>
      </c>
      <c r="F444">
        <f t="shared" si="151"/>
        <v>6</v>
      </c>
      <c r="H444">
        <f t="shared" si="153"/>
        <v>9</v>
      </c>
      <c r="I444">
        <f t="shared" si="154"/>
        <v>8</v>
      </c>
      <c r="J444">
        <f t="shared" si="155"/>
        <v>6</v>
      </c>
      <c r="K444" t="str">
        <f t="shared" si="152"/>
        <v>WWB C&amp;E.FSS_ELC_NEW</v>
      </c>
    </row>
    <row r="445" spans="2:11">
      <c r="B445" t="str">
        <f t="shared" si="147"/>
        <v>HYD_TOT</v>
      </c>
      <c r="C445" t="str">
        <f t="shared" si="148"/>
        <v>POM C</v>
      </c>
      <c r="D445">
        <f t="shared" si="149"/>
        <v>2045</v>
      </c>
      <c r="E445">
        <f t="shared" si="150"/>
        <v>13709.231619679382</v>
      </c>
      <c r="F445">
        <f t="shared" si="151"/>
        <v>7</v>
      </c>
      <c r="H445">
        <f t="shared" si="153"/>
        <v>1</v>
      </c>
      <c r="I445">
        <f t="shared" si="154"/>
        <v>1</v>
      </c>
      <c r="J445">
        <f t="shared" si="155"/>
        <v>7</v>
      </c>
      <c r="K445" t="str">
        <f t="shared" si="152"/>
        <v>POM C.HYD_TOT</v>
      </c>
    </row>
    <row r="446" spans="2:11">
      <c r="B446" t="str">
        <f t="shared" si="147"/>
        <v>HYD_TOT_NEW</v>
      </c>
      <c r="C446" t="str">
        <f t="shared" si="148"/>
        <v>POM C</v>
      </c>
      <c r="D446">
        <f t="shared" si="149"/>
        <v>2045</v>
      </c>
      <c r="E446">
        <f t="shared" si="150"/>
        <v>3913.764510779436</v>
      </c>
      <c r="F446">
        <f t="shared" si="151"/>
        <v>7</v>
      </c>
      <c r="H446">
        <f t="shared" si="153"/>
        <v>2</v>
      </c>
      <c r="I446">
        <f t="shared" si="154"/>
        <v>1</v>
      </c>
      <c r="J446">
        <f t="shared" si="155"/>
        <v>7</v>
      </c>
      <c r="K446" t="str">
        <f t="shared" si="152"/>
        <v>POM C.HYD_TOT_NEW</v>
      </c>
    </row>
    <row r="447" spans="2:11">
      <c r="B447" t="str">
        <f t="shared" si="147"/>
        <v>NUC_ELC</v>
      </c>
      <c r="C447" t="str">
        <f t="shared" si="148"/>
        <v>POM C</v>
      </c>
      <c r="D447">
        <f t="shared" si="149"/>
        <v>2045</v>
      </c>
      <c r="E447">
        <f t="shared" si="150"/>
        <v>0</v>
      </c>
      <c r="F447">
        <f t="shared" si="151"/>
        <v>7</v>
      </c>
      <c r="H447">
        <f t="shared" si="153"/>
        <v>3</v>
      </c>
      <c r="I447">
        <f t="shared" si="154"/>
        <v>1</v>
      </c>
      <c r="J447">
        <f t="shared" si="155"/>
        <v>7</v>
      </c>
      <c r="K447" t="str">
        <f t="shared" si="152"/>
        <v>POM C.NUC_ELC</v>
      </c>
    </row>
    <row r="448" spans="2:11">
      <c r="B448" t="str">
        <f t="shared" si="147"/>
        <v>FSS_ELC</v>
      </c>
      <c r="C448" t="str">
        <f t="shared" si="148"/>
        <v>POM C</v>
      </c>
      <c r="D448">
        <f t="shared" si="149"/>
        <v>2045</v>
      </c>
      <c r="E448">
        <f t="shared" si="150"/>
        <v>0</v>
      </c>
      <c r="F448">
        <f t="shared" si="151"/>
        <v>7</v>
      </c>
      <c r="H448">
        <f t="shared" si="153"/>
        <v>4</v>
      </c>
      <c r="I448">
        <f t="shared" si="154"/>
        <v>1</v>
      </c>
      <c r="J448">
        <f t="shared" si="155"/>
        <v>7</v>
      </c>
      <c r="K448" t="str">
        <f t="shared" si="152"/>
        <v>POM C.FSS_ELC</v>
      </c>
    </row>
    <row r="449" spans="2:11">
      <c r="B449" t="str">
        <f t="shared" si="147"/>
        <v>FSS_CHP</v>
      </c>
      <c r="C449" t="str">
        <f t="shared" si="148"/>
        <v>POM C</v>
      </c>
      <c r="D449">
        <f t="shared" si="149"/>
        <v>2045</v>
      </c>
      <c r="E449">
        <f t="shared" si="150"/>
        <v>0</v>
      </c>
      <c r="F449">
        <f t="shared" si="151"/>
        <v>7</v>
      </c>
      <c r="H449">
        <f t="shared" si="153"/>
        <v>5</v>
      </c>
      <c r="I449">
        <f t="shared" si="154"/>
        <v>1</v>
      </c>
      <c r="J449">
        <f t="shared" si="155"/>
        <v>7</v>
      </c>
      <c r="K449" t="str">
        <f t="shared" si="152"/>
        <v>POM C.FSS_CHP</v>
      </c>
    </row>
    <row r="450" spans="2:11">
      <c r="B450" t="str">
        <f t="shared" si="147"/>
        <v>SOL_WIN_BAL_WASREN</v>
      </c>
      <c r="C450" t="str">
        <f t="shared" si="148"/>
        <v>POM C</v>
      </c>
      <c r="D450">
        <f t="shared" si="149"/>
        <v>2045</v>
      </c>
      <c r="E450">
        <f t="shared" si="150"/>
        <v>0</v>
      </c>
      <c r="F450">
        <f t="shared" si="151"/>
        <v>7</v>
      </c>
      <c r="H450">
        <f t="shared" si="153"/>
        <v>6</v>
      </c>
      <c r="I450">
        <f t="shared" si="154"/>
        <v>1</v>
      </c>
      <c r="J450">
        <f t="shared" si="155"/>
        <v>7</v>
      </c>
      <c r="K450" t="str">
        <f t="shared" si="152"/>
        <v>POM C.SOL_WIN_BAL_WASREN</v>
      </c>
    </row>
    <row r="451" spans="2:11">
      <c r="B451" t="str">
        <f t="shared" si="147"/>
        <v>FSS_CHP_NEW</v>
      </c>
      <c r="C451" t="str">
        <f t="shared" si="148"/>
        <v>POM C</v>
      </c>
      <c r="D451">
        <f t="shared" si="149"/>
        <v>2045</v>
      </c>
      <c r="E451">
        <f t="shared" si="150"/>
        <v>729.54671088999453</v>
      </c>
      <c r="F451">
        <f t="shared" si="151"/>
        <v>7</v>
      </c>
      <c r="H451">
        <f t="shared" si="153"/>
        <v>7</v>
      </c>
      <c r="I451">
        <f t="shared" si="154"/>
        <v>1</v>
      </c>
      <c r="J451">
        <f t="shared" si="155"/>
        <v>7</v>
      </c>
      <c r="K451" t="str">
        <f t="shared" si="152"/>
        <v>POM C.FSS_CHP_NEW</v>
      </c>
    </row>
    <row r="452" spans="2:11">
      <c r="B452" t="str">
        <f t="shared" si="147"/>
        <v>SOL_WIN_BAL_WASREN_NEW</v>
      </c>
      <c r="C452" t="str">
        <f t="shared" si="148"/>
        <v>POM C</v>
      </c>
      <c r="D452">
        <f t="shared" si="149"/>
        <v>2045</v>
      </c>
      <c r="E452">
        <f t="shared" si="150"/>
        <v>5019.3477059148699</v>
      </c>
      <c r="F452">
        <f t="shared" si="151"/>
        <v>7</v>
      </c>
      <c r="H452">
        <f t="shared" si="153"/>
        <v>8</v>
      </c>
      <c r="I452">
        <f t="shared" si="154"/>
        <v>1</v>
      </c>
      <c r="J452">
        <f t="shared" si="155"/>
        <v>7</v>
      </c>
      <c r="K452" t="str">
        <f t="shared" si="152"/>
        <v>POM C.SOL_WIN_BAL_WASREN_NEW</v>
      </c>
    </row>
    <row r="453" spans="2:11">
      <c r="B453" t="str">
        <f t="shared" si="147"/>
        <v>FSS_ELC_NEW</v>
      </c>
      <c r="C453" t="str">
        <f t="shared" si="148"/>
        <v>POM C</v>
      </c>
      <c r="D453">
        <f t="shared" si="149"/>
        <v>2045</v>
      </c>
      <c r="E453">
        <f t="shared" si="150"/>
        <v>3272.6644555002763</v>
      </c>
      <c r="F453">
        <f t="shared" si="151"/>
        <v>7</v>
      </c>
      <c r="H453">
        <f t="shared" si="153"/>
        <v>9</v>
      </c>
      <c r="I453">
        <f t="shared" si="154"/>
        <v>1</v>
      </c>
      <c r="J453">
        <f t="shared" si="155"/>
        <v>7</v>
      </c>
      <c r="K453" t="str">
        <f t="shared" si="152"/>
        <v>POM C.FSS_ELC_NEW</v>
      </c>
    </row>
    <row r="454" spans="2:11">
      <c r="B454" t="str">
        <f t="shared" si="147"/>
        <v>HYD_TOT</v>
      </c>
      <c r="C454" t="str">
        <f t="shared" si="148"/>
        <v>POM C&amp;E</v>
      </c>
      <c r="D454">
        <f t="shared" si="149"/>
        <v>2045</v>
      </c>
      <c r="E454">
        <f t="shared" si="150"/>
        <v>13731.343283582089</v>
      </c>
      <c r="F454">
        <f t="shared" si="151"/>
        <v>7</v>
      </c>
      <c r="H454">
        <f t="shared" si="153"/>
        <v>1</v>
      </c>
      <c r="I454">
        <f t="shared" si="154"/>
        <v>2</v>
      </c>
      <c r="J454">
        <f t="shared" si="155"/>
        <v>7</v>
      </c>
      <c r="K454" t="str">
        <f t="shared" si="152"/>
        <v>POM C&amp;E.HYD_TOT</v>
      </c>
    </row>
    <row r="455" spans="2:11">
      <c r="B455" t="str">
        <f t="shared" si="147"/>
        <v>HYD_TOT_NEW</v>
      </c>
      <c r="C455" t="str">
        <f t="shared" si="148"/>
        <v>POM C&amp;E</v>
      </c>
      <c r="D455">
        <f t="shared" si="149"/>
        <v>2045</v>
      </c>
      <c r="E455">
        <f t="shared" si="150"/>
        <v>4532.8911000552789</v>
      </c>
      <c r="F455">
        <f t="shared" si="151"/>
        <v>7</v>
      </c>
      <c r="H455">
        <f t="shared" si="153"/>
        <v>2</v>
      </c>
      <c r="I455">
        <f t="shared" si="154"/>
        <v>2</v>
      </c>
      <c r="J455">
        <f t="shared" si="155"/>
        <v>7</v>
      </c>
      <c r="K455" t="str">
        <f t="shared" si="152"/>
        <v>POM C&amp;E.HYD_TOT_NEW</v>
      </c>
    </row>
    <row r="456" spans="2:11">
      <c r="B456" t="str">
        <f t="shared" si="147"/>
        <v>NUC_ELC</v>
      </c>
      <c r="C456" t="str">
        <f t="shared" si="148"/>
        <v>POM C&amp;E</v>
      </c>
      <c r="D456">
        <f t="shared" si="149"/>
        <v>2045</v>
      </c>
      <c r="E456">
        <f t="shared" si="150"/>
        <v>0</v>
      </c>
      <c r="F456">
        <f t="shared" si="151"/>
        <v>7</v>
      </c>
      <c r="H456">
        <f t="shared" si="153"/>
        <v>3</v>
      </c>
      <c r="I456">
        <f t="shared" si="154"/>
        <v>2</v>
      </c>
      <c r="J456">
        <f t="shared" si="155"/>
        <v>7</v>
      </c>
      <c r="K456" t="str">
        <f t="shared" si="152"/>
        <v>POM C&amp;E.NUC_ELC</v>
      </c>
    </row>
    <row r="457" spans="2:11">
      <c r="B457" t="str">
        <f t="shared" si="147"/>
        <v>FSS_ELC</v>
      </c>
      <c r="C457" t="str">
        <f t="shared" si="148"/>
        <v>POM C&amp;E</v>
      </c>
      <c r="D457">
        <f t="shared" si="149"/>
        <v>2045</v>
      </c>
      <c r="E457">
        <f t="shared" si="150"/>
        <v>0</v>
      </c>
      <c r="F457">
        <f t="shared" si="151"/>
        <v>7</v>
      </c>
      <c r="H457">
        <f t="shared" si="153"/>
        <v>4</v>
      </c>
      <c r="I457">
        <f t="shared" si="154"/>
        <v>2</v>
      </c>
      <c r="J457">
        <f t="shared" si="155"/>
        <v>7</v>
      </c>
      <c r="K457" t="str">
        <f t="shared" si="152"/>
        <v>POM C&amp;E.FSS_ELC</v>
      </c>
    </row>
    <row r="458" spans="2:11">
      <c r="B458" t="str">
        <f t="shared" si="147"/>
        <v>FSS_CHP</v>
      </c>
      <c r="C458" t="str">
        <f t="shared" si="148"/>
        <v>POM C&amp;E</v>
      </c>
      <c r="D458">
        <f t="shared" si="149"/>
        <v>2045</v>
      </c>
      <c r="E458">
        <f t="shared" si="150"/>
        <v>0</v>
      </c>
      <c r="F458">
        <f t="shared" si="151"/>
        <v>7</v>
      </c>
      <c r="H458">
        <f t="shared" si="153"/>
        <v>5</v>
      </c>
      <c r="I458">
        <f t="shared" si="154"/>
        <v>2</v>
      </c>
      <c r="J458">
        <f t="shared" si="155"/>
        <v>7</v>
      </c>
      <c r="K458" t="str">
        <f t="shared" si="152"/>
        <v>POM C&amp;E.FSS_CHP</v>
      </c>
    </row>
    <row r="459" spans="2:11">
      <c r="B459" t="str">
        <f t="shared" si="147"/>
        <v>SOL_WIN_BAL_WASREN</v>
      </c>
      <c r="C459" t="str">
        <f t="shared" si="148"/>
        <v>POM C&amp;E</v>
      </c>
      <c r="D459">
        <f t="shared" si="149"/>
        <v>2045</v>
      </c>
      <c r="E459">
        <f t="shared" si="150"/>
        <v>0</v>
      </c>
      <c r="F459">
        <f t="shared" si="151"/>
        <v>7</v>
      </c>
      <c r="H459">
        <f t="shared" si="153"/>
        <v>6</v>
      </c>
      <c r="I459">
        <f t="shared" si="154"/>
        <v>2</v>
      </c>
      <c r="J459">
        <f t="shared" si="155"/>
        <v>7</v>
      </c>
      <c r="K459" t="str">
        <f t="shared" si="152"/>
        <v>POM C&amp;E.SOL_WIN_BAL_WASREN</v>
      </c>
    </row>
    <row r="460" spans="2:11">
      <c r="B460" t="str">
        <f t="shared" si="147"/>
        <v>FSS_CHP_NEW</v>
      </c>
      <c r="C460" t="str">
        <f t="shared" si="148"/>
        <v>POM C&amp;E</v>
      </c>
      <c r="D460">
        <f t="shared" si="149"/>
        <v>2045</v>
      </c>
      <c r="E460">
        <f t="shared" si="150"/>
        <v>729.68490878938644</v>
      </c>
      <c r="F460">
        <f t="shared" si="151"/>
        <v>7</v>
      </c>
      <c r="H460">
        <f t="shared" si="153"/>
        <v>7</v>
      </c>
      <c r="I460">
        <f t="shared" si="154"/>
        <v>2</v>
      </c>
      <c r="J460">
        <f t="shared" si="155"/>
        <v>7</v>
      </c>
      <c r="K460" t="str">
        <f t="shared" si="152"/>
        <v>POM C&amp;E.FSS_CHP_NEW</v>
      </c>
    </row>
    <row r="461" spans="2:11">
      <c r="B461" t="str">
        <f t="shared" ref="B461:B524" si="156">INDEX(H$3:H$11,H461)</f>
        <v>SOL_WIN_BAL_WASREN_NEW</v>
      </c>
      <c r="C461" t="str">
        <f t="shared" ref="C461:C524" si="157">INDEX(I$3:I$11,I461)</f>
        <v>POM C&amp;E</v>
      </c>
      <c r="D461">
        <f t="shared" ref="D461:D524" si="158">INDEX(J$3:J$11,J461)</f>
        <v>2045</v>
      </c>
      <c r="E461">
        <f t="shared" ref="E461:E524" si="159">INDEX($U$28:$AB$156,MATCH(K461,$Q$28:$Q$156,0),MATCH(D461,$U$26:$AB$26,0))</f>
        <v>10679.795467108899</v>
      </c>
      <c r="F461">
        <f t="shared" ref="F461:F524" si="160">MATCH(D461,$U$26:$AB$26,0)</f>
        <v>7</v>
      </c>
      <c r="H461">
        <f t="shared" si="153"/>
        <v>8</v>
      </c>
      <c r="I461">
        <f t="shared" si="154"/>
        <v>2</v>
      </c>
      <c r="J461">
        <f t="shared" si="155"/>
        <v>7</v>
      </c>
      <c r="K461" t="str">
        <f t="shared" ref="K461:K524" si="161">C461&amp;"."&amp;B461</f>
        <v>POM C&amp;E.SOL_WIN_BAL_WASREN_NEW</v>
      </c>
    </row>
    <row r="462" spans="2:11">
      <c r="B462" t="str">
        <f t="shared" si="156"/>
        <v>FSS_ELC_NEW</v>
      </c>
      <c r="C462" t="str">
        <f t="shared" si="157"/>
        <v>POM C&amp;E</v>
      </c>
      <c r="D462">
        <f t="shared" si="158"/>
        <v>2045</v>
      </c>
      <c r="E462">
        <f t="shared" si="159"/>
        <v>2786.3460475400775</v>
      </c>
      <c r="F462">
        <f t="shared" si="160"/>
        <v>7</v>
      </c>
      <c r="H462">
        <f t="shared" ref="H462:H525" si="162">IF(H461=COUNTA($H$3:$H$11),1,H461+1)</f>
        <v>9</v>
      </c>
      <c r="I462">
        <f t="shared" ref="I462:I525" si="163">IF(H462=1,IF(I461=COUNTA($I$3:$I$11),1,I461+1),I461)</f>
        <v>2</v>
      </c>
      <c r="J462">
        <f t="shared" ref="J462:J525" si="164">IF(AND(I462=1,I461&gt;1),IF(J461=$J$2,1,J461+1),J461)</f>
        <v>7</v>
      </c>
      <c r="K462" t="str">
        <f t="shared" si="161"/>
        <v>POM C&amp;E.FSS_ELC_NEW</v>
      </c>
    </row>
    <row r="463" spans="2:11">
      <c r="B463" t="str">
        <f t="shared" si="156"/>
        <v>HYD_TOT</v>
      </c>
      <c r="C463" t="str">
        <f t="shared" si="157"/>
        <v>POM E</v>
      </c>
      <c r="D463">
        <f t="shared" si="158"/>
        <v>2045</v>
      </c>
      <c r="E463">
        <f t="shared" si="159"/>
        <v>13713.02184130495</v>
      </c>
      <c r="F463">
        <f t="shared" si="160"/>
        <v>7</v>
      </c>
      <c r="H463">
        <f t="shared" si="162"/>
        <v>1</v>
      </c>
      <c r="I463">
        <f t="shared" si="163"/>
        <v>3</v>
      </c>
      <c r="J463">
        <f t="shared" si="164"/>
        <v>7</v>
      </c>
      <c r="K463" t="str">
        <f t="shared" si="161"/>
        <v>POM E.HYD_TOT</v>
      </c>
    </row>
    <row r="464" spans="2:11">
      <c r="B464" t="str">
        <f t="shared" si="156"/>
        <v>HYD_TOT_NEW</v>
      </c>
      <c r="C464" t="str">
        <f t="shared" si="157"/>
        <v>POM E</v>
      </c>
      <c r="D464">
        <f t="shared" si="158"/>
        <v>2045</v>
      </c>
      <c r="E464">
        <f t="shared" si="159"/>
        <v>4556.2620956593864</v>
      </c>
      <c r="F464">
        <f t="shared" si="160"/>
        <v>7</v>
      </c>
      <c r="H464">
        <f t="shared" si="162"/>
        <v>2</v>
      </c>
      <c r="I464">
        <f t="shared" si="163"/>
        <v>3</v>
      </c>
      <c r="J464">
        <f t="shared" si="164"/>
        <v>7</v>
      </c>
      <c r="K464" t="str">
        <f t="shared" si="161"/>
        <v>POM E.HYD_TOT_NEW</v>
      </c>
    </row>
    <row r="465" spans="2:11">
      <c r="B465" t="str">
        <f t="shared" si="156"/>
        <v>NUC_ELC</v>
      </c>
      <c r="C465" t="str">
        <f t="shared" si="157"/>
        <v>POM E</v>
      </c>
      <c r="D465">
        <f t="shared" si="158"/>
        <v>2045</v>
      </c>
      <c r="E465">
        <f t="shared" si="159"/>
        <v>0</v>
      </c>
      <c r="F465">
        <f t="shared" si="160"/>
        <v>7</v>
      </c>
      <c r="H465">
        <f t="shared" si="162"/>
        <v>3</v>
      </c>
      <c r="I465">
        <f t="shared" si="163"/>
        <v>3</v>
      </c>
      <c r="J465">
        <f t="shared" si="164"/>
        <v>7</v>
      </c>
      <c r="K465" t="str">
        <f t="shared" si="161"/>
        <v>POM E.NUC_ELC</v>
      </c>
    </row>
    <row r="466" spans="2:11">
      <c r="B466" t="str">
        <f t="shared" si="156"/>
        <v>FSS_ELC</v>
      </c>
      <c r="C466" t="str">
        <f t="shared" si="157"/>
        <v>POM E</v>
      </c>
      <c r="D466">
        <f t="shared" si="158"/>
        <v>2045</v>
      </c>
      <c r="E466">
        <f t="shared" si="159"/>
        <v>0</v>
      </c>
      <c r="F466">
        <f t="shared" si="160"/>
        <v>7</v>
      </c>
      <c r="H466">
        <f t="shared" si="162"/>
        <v>4</v>
      </c>
      <c r="I466">
        <f t="shared" si="163"/>
        <v>3</v>
      </c>
      <c r="J466">
        <f t="shared" si="164"/>
        <v>7</v>
      </c>
      <c r="K466" t="str">
        <f t="shared" si="161"/>
        <v>POM E.FSS_ELC</v>
      </c>
    </row>
    <row r="467" spans="2:11">
      <c r="B467" t="str">
        <f t="shared" si="156"/>
        <v>FSS_CHP</v>
      </c>
      <c r="C467" t="str">
        <f t="shared" si="157"/>
        <v>POM E</v>
      </c>
      <c r="D467">
        <f t="shared" si="158"/>
        <v>2045</v>
      </c>
      <c r="E467">
        <f t="shared" si="159"/>
        <v>0</v>
      </c>
      <c r="F467">
        <f t="shared" si="160"/>
        <v>7</v>
      </c>
      <c r="H467">
        <f t="shared" si="162"/>
        <v>5</v>
      </c>
      <c r="I467">
        <f t="shared" si="163"/>
        <v>3</v>
      </c>
      <c r="J467">
        <f t="shared" si="164"/>
        <v>7</v>
      </c>
      <c r="K467" t="str">
        <f t="shared" si="161"/>
        <v>POM E.FSS_CHP</v>
      </c>
    </row>
    <row r="468" spans="2:11">
      <c r="B468" t="str">
        <f t="shared" si="156"/>
        <v>SOL_WIN_BAL_WASREN</v>
      </c>
      <c r="C468" t="str">
        <f t="shared" si="157"/>
        <v>POM E</v>
      </c>
      <c r="D468">
        <f t="shared" si="158"/>
        <v>2045</v>
      </c>
      <c r="E468">
        <f t="shared" si="159"/>
        <v>0</v>
      </c>
      <c r="F468">
        <f t="shared" si="160"/>
        <v>7</v>
      </c>
      <c r="H468">
        <f t="shared" si="162"/>
        <v>6</v>
      </c>
      <c r="I468">
        <f t="shared" si="163"/>
        <v>3</v>
      </c>
      <c r="J468">
        <f t="shared" si="164"/>
        <v>7</v>
      </c>
      <c r="K468" t="str">
        <f t="shared" si="161"/>
        <v>POM E.SOL_WIN_BAL_WASREN</v>
      </c>
    </row>
    <row r="469" spans="2:11">
      <c r="B469" t="str">
        <f t="shared" si="156"/>
        <v>FSS_CHP_NEW</v>
      </c>
      <c r="C469" t="str">
        <f t="shared" si="157"/>
        <v>POM E</v>
      </c>
      <c r="D469">
        <f t="shared" si="158"/>
        <v>2045</v>
      </c>
      <c r="E469">
        <f t="shared" si="159"/>
        <v>707.76886922864253</v>
      </c>
      <c r="F469">
        <f t="shared" si="160"/>
        <v>7</v>
      </c>
      <c r="H469">
        <f t="shared" si="162"/>
        <v>7</v>
      </c>
      <c r="I469">
        <f t="shared" si="163"/>
        <v>3</v>
      </c>
      <c r="J469">
        <f t="shared" si="164"/>
        <v>7</v>
      </c>
      <c r="K469" t="str">
        <f t="shared" si="161"/>
        <v>POM E.FSS_CHP_NEW</v>
      </c>
    </row>
    <row r="470" spans="2:11">
      <c r="B470" t="str">
        <f t="shared" si="156"/>
        <v>SOL_WIN_BAL_WASREN_NEW</v>
      </c>
      <c r="C470" t="str">
        <f t="shared" si="157"/>
        <v>POM E</v>
      </c>
      <c r="D470">
        <f t="shared" si="158"/>
        <v>2045</v>
      </c>
      <c r="E470">
        <f t="shared" si="159"/>
        <v>10682.886369919823</v>
      </c>
      <c r="F470">
        <f t="shared" si="160"/>
        <v>7</v>
      </c>
      <c r="H470">
        <f t="shared" si="162"/>
        <v>8</v>
      </c>
      <c r="I470">
        <f t="shared" si="163"/>
        <v>3</v>
      </c>
      <c r="J470">
        <f t="shared" si="164"/>
        <v>7</v>
      </c>
      <c r="K470" t="str">
        <f t="shared" si="161"/>
        <v>POM E.SOL_WIN_BAL_WASREN_NEW</v>
      </c>
    </row>
    <row r="471" spans="2:11">
      <c r="B471" t="str">
        <f t="shared" si="156"/>
        <v>FSS_ELC_NEW</v>
      </c>
      <c r="C471" t="str">
        <f t="shared" si="157"/>
        <v>POM E</v>
      </c>
      <c r="D471">
        <f t="shared" si="158"/>
        <v>2045</v>
      </c>
      <c r="E471">
        <f t="shared" si="159"/>
        <v>0</v>
      </c>
      <c r="F471">
        <f t="shared" si="160"/>
        <v>7</v>
      </c>
      <c r="H471">
        <f t="shared" si="162"/>
        <v>9</v>
      </c>
      <c r="I471">
        <f t="shared" si="163"/>
        <v>3</v>
      </c>
      <c r="J471">
        <f t="shared" si="164"/>
        <v>7</v>
      </c>
      <c r="K471" t="str">
        <f t="shared" si="161"/>
        <v>POM E.FSS_ELC_NEW</v>
      </c>
    </row>
    <row r="472" spans="2:11">
      <c r="B472" t="str">
        <f t="shared" si="156"/>
        <v>HYD_TOT</v>
      </c>
      <c r="C472" t="str">
        <f t="shared" si="157"/>
        <v>NEP C</v>
      </c>
      <c r="D472">
        <f t="shared" si="158"/>
        <v>2045</v>
      </c>
      <c r="E472">
        <f t="shared" si="159"/>
        <v>13735.139618468344</v>
      </c>
      <c r="F472">
        <f t="shared" si="160"/>
        <v>7</v>
      </c>
      <c r="H472">
        <f t="shared" si="162"/>
        <v>1</v>
      </c>
      <c r="I472">
        <f t="shared" si="163"/>
        <v>4</v>
      </c>
      <c r="J472">
        <f t="shared" si="164"/>
        <v>7</v>
      </c>
      <c r="K472" t="str">
        <f t="shared" si="161"/>
        <v>NEP C.HYD_TOT</v>
      </c>
    </row>
    <row r="473" spans="2:11">
      <c r="B473" t="str">
        <f t="shared" si="156"/>
        <v>HYD_TOT_NEW</v>
      </c>
      <c r="C473" t="str">
        <f t="shared" si="157"/>
        <v>NEP C</v>
      </c>
      <c r="D473">
        <f t="shared" si="158"/>
        <v>2045</v>
      </c>
      <c r="E473">
        <f t="shared" si="159"/>
        <v>3914.9847940282002</v>
      </c>
      <c r="F473">
        <f t="shared" si="160"/>
        <v>7</v>
      </c>
      <c r="H473">
        <f t="shared" si="162"/>
        <v>2</v>
      </c>
      <c r="I473">
        <f t="shared" si="163"/>
        <v>4</v>
      </c>
      <c r="J473">
        <f t="shared" si="164"/>
        <v>7</v>
      </c>
      <c r="K473" t="str">
        <f t="shared" si="161"/>
        <v>NEP C.HYD_TOT_NEW</v>
      </c>
    </row>
    <row r="474" spans="2:11">
      <c r="B474" t="str">
        <f t="shared" si="156"/>
        <v>NUC_ELC</v>
      </c>
      <c r="C474" t="str">
        <f t="shared" si="157"/>
        <v>NEP C</v>
      </c>
      <c r="D474">
        <f t="shared" si="158"/>
        <v>2045</v>
      </c>
      <c r="E474">
        <f t="shared" si="159"/>
        <v>0</v>
      </c>
      <c r="F474">
        <f t="shared" si="160"/>
        <v>7</v>
      </c>
      <c r="H474">
        <f t="shared" si="162"/>
        <v>3</v>
      </c>
      <c r="I474">
        <f t="shared" si="163"/>
        <v>4</v>
      </c>
      <c r="J474">
        <f t="shared" si="164"/>
        <v>7</v>
      </c>
      <c r="K474" t="str">
        <f t="shared" si="161"/>
        <v>NEP C.NUC_ELC</v>
      </c>
    </row>
    <row r="475" spans="2:11">
      <c r="B475" t="str">
        <f t="shared" si="156"/>
        <v>FSS_ELC</v>
      </c>
      <c r="C475" t="str">
        <f t="shared" si="157"/>
        <v>NEP C</v>
      </c>
      <c r="D475">
        <f t="shared" si="158"/>
        <v>2045</v>
      </c>
      <c r="E475">
        <f t="shared" si="159"/>
        <v>0</v>
      </c>
      <c r="F475">
        <f t="shared" si="160"/>
        <v>7</v>
      </c>
      <c r="H475">
        <f t="shared" si="162"/>
        <v>4</v>
      </c>
      <c r="I475">
        <f t="shared" si="163"/>
        <v>4</v>
      </c>
      <c r="J475">
        <f t="shared" si="164"/>
        <v>7</v>
      </c>
      <c r="K475" t="str">
        <f t="shared" si="161"/>
        <v>NEP C.FSS_ELC</v>
      </c>
    </row>
    <row r="476" spans="2:11">
      <c r="B476" t="str">
        <f t="shared" si="156"/>
        <v>FSS_CHP</v>
      </c>
      <c r="C476" t="str">
        <f t="shared" si="157"/>
        <v>NEP C</v>
      </c>
      <c r="D476">
        <f t="shared" si="158"/>
        <v>2045</v>
      </c>
      <c r="E476">
        <f t="shared" si="159"/>
        <v>0</v>
      </c>
      <c r="F476">
        <f t="shared" si="160"/>
        <v>7</v>
      </c>
      <c r="H476">
        <f t="shared" si="162"/>
        <v>5</v>
      </c>
      <c r="I476">
        <f t="shared" si="163"/>
        <v>4</v>
      </c>
      <c r="J476">
        <f t="shared" si="164"/>
        <v>7</v>
      </c>
      <c r="K476" t="str">
        <f t="shared" si="161"/>
        <v>NEP C.FSS_CHP</v>
      </c>
    </row>
    <row r="477" spans="2:11">
      <c r="B477" t="str">
        <f t="shared" si="156"/>
        <v>SOL_WIN_BAL_WASREN</v>
      </c>
      <c r="C477" t="str">
        <f t="shared" si="157"/>
        <v>NEP C</v>
      </c>
      <c r="D477">
        <f t="shared" si="158"/>
        <v>2045</v>
      </c>
      <c r="E477">
        <f t="shared" si="159"/>
        <v>0</v>
      </c>
      <c r="F477">
        <f t="shared" si="160"/>
        <v>7</v>
      </c>
      <c r="H477">
        <f t="shared" si="162"/>
        <v>6</v>
      </c>
      <c r="I477">
        <f t="shared" si="163"/>
        <v>4</v>
      </c>
      <c r="J477">
        <f t="shared" si="164"/>
        <v>7</v>
      </c>
      <c r="K477" t="str">
        <f t="shared" si="161"/>
        <v>NEP C.SOL_WIN_BAL_WASREN</v>
      </c>
    </row>
    <row r="478" spans="2:11">
      <c r="B478" t="str">
        <f t="shared" si="156"/>
        <v>FSS_CHP_NEW</v>
      </c>
      <c r="C478" t="str">
        <f t="shared" si="157"/>
        <v>NEP C</v>
      </c>
      <c r="D478">
        <f t="shared" si="158"/>
        <v>2045</v>
      </c>
      <c r="E478">
        <f t="shared" si="159"/>
        <v>729.74841028476635</v>
      </c>
      <c r="F478">
        <f t="shared" si="160"/>
        <v>7</v>
      </c>
      <c r="H478">
        <f t="shared" si="162"/>
        <v>7</v>
      </c>
      <c r="I478">
        <f t="shared" si="163"/>
        <v>4</v>
      </c>
      <c r="J478">
        <f t="shared" si="164"/>
        <v>7</v>
      </c>
      <c r="K478" t="str">
        <f t="shared" si="161"/>
        <v>NEP C.FSS_CHP_NEW</v>
      </c>
    </row>
    <row r="479" spans="2:11">
      <c r="B479" t="str">
        <f t="shared" si="156"/>
        <v>SOL_WIN_BAL_WASREN_NEW</v>
      </c>
      <c r="C479" t="str">
        <f t="shared" si="157"/>
        <v>NEP C</v>
      </c>
      <c r="D479">
        <f t="shared" si="158"/>
        <v>2045</v>
      </c>
      <c r="E479">
        <f t="shared" si="159"/>
        <v>5020.8736521979545</v>
      </c>
      <c r="F479">
        <f t="shared" si="160"/>
        <v>7</v>
      </c>
      <c r="H479">
        <f t="shared" si="162"/>
        <v>8</v>
      </c>
      <c r="I479">
        <f t="shared" si="163"/>
        <v>4</v>
      </c>
      <c r="J479">
        <f t="shared" si="164"/>
        <v>7</v>
      </c>
      <c r="K479" t="str">
        <f t="shared" si="161"/>
        <v>NEP C.SOL_WIN_BAL_WASREN_NEW</v>
      </c>
    </row>
    <row r="480" spans="2:11">
      <c r="B480" t="str">
        <f t="shared" si="156"/>
        <v>FSS_ELC_NEW</v>
      </c>
      <c r="C480" t="str">
        <f t="shared" si="157"/>
        <v>NEP C</v>
      </c>
      <c r="D480">
        <f t="shared" si="158"/>
        <v>2045</v>
      </c>
      <c r="E480">
        <f t="shared" si="159"/>
        <v>2720.3483549903235</v>
      </c>
      <c r="F480">
        <f t="shared" si="160"/>
        <v>7</v>
      </c>
      <c r="H480">
        <f t="shared" si="162"/>
        <v>9</v>
      </c>
      <c r="I480">
        <f t="shared" si="163"/>
        <v>4</v>
      </c>
      <c r="J480">
        <f t="shared" si="164"/>
        <v>7</v>
      </c>
      <c r="K480" t="str">
        <f t="shared" si="161"/>
        <v>NEP C.FSS_ELC_NEW</v>
      </c>
    </row>
    <row r="481" spans="2:11">
      <c r="B481" t="str">
        <f t="shared" si="156"/>
        <v>HYD_TOT</v>
      </c>
      <c r="C481" t="str">
        <f t="shared" si="157"/>
        <v>NEP C&amp;E</v>
      </c>
      <c r="D481">
        <f t="shared" si="158"/>
        <v>2045</v>
      </c>
      <c r="E481">
        <f t="shared" si="159"/>
        <v>13735.139618468344</v>
      </c>
      <c r="F481">
        <f t="shared" si="160"/>
        <v>7</v>
      </c>
      <c r="H481">
        <f t="shared" si="162"/>
        <v>1</v>
      </c>
      <c r="I481">
        <f t="shared" si="163"/>
        <v>5</v>
      </c>
      <c r="J481">
        <f t="shared" si="164"/>
        <v>7</v>
      </c>
      <c r="K481" t="str">
        <f t="shared" si="161"/>
        <v>NEP C&amp;E.HYD_TOT</v>
      </c>
    </row>
    <row r="482" spans="2:11">
      <c r="B482" t="str">
        <f t="shared" si="156"/>
        <v>HYD_TOT_NEW</v>
      </c>
      <c r="C482" t="str">
        <f t="shared" si="157"/>
        <v>NEP C&amp;E</v>
      </c>
      <c r="D482">
        <f t="shared" si="158"/>
        <v>2045</v>
      </c>
      <c r="E482">
        <f t="shared" si="159"/>
        <v>4534.1443184959908</v>
      </c>
      <c r="F482">
        <f t="shared" si="160"/>
        <v>7</v>
      </c>
      <c r="H482">
        <f t="shared" si="162"/>
        <v>2</v>
      </c>
      <c r="I482">
        <f t="shared" si="163"/>
        <v>5</v>
      </c>
      <c r="J482">
        <f t="shared" si="164"/>
        <v>7</v>
      </c>
      <c r="K482" t="str">
        <f t="shared" si="161"/>
        <v>NEP C&amp;E.HYD_TOT_NEW</v>
      </c>
    </row>
    <row r="483" spans="2:11">
      <c r="B483" t="str">
        <f t="shared" si="156"/>
        <v>NUC_ELC</v>
      </c>
      <c r="C483" t="str">
        <f t="shared" si="157"/>
        <v>NEP C&amp;E</v>
      </c>
      <c r="D483">
        <f t="shared" si="158"/>
        <v>2045</v>
      </c>
      <c r="E483">
        <f t="shared" si="159"/>
        <v>0</v>
      </c>
      <c r="F483">
        <f t="shared" si="160"/>
        <v>7</v>
      </c>
      <c r="H483">
        <f t="shared" si="162"/>
        <v>3</v>
      </c>
      <c r="I483">
        <f t="shared" si="163"/>
        <v>5</v>
      </c>
      <c r="J483">
        <f t="shared" si="164"/>
        <v>7</v>
      </c>
      <c r="K483" t="str">
        <f t="shared" si="161"/>
        <v>NEP C&amp;E.NUC_ELC</v>
      </c>
    </row>
    <row r="484" spans="2:11">
      <c r="B484" t="str">
        <f t="shared" si="156"/>
        <v>FSS_ELC</v>
      </c>
      <c r="C484" t="str">
        <f t="shared" si="157"/>
        <v>NEP C&amp;E</v>
      </c>
      <c r="D484">
        <f t="shared" si="158"/>
        <v>2045</v>
      </c>
      <c r="E484">
        <f t="shared" si="159"/>
        <v>0</v>
      </c>
      <c r="F484">
        <f t="shared" si="160"/>
        <v>7</v>
      </c>
      <c r="H484">
        <f t="shared" si="162"/>
        <v>4</v>
      </c>
      <c r="I484">
        <f t="shared" si="163"/>
        <v>5</v>
      </c>
      <c r="J484">
        <f t="shared" si="164"/>
        <v>7</v>
      </c>
      <c r="K484" t="str">
        <f t="shared" si="161"/>
        <v>NEP C&amp;E.FSS_ELC</v>
      </c>
    </row>
    <row r="485" spans="2:11">
      <c r="B485" t="str">
        <f t="shared" si="156"/>
        <v>FSS_CHP</v>
      </c>
      <c r="C485" t="str">
        <f t="shared" si="157"/>
        <v>NEP C&amp;E</v>
      </c>
      <c r="D485">
        <f t="shared" si="158"/>
        <v>2045</v>
      </c>
      <c r="E485">
        <f t="shared" si="159"/>
        <v>0</v>
      </c>
      <c r="F485">
        <f t="shared" si="160"/>
        <v>7</v>
      </c>
      <c r="H485">
        <f t="shared" si="162"/>
        <v>5</v>
      </c>
      <c r="I485">
        <f t="shared" si="163"/>
        <v>5</v>
      </c>
      <c r="J485">
        <f t="shared" si="164"/>
        <v>7</v>
      </c>
      <c r="K485" t="str">
        <f t="shared" si="161"/>
        <v>NEP C&amp;E.FSS_CHP</v>
      </c>
    </row>
    <row r="486" spans="2:11">
      <c r="B486" t="str">
        <f t="shared" si="156"/>
        <v>SOL_WIN_BAL_WASREN</v>
      </c>
      <c r="C486" t="str">
        <f t="shared" si="157"/>
        <v>NEP C&amp;E</v>
      </c>
      <c r="D486">
        <f t="shared" si="158"/>
        <v>2045</v>
      </c>
      <c r="E486">
        <f t="shared" si="159"/>
        <v>0</v>
      </c>
      <c r="F486">
        <f t="shared" si="160"/>
        <v>7</v>
      </c>
      <c r="H486">
        <f t="shared" si="162"/>
        <v>6</v>
      </c>
      <c r="I486">
        <f t="shared" si="163"/>
        <v>5</v>
      </c>
      <c r="J486">
        <f t="shared" si="164"/>
        <v>7</v>
      </c>
      <c r="K486" t="str">
        <f t="shared" si="161"/>
        <v>NEP C&amp;E.SOL_WIN_BAL_WASREN</v>
      </c>
    </row>
    <row r="487" spans="2:11">
      <c r="B487" t="str">
        <f t="shared" si="156"/>
        <v>FSS_CHP_NEW</v>
      </c>
      <c r="C487" t="str">
        <f t="shared" si="157"/>
        <v>NEP C&amp;E</v>
      </c>
      <c r="D487">
        <f t="shared" si="158"/>
        <v>2045</v>
      </c>
      <c r="E487">
        <f t="shared" si="159"/>
        <v>730.02488249930877</v>
      </c>
      <c r="F487">
        <f t="shared" si="160"/>
        <v>7</v>
      </c>
      <c r="H487">
        <f t="shared" si="162"/>
        <v>7</v>
      </c>
      <c r="I487">
        <f t="shared" si="163"/>
        <v>5</v>
      </c>
      <c r="J487">
        <f t="shared" si="164"/>
        <v>7</v>
      </c>
      <c r="K487" t="str">
        <f t="shared" si="161"/>
        <v>NEP C&amp;E.FSS_CHP_NEW</v>
      </c>
    </row>
    <row r="488" spans="2:11">
      <c r="B488" t="str">
        <f t="shared" si="156"/>
        <v>SOL_WIN_BAL_WASREN_NEW</v>
      </c>
      <c r="C488" t="str">
        <f t="shared" si="157"/>
        <v>NEP C&amp;E</v>
      </c>
      <c r="D488">
        <f t="shared" si="158"/>
        <v>2045</v>
      </c>
      <c r="E488">
        <f t="shared" si="159"/>
        <v>10704.865910975946</v>
      </c>
      <c r="F488">
        <f t="shared" si="160"/>
        <v>7</v>
      </c>
      <c r="H488">
        <f t="shared" si="162"/>
        <v>8</v>
      </c>
      <c r="I488">
        <f t="shared" si="163"/>
        <v>5</v>
      </c>
      <c r="J488">
        <f t="shared" si="164"/>
        <v>7</v>
      </c>
      <c r="K488" t="str">
        <f t="shared" si="161"/>
        <v>NEP C&amp;E.SOL_WIN_BAL_WASREN_NEW</v>
      </c>
    </row>
    <row r="489" spans="2:11">
      <c r="B489" t="str">
        <f t="shared" si="156"/>
        <v>FSS_ELC_NEW</v>
      </c>
      <c r="C489" t="str">
        <f t="shared" si="157"/>
        <v>NEP C&amp;E</v>
      </c>
      <c r="D489">
        <f t="shared" si="158"/>
        <v>2045</v>
      </c>
      <c r="E489">
        <f t="shared" si="159"/>
        <v>2234.0337296101743</v>
      </c>
      <c r="F489">
        <f t="shared" si="160"/>
        <v>7</v>
      </c>
      <c r="H489">
        <f t="shared" si="162"/>
        <v>9</v>
      </c>
      <c r="I489">
        <f t="shared" si="163"/>
        <v>5</v>
      </c>
      <c r="J489">
        <f t="shared" si="164"/>
        <v>7</v>
      </c>
      <c r="K489" t="str">
        <f t="shared" si="161"/>
        <v>NEP C&amp;E.FSS_ELC_NEW</v>
      </c>
    </row>
    <row r="490" spans="2:11">
      <c r="B490" t="str">
        <f t="shared" si="156"/>
        <v>HYD_TOT</v>
      </c>
      <c r="C490" t="str">
        <f t="shared" si="157"/>
        <v>NEP E</v>
      </c>
      <c r="D490">
        <f t="shared" si="158"/>
        <v>2045</v>
      </c>
      <c r="E490">
        <f t="shared" si="159"/>
        <v>13735.139618468344</v>
      </c>
      <c r="F490">
        <f t="shared" si="160"/>
        <v>7</v>
      </c>
      <c r="H490">
        <f t="shared" si="162"/>
        <v>1</v>
      </c>
      <c r="I490">
        <f t="shared" si="163"/>
        <v>6</v>
      </c>
      <c r="J490">
        <f t="shared" si="164"/>
        <v>7</v>
      </c>
      <c r="K490" t="str">
        <f t="shared" si="161"/>
        <v>NEP E.HYD_TOT</v>
      </c>
    </row>
    <row r="491" spans="2:11">
      <c r="B491" t="str">
        <f t="shared" si="156"/>
        <v>HYD_TOT_NEW</v>
      </c>
      <c r="C491" t="str">
        <f t="shared" si="157"/>
        <v>NEP E</v>
      </c>
      <c r="D491">
        <f t="shared" si="158"/>
        <v>2045</v>
      </c>
      <c r="E491">
        <f t="shared" si="159"/>
        <v>4556.2620956593864</v>
      </c>
      <c r="F491">
        <f t="shared" si="160"/>
        <v>7</v>
      </c>
      <c r="H491">
        <f t="shared" si="162"/>
        <v>2</v>
      </c>
      <c r="I491">
        <f t="shared" si="163"/>
        <v>6</v>
      </c>
      <c r="J491">
        <f t="shared" si="164"/>
        <v>7</v>
      </c>
      <c r="K491" t="str">
        <f t="shared" si="161"/>
        <v>NEP E.HYD_TOT_NEW</v>
      </c>
    </row>
    <row r="492" spans="2:11">
      <c r="B492" t="str">
        <f t="shared" si="156"/>
        <v>NUC_ELC</v>
      </c>
      <c r="C492" t="str">
        <f t="shared" si="157"/>
        <v>NEP E</v>
      </c>
      <c r="D492">
        <f t="shared" si="158"/>
        <v>2045</v>
      </c>
      <c r="E492">
        <f t="shared" si="159"/>
        <v>0</v>
      </c>
      <c r="F492">
        <f t="shared" si="160"/>
        <v>7</v>
      </c>
      <c r="H492">
        <f t="shared" si="162"/>
        <v>3</v>
      </c>
      <c r="I492">
        <f t="shared" si="163"/>
        <v>6</v>
      </c>
      <c r="J492">
        <f t="shared" si="164"/>
        <v>7</v>
      </c>
      <c r="K492" t="str">
        <f t="shared" si="161"/>
        <v>NEP E.NUC_ELC</v>
      </c>
    </row>
    <row r="493" spans="2:11">
      <c r="B493" t="str">
        <f t="shared" si="156"/>
        <v>FSS_ELC</v>
      </c>
      <c r="C493" t="str">
        <f t="shared" si="157"/>
        <v>NEP E</v>
      </c>
      <c r="D493">
        <f t="shared" si="158"/>
        <v>2045</v>
      </c>
      <c r="E493">
        <f t="shared" si="159"/>
        <v>0</v>
      </c>
      <c r="F493">
        <f t="shared" si="160"/>
        <v>7</v>
      </c>
      <c r="H493">
        <f t="shared" si="162"/>
        <v>4</v>
      </c>
      <c r="I493">
        <f t="shared" si="163"/>
        <v>6</v>
      </c>
      <c r="J493">
        <f t="shared" si="164"/>
        <v>7</v>
      </c>
      <c r="K493" t="str">
        <f t="shared" si="161"/>
        <v>NEP E.FSS_ELC</v>
      </c>
    </row>
    <row r="494" spans="2:11">
      <c r="B494" t="str">
        <f t="shared" si="156"/>
        <v>FSS_CHP</v>
      </c>
      <c r="C494" t="str">
        <f t="shared" si="157"/>
        <v>NEP E</v>
      </c>
      <c r="D494">
        <f t="shared" si="158"/>
        <v>2045</v>
      </c>
      <c r="E494">
        <f t="shared" si="159"/>
        <v>0</v>
      </c>
      <c r="F494">
        <f t="shared" si="160"/>
        <v>7</v>
      </c>
      <c r="H494">
        <f t="shared" si="162"/>
        <v>5</v>
      </c>
      <c r="I494">
        <f t="shared" si="163"/>
        <v>6</v>
      </c>
      <c r="J494">
        <f t="shared" si="164"/>
        <v>7</v>
      </c>
      <c r="K494" t="str">
        <f t="shared" si="161"/>
        <v>NEP E.FSS_CHP</v>
      </c>
    </row>
    <row r="495" spans="2:11">
      <c r="B495" t="str">
        <f t="shared" si="156"/>
        <v>SOL_WIN_BAL_WASREN</v>
      </c>
      <c r="C495" t="str">
        <f t="shared" si="157"/>
        <v>NEP E</v>
      </c>
      <c r="D495">
        <f t="shared" si="158"/>
        <v>2045</v>
      </c>
      <c r="E495">
        <f t="shared" si="159"/>
        <v>0</v>
      </c>
      <c r="F495">
        <f t="shared" si="160"/>
        <v>7</v>
      </c>
      <c r="H495">
        <f t="shared" si="162"/>
        <v>6</v>
      </c>
      <c r="I495">
        <f t="shared" si="163"/>
        <v>6</v>
      </c>
      <c r="J495">
        <f t="shared" si="164"/>
        <v>7</v>
      </c>
      <c r="K495" t="str">
        <f t="shared" si="161"/>
        <v>NEP E.SOL_WIN_BAL_WASREN</v>
      </c>
    </row>
    <row r="496" spans="2:11">
      <c r="B496" t="str">
        <f t="shared" si="156"/>
        <v>FSS_CHP_NEW</v>
      </c>
      <c r="C496" t="str">
        <f t="shared" si="157"/>
        <v>NEP E</v>
      </c>
      <c r="D496">
        <f t="shared" si="158"/>
        <v>2045</v>
      </c>
      <c r="E496">
        <f t="shared" si="159"/>
        <v>729.88664639203762</v>
      </c>
      <c r="F496">
        <f t="shared" si="160"/>
        <v>7</v>
      </c>
      <c r="H496">
        <f t="shared" si="162"/>
        <v>7</v>
      </c>
      <c r="I496">
        <f t="shared" si="163"/>
        <v>6</v>
      </c>
      <c r="J496">
        <f t="shared" si="164"/>
        <v>7</v>
      </c>
      <c r="K496" t="str">
        <f t="shared" si="161"/>
        <v>NEP E.FSS_CHP_NEW</v>
      </c>
    </row>
    <row r="497" spans="2:11">
      <c r="B497" t="str">
        <f t="shared" si="156"/>
        <v>SOL_WIN_BAL_WASREN_NEW</v>
      </c>
      <c r="C497" t="str">
        <f t="shared" si="157"/>
        <v>NEP E</v>
      </c>
      <c r="D497">
        <f t="shared" si="158"/>
        <v>2045</v>
      </c>
      <c r="E497">
        <f t="shared" si="159"/>
        <v>10683.024606027095</v>
      </c>
      <c r="F497">
        <f t="shared" si="160"/>
        <v>7</v>
      </c>
      <c r="H497">
        <f t="shared" si="162"/>
        <v>8</v>
      </c>
      <c r="I497">
        <f t="shared" si="163"/>
        <v>6</v>
      </c>
      <c r="J497">
        <f t="shared" si="164"/>
        <v>7</v>
      </c>
      <c r="K497" t="str">
        <f t="shared" si="161"/>
        <v>NEP E.SOL_WIN_BAL_WASREN_NEW</v>
      </c>
    </row>
    <row r="498" spans="2:11">
      <c r="B498" t="str">
        <f t="shared" si="156"/>
        <v>FSS_ELC_NEW</v>
      </c>
      <c r="C498" t="str">
        <f t="shared" si="157"/>
        <v>NEP E</v>
      </c>
      <c r="D498">
        <f t="shared" si="158"/>
        <v>2045</v>
      </c>
      <c r="E498">
        <f t="shared" si="159"/>
        <v>0</v>
      </c>
      <c r="F498">
        <f t="shared" si="160"/>
        <v>7</v>
      </c>
      <c r="H498">
        <f t="shared" si="162"/>
        <v>9</v>
      </c>
      <c r="I498">
        <f t="shared" si="163"/>
        <v>6</v>
      </c>
      <c r="J498">
        <f t="shared" si="164"/>
        <v>7</v>
      </c>
      <c r="K498" t="str">
        <f t="shared" si="161"/>
        <v>NEP E.FSS_ELC_NEW</v>
      </c>
    </row>
    <row r="499" spans="2:11">
      <c r="B499" t="str">
        <f t="shared" si="156"/>
        <v>HYD_TOT</v>
      </c>
      <c r="C499" t="str">
        <f t="shared" si="157"/>
        <v>WWB C</v>
      </c>
      <c r="D499">
        <f t="shared" si="158"/>
        <v>2045</v>
      </c>
      <c r="E499">
        <f t="shared" si="159"/>
        <v>13779.375172795135</v>
      </c>
      <c r="F499">
        <f t="shared" si="160"/>
        <v>7</v>
      </c>
      <c r="H499">
        <f t="shared" si="162"/>
        <v>1</v>
      </c>
      <c r="I499">
        <f t="shared" si="163"/>
        <v>7</v>
      </c>
      <c r="J499">
        <f t="shared" si="164"/>
        <v>7</v>
      </c>
      <c r="K499" t="str">
        <f t="shared" si="161"/>
        <v>WWB C.HYD_TOT</v>
      </c>
    </row>
    <row r="500" spans="2:11">
      <c r="B500" t="str">
        <f t="shared" si="156"/>
        <v>HYD_TOT_NEW</v>
      </c>
      <c r="C500" t="str">
        <f t="shared" si="157"/>
        <v>WWB C</v>
      </c>
      <c r="D500">
        <f t="shared" si="158"/>
        <v>2045</v>
      </c>
      <c r="E500">
        <f t="shared" si="159"/>
        <v>3914.8465579209292</v>
      </c>
      <c r="F500">
        <f t="shared" si="160"/>
        <v>7</v>
      </c>
      <c r="H500">
        <f t="shared" si="162"/>
        <v>2</v>
      </c>
      <c r="I500">
        <f t="shared" si="163"/>
        <v>7</v>
      </c>
      <c r="J500">
        <f t="shared" si="164"/>
        <v>7</v>
      </c>
      <c r="K500" t="str">
        <f t="shared" si="161"/>
        <v>WWB C.HYD_TOT_NEW</v>
      </c>
    </row>
    <row r="501" spans="2:11">
      <c r="B501" t="str">
        <f t="shared" si="156"/>
        <v>NUC_ELC</v>
      </c>
      <c r="C501" t="str">
        <f t="shared" si="157"/>
        <v>WWB C</v>
      </c>
      <c r="D501">
        <f t="shared" si="158"/>
        <v>2045</v>
      </c>
      <c r="E501">
        <f t="shared" si="159"/>
        <v>0</v>
      </c>
      <c r="F501">
        <f t="shared" si="160"/>
        <v>7</v>
      </c>
      <c r="H501">
        <f t="shared" si="162"/>
        <v>3</v>
      </c>
      <c r="I501">
        <f t="shared" si="163"/>
        <v>7</v>
      </c>
      <c r="J501">
        <f t="shared" si="164"/>
        <v>7</v>
      </c>
      <c r="K501" t="str">
        <f t="shared" si="161"/>
        <v>WWB C.NUC_ELC</v>
      </c>
    </row>
    <row r="502" spans="2:11">
      <c r="B502" t="str">
        <f t="shared" si="156"/>
        <v>FSS_ELC</v>
      </c>
      <c r="C502" t="str">
        <f t="shared" si="157"/>
        <v>WWB C</v>
      </c>
      <c r="D502">
        <f t="shared" si="158"/>
        <v>2045</v>
      </c>
      <c r="E502">
        <f t="shared" si="159"/>
        <v>0</v>
      </c>
      <c r="F502">
        <f t="shared" si="160"/>
        <v>7</v>
      </c>
      <c r="H502">
        <f t="shared" si="162"/>
        <v>4</v>
      </c>
      <c r="I502">
        <f t="shared" si="163"/>
        <v>7</v>
      </c>
      <c r="J502">
        <f t="shared" si="164"/>
        <v>7</v>
      </c>
      <c r="K502" t="str">
        <f t="shared" si="161"/>
        <v>WWB C.FSS_ELC</v>
      </c>
    </row>
    <row r="503" spans="2:11">
      <c r="B503" t="str">
        <f t="shared" si="156"/>
        <v>FSS_CHP</v>
      </c>
      <c r="C503" t="str">
        <f t="shared" si="157"/>
        <v>WWB C</v>
      </c>
      <c r="D503">
        <f t="shared" si="158"/>
        <v>2045</v>
      </c>
      <c r="E503">
        <f t="shared" si="159"/>
        <v>0</v>
      </c>
      <c r="F503">
        <f t="shared" si="160"/>
        <v>7</v>
      </c>
      <c r="H503">
        <f t="shared" si="162"/>
        <v>5</v>
      </c>
      <c r="I503">
        <f t="shared" si="163"/>
        <v>7</v>
      </c>
      <c r="J503">
        <f t="shared" si="164"/>
        <v>7</v>
      </c>
      <c r="K503" t="str">
        <f t="shared" si="161"/>
        <v>WWB C.FSS_CHP</v>
      </c>
    </row>
    <row r="504" spans="2:11">
      <c r="B504" t="str">
        <f t="shared" si="156"/>
        <v>SOL_WIN_BAL_WASREN</v>
      </c>
      <c r="C504" t="str">
        <f t="shared" si="157"/>
        <v>WWB C</v>
      </c>
      <c r="D504">
        <f t="shared" si="158"/>
        <v>2045</v>
      </c>
      <c r="E504">
        <f t="shared" si="159"/>
        <v>0</v>
      </c>
      <c r="F504">
        <f t="shared" si="160"/>
        <v>7</v>
      </c>
      <c r="H504">
        <f t="shared" si="162"/>
        <v>6</v>
      </c>
      <c r="I504">
        <f t="shared" si="163"/>
        <v>7</v>
      </c>
      <c r="J504">
        <f t="shared" si="164"/>
        <v>7</v>
      </c>
      <c r="K504" t="str">
        <f t="shared" si="161"/>
        <v>WWB C.SOL_WIN_BAL_WASREN</v>
      </c>
    </row>
    <row r="505" spans="2:11">
      <c r="B505" t="str">
        <f t="shared" si="156"/>
        <v>FSS_CHP_NEW</v>
      </c>
      <c r="C505" t="str">
        <f t="shared" si="157"/>
        <v>WWB C</v>
      </c>
      <c r="D505">
        <f t="shared" si="158"/>
        <v>2045</v>
      </c>
      <c r="E505">
        <f t="shared" si="159"/>
        <v>707.76886922864253</v>
      </c>
      <c r="F505">
        <f t="shared" si="160"/>
        <v>7</v>
      </c>
      <c r="H505">
        <f t="shared" si="162"/>
        <v>7</v>
      </c>
      <c r="I505">
        <f t="shared" si="163"/>
        <v>7</v>
      </c>
      <c r="J505">
        <f t="shared" si="164"/>
        <v>7</v>
      </c>
      <c r="K505" t="str">
        <f t="shared" si="161"/>
        <v>WWB C.FSS_CHP_NEW</v>
      </c>
    </row>
    <row r="506" spans="2:11">
      <c r="B506" t="str">
        <f t="shared" si="156"/>
        <v>SOL_WIN_BAL_WASREN_NEW</v>
      </c>
      <c r="C506" t="str">
        <f t="shared" si="157"/>
        <v>WWB C</v>
      </c>
      <c r="D506">
        <f t="shared" si="158"/>
        <v>2045</v>
      </c>
      <c r="E506">
        <f t="shared" si="159"/>
        <v>5042.8531932540782</v>
      </c>
      <c r="F506">
        <f t="shared" si="160"/>
        <v>7</v>
      </c>
      <c r="H506">
        <f t="shared" si="162"/>
        <v>8</v>
      </c>
      <c r="I506">
        <f t="shared" si="163"/>
        <v>7</v>
      </c>
      <c r="J506">
        <f t="shared" si="164"/>
        <v>7</v>
      </c>
      <c r="K506" t="str">
        <f t="shared" si="161"/>
        <v>WWB C.SOL_WIN_BAL_WASREN_NEW</v>
      </c>
    </row>
    <row r="507" spans="2:11">
      <c r="B507" t="str">
        <f t="shared" si="156"/>
        <v>FSS_ELC_NEW</v>
      </c>
      <c r="C507" t="str">
        <f t="shared" si="157"/>
        <v>WWB C</v>
      </c>
      <c r="D507">
        <f t="shared" si="158"/>
        <v>2045</v>
      </c>
      <c r="E507">
        <f t="shared" si="159"/>
        <v>4401.5758916228915</v>
      </c>
      <c r="F507">
        <f t="shared" si="160"/>
        <v>7</v>
      </c>
      <c r="H507">
        <f t="shared" si="162"/>
        <v>9</v>
      </c>
      <c r="I507">
        <f t="shared" si="163"/>
        <v>7</v>
      </c>
      <c r="J507">
        <f t="shared" si="164"/>
        <v>7</v>
      </c>
      <c r="K507" t="str">
        <f t="shared" si="161"/>
        <v>WWB C.FSS_ELC_NEW</v>
      </c>
    </row>
    <row r="508" spans="2:11">
      <c r="B508" t="str">
        <f t="shared" si="156"/>
        <v>HYD_TOT</v>
      </c>
      <c r="C508" t="str">
        <f t="shared" si="157"/>
        <v>WWB C&amp;E</v>
      </c>
      <c r="D508">
        <f t="shared" si="158"/>
        <v>2045</v>
      </c>
      <c r="E508">
        <f t="shared" si="159"/>
        <v>13757.395631739009</v>
      </c>
      <c r="F508">
        <f t="shared" si="160"/>
        <v>7</v>
      </c>
      <c r="H508">
        <f t="shared" si="162"/>
        <v>1</v>
      </c>
      <c r="I508">
        <f t="shared" si="163"/>
        <v>8</v>
      </c>
      <c r="J508">
        <f t="shared" si="164"/>
        <v>7</v>
      </c>
      <c r="K508" t="str">
        <f t="shared" si="161"/>
        <v>WWB C&amp;E.HYD_TOT</v>
      </c>
    </row>
    <row r="509" spans="2:11">
      <c r="B509" t="str">
        <f t="shared" si="156"/>
        <v>HYD_TOT_NEW</v>
      </c>
      <c r="C509" t="str">
        <f t="shared" si="157"/>
        <v>WWB C&amp;E</v>
      </c>
      <c r="D509">
        <f t="shared" si="158"/>
        <v>2045</v>
      </c>
      <c r="E509">
        <f t="shared" si="159"/>
        <v>4556.1238595521154</v>
      </c>
      <c r="F509">
        <f t="shared" si="160"/>
        <v>7</v>
      </c>
      <c r="H509">
        <f t="shared" si="162"/>
        <v>2</v>
      </c>
      <c r="I509">
        <f t="shared" si="163"/>
        <v>8</v>
      </c>
      <c r="J509">
        <f t="shared" si="164"/>
        <v>7</v>
      </c>
      <c r="K509" t="str">
        <f t="shared" si="161"/>
        <v>WWB C&amp;E.HYD_TOT_NEW</v>
      </c>
    </row>
    <row r="510" spans="2:11">
      <c r="B510" t="str">
        <f t="shared" si="156"/>
        <v>NUC_ELC</v>
      </c>
      <c r="C510" t="str">
        <f t="shared" si="157"/>
        <v>WWB C&amp;E</v>
      </c>
      <c r="D510">
        <f t="shared" si="158"/>
        <v>2045</v>
      </c>
      <c r="E510">
        <f t="shared" si="159"/>
        <v>0</v>
      </c>
      <c r="F510">
        <f t="shared" si="160"/>
        <v>7</v>
      </c>
      <c r="H510">
        <f t="shared" si="162"/>
        <v>3</v>
      </c>
      <c r="I510">
        <f t="shared" si="163"/>
        <v>8</v>
      </c>
      <c r="J510">
        <f t="shared" si="164"/>
        <v>7</v>
      </c>
      <c r="K510" t="str">
        <f t="shared" si="161"/>
        <v>WWB C&amp;E.NUC_ELC</v>
      </c>
    </row>
    <row r="511" spans="2:11">
      <c r="B511" t="str">
        <f t="shared" si="156"/>
        <v>FSS_ELC</v>
      </c>
      <c r="C511" t="str">
        <f t="shared" si="157"/>
        <v>WWB C&amp;E</v>
      </c>
      <c r="D511">
        <f t="shared" si="158"/>
        <v>2045</v>
      </c>
      <c r="E511">
        <f t="shared" si="159"/>
        <v>0</v>
      </c>
      <c r="F511">
        <f t="shared" si="160"/>
        <v>7</v>
      </c>
      <c r="H511">
        <f t="shared" si="162"/>
        <v>4</v>
      </c>
      <c r="I511">
        <f t="shared" si="163"/>
        <v>8</v>
      </c>
      <c r="J511">
        <f t="shared" si="164"/>
        <v>7</v>
      </c>
      <c r="K511" t="str">
        <f t="shared" si="161"/>
        <v>WWB C&amp;E.FSS_ELC</v>
      </c>
    </row>
    <row r="512" spans="2:11">
      <c r="B512" t="str">
        <f t="shared" si="156"/>
        <v>FSS_CHP</v>
      </c>
      <c r="C512" t="str">
        <f t="shared" si="157"/>
        <v>WWB C&amp;E</v>
      </c>
      <c r="D512">
        <f t="shared" si="158"/>
        <v>2045</v>
      </c>
      <c r="E512">
        <f t="shared" si="159"/>
        <v>0</v>
      </c>
      <c r="F512">
        <f t="shared" si="160"/>
        <v>7</v>
      </c>
      <c r="H512">
        <f t="shared" si="162"/>
        <v>5</v>
      </c>
      <c r="I512">
        <f t="shared" si="163"/>
        <v>8</v>
      </c>
      <c r="J512">
        <f t="shared" si="164"/>
        <v>7</v>
      </c>
      <c r="K512" t="str">
        <f t="shared" si="161"/>
        <v>WWB C&amp;E.FSS_CHP</v>
      </c>
    </row>
    <row r="513" spans="2:11">
      <c r="B513" t="str">
        <f t="shared" si="156"/>
        <v>SOL_WIN_BAL_WASREN</v>
      </c>
      <c r="C513" t="str">
        <f t="shared" si="157"/>
        <v>WWB C&amp;E</v>
      </c>
      <c r="D513">
        <f t="shared" si="158"/>
        <v>2045</v>
      </c>
      <c r="E513">
        <f t="shared" si="159"/>
        <v>0</v>
      </c>
      <c r="F513">
        <f t="shared" si="160"/>
        <v>7</v>
      </c>
      <c r="H513">
        <f t="shared" si="162"/>
        <v>6</v>
      </c>
      <c r="I513">
        <f t="shared" si="163"/>
        <v>8</v>
      </c>
      <c r="J513">
        <f t="shared" si="164"/>
        <v>7</v>
      </c>
      <c r="K513" t="str">
        <f t="shared" si="161"/>
        <v>WWB C&amp;E.SOL_WIN_BAL_WASREN</v>
      </c>
    </row>
    <row r="514" spans="2:11">
      <c r="B514" t="str">
        <f t="shared" si="156"/>
        <v>FSS_CHP_NEW</v>
      </c>
      <c r="C514" t="str">
        <f t="shared" si="157"/>
        <v>WWB C&amp;E</v>
      </c>
      <c r="D514">
        <f t="shared" si="158"/>
        <v>2045</v>
      </c>
      <c r="E514">
        <f t="shared" si="159"/>
        <v>707.76886922864253</v>
      </c>
      <c r="F514">
        <f t="shared" si="160"/>
        <v>7</v>
      </c>
      <c r="H514">
        <f t="shared" si="162"/>
        <v>7</v>
      </c>
      <c r="I514">
        <f t="shared" si="163"/>
        <v>8</v>
      </c>
      <c r="J514">
        <f t="shared" si="164"/>
        <v>7</v>
      </c>
      <c r="K514" t="str">
        <f t="shared" si="161"/>
        <v>WWB C&amp;E.FSS_CHP_NEW</v>
      </c>
    </row>
    <row r="515" spans="2:11">
      <c r="B515" t="str">
        <f t="shared" si="156"/>
        <v>SOL_WIN_BAL_WASREN_NEW</v>
      </c>
      <c r="C515" t="str">
        <f t="shared" si="157"/>
        <v>WWB C&amp;E</v>
      </c>
      <c r="D515">
        <f t="shared" si="158"/>
        <v>2045</v>
      </c>
      <c r="E515">
        <f t="shared" si="159"/>
        <v>10727.121924246614</v>
      </c>
      <c r="F515">
        <f t="shared" si="160"/>
        <v>7</v>
      </c>
      <c r="H515">
        <f t="shared" si="162"/>
        <v>8</v>
      </c>
      <c r="I515">
        <f t="shared" si="163"/>
        <v>8</v>
      </c>
      <c r="J515">
        <f t="shared" si="164"/>
        <v>7</v>
      </c>
      <c r="K515" t="str">
        <f t="shared" si="161"/>
        <v>WWB C&amp;E.SOL_WIN_BAL_WASREN_NEW</v>
      </c>
    </row>
    <row r="516" spans="2:11">
      <c r="B516" t="str">
        <f t="shared" si="156"/>
        <v>FSS_ELC_NEW</v>
      </c>
      <c r="C516" t="str">
        <f t="shared" si="157"/>
        <v>WWB C&amp;E</v>
      </c>
      <c r="D516">
        <f t="shared" si="158"/>
        <v>2045</v>
      </c>
      <c r="E516">
        <f t="shared" si="159"/>
        <v>3362.0403649433233</v>
      </c>
      <c r="F516">
        <f t="shared" si="160"/>
        <v>7</v>
      </c>
      <c r="H516">
        <f t="shared" si="162"/>
        <v>9</v>
      </c>
      <c r="I516">
        <f t="shared" si="163"/>
        <v>8</v>
      </c>
      <c r="J516">
        <f t="shared" si="164"/>
        <v>7</v>
      </c>
      <c r="K516" t="str">
        <f t="shared" si="161"/>
        <v>WWB C&amp;E.FSS_ELC_NEW</v>
      </c>
    </row>
    <row r="517" spans="2:11">
      <c r="B517" t="str">
        <f t="shared" si="156"/>
        <v>HYD_TOT</v>
      </c>
      <c r="C517" t="str">
        <f t="shared" si="157"/>
        <v>POM C</v>
      </c>
      <c r="D517">
        <f t="shared" si="158"/>
        <v>2050</v>
      </c>
      <c r="E517">
        <f t="shared" si="159"/>
        <v>13709.231619679382</v>
      </c>
      <c r="F517">
        <f t="shared" si="160"/>
        <v>8</v>
      </c>
      <c r="H517">
        <f t="shared" si="162"/>
        <v>1</v>
      </c>
      <c r="I517">
        <f t="shared" si="163"/>
        <v>1</v>
      </c>
      <c r="J517">
        <f t="shared" si="164"/>
        <v>8</v>
      </c>
      <c r="K517" t="str">
        <f t="shared" si="161"/>
        <v>POM C.HYD_TOT</v>
      </c>
    </row>
    <row r="518" spans="2:11">
      <c r="B518" t="str">
        <f t="shared" si="156"/>
        <v>HYD_TOT_NEW</v>
      </c>
      <c r="C518" t="str">
        <f t="shared" si="157"/>
        <v>POM C</v>
      </c>
      <c r="D518">
        <f t="shared" si="158"/>
        <v>2050</v>
      </c>
      <c r="E518">
        <f t="shared" si="159"/>
        <v>4002.3493642896628</v>
      </c>
      <c r="F518">
        <f t="shared" si="160"/>
        <v>8</v>
      </c>
      <c r="H518">
        <f t="shared" si="162"/>
        <v>2</v>
      </c>
      <c r="I518">
        <f t="shared" si="163"/>
        <v>1</v>
      </c>
      <c r="J518">
        <f t="shared" si="164"/>
        <v>8</v>
      </c>
      <c r="K518" t="str">
        <f t="shared" si="161"/>
        <v>POM C.HYD_TOT_NEW</v>
      </c>
    </row>
    <row r="519" spans="2:11">
      <c r="B519" t="str">
        <f t="shared" si="156"/>
        <v>NUC_ELC</v>
      </c>
      <c r="C519" t="str">
        <f t="shared" si="157"/>
        <v>POM C</v>
      </c>
      <c r="D519">
        <f t="shared" si="158"/>
        <v>2050</v>
      </c>
      <c r="E519">
        <f t="shared" si="159"/>
        <v>0</v>
      </c>
      <c r="F519">
        <f t="shared" si="160"/>
        <v>8</v>
      </c>
      <c r="H519">
        <f t="shared" si="162"/>
        <v>3</v>
      </c>
      <c r="I519">
        <f t="shared" si="163"/>
        <v>1</v>
      </c>
      <c r="J519">
        <f t="shared" si="164"/>
        <v>8</v>
      </c>
      <c r="K519" t="str">
        <f t="shared" si="161"/>
        <v>POM C.NUC_ELC</v>
      </c>
    </row>
    <row r="520" spans="2:11">
      <c r="B520" t="str">
        <f t="shared" si="156"/>
        <v>FSS_ELC</v>
      </c>
      <c r="C520" t="str">
        <f t="shared" si="157"/>
        <v>POM C</v>
      </c>
      <c r="D520">
        <f t="shared" si="158"/>
        <v>2050</v>
      </c>
      <c r="E520">
        <f t="shared" si="159"/>
        <v>0</v>
      </c>
      <c r="F520">
        <f t="shared" si="160"/>
        <v>8</v>
      </c>
      <c r="H520">
        <f t="shared" si="162"/>
        <v>4</v>
      </c>
      <c r="I520">
        <f t="shared" si="163"/>
        <v>1</v>
      </c>
      <c r="J520">
        <f t="shared" si="164"/>
        <v>8</v>
      </c>
      <c r="K520" t="str">
        <f t="shared" si="161"/>
        <v>POM C.FSS_ELC</v>
      </c>
    </row>
    <row r="521" spans="2:11">
      <c r="B521" t="str">
        <f t="shared" si="156"/>
        <v>FSS_CHP</v>
      </c>
      <c r="C521" t="str">
        <f t="shared" si="157"/>
        <v>POM C</v>
      </c>
      <c r="D521">
        <f t="shared" si="158"/>
        <v>2050</v>
      </c>
      <c r="E521">
        <f t="shared" si="159"/>
        <v>0</v>
      </c>
      <c r="F521">
        <f t="shared" si="160"/>
        <v>8</v>
      </c>
      <c r="H521">
        <f t="shared" si="162"/>
        <v>5</v>
      </c>
      <c r="I521">
        <f t="shared" si="163"/>
        <v>1</v>
      </c>
      <c r="J521">
        <f t="shared" si="164"/>
        <v>8</v>
      </c>
      <c r="K521" t="str">
        <f t="shared" si="161"/>
        <v>POM C.FSS_CHP</v>
      </c>
    </row>
    <row r="522" spans="2:11">
      <c r="B522" t="str">
        <f t="shared" si="156"/>
        <v>SOL_WIN_BAL_WASREN</v>
      </c>
      <c r="C522" t="str">
        <f t="shared" si="157"/>
        <v>POM C</v>
      </c>
      <c r="D522">
        <f t="shared" si="158"/>
        <v>2050</v>
      </c>
      <c r="E522">
        <f t="shared" si="159"/>
        <v>0</v>
      </c>
      <c r="F522">
        <f t="shared" si="160"/>
        <v>8</v>
      </c>
      <c r="H522">
        <f t="shared" si="162"/>
        <v>6</v>
      </c>
      <c r="I522">
        <f t="shared" si="163"/>
        <v>1</v>
      </c>
      <c r="J522">
        <f t="shared" si="164"/>
        <v>8</v>
      </c>
      <c r="K522" t="str">
        <f t="shared" si="161"/>
        <v>POM C.SOL_WIN_BAL_WASREN</v>
      </c>
    </row>
    <row r="523" spans="2:11">
      <c r="B523" t="str">
        <f t="shared" si="156"/>
        <v>FSS_CHP_NEW</v>
      </c>
      <c r="C523" t="str">
        <f t="shared" si="157"/>
        <v>POM C</v>
      </c>
      <c r="D523">
        <f t="shared" si="158"/>
        <v>2050</v>
      </c>
      <c r="E523">
        <f t="shared" si="159"/>
        <v>707.43504698728577</v>
      </c>
      <c r="F523">
        <f t="shared" si="160"/>
        <v>8</v>
      </c>
      <c r="H523">
        <f t="shared" si="162"/>
        <v>7</v>
      </c>
      <c r="I523">
        <f t="shared" si="163"/>
        <v>1</v>
      </c>
      <c r="J523">
        <f t="shared" si="164"/>
        <v>8</v>
      </c>
      <c r="K523" t="str">
        <f t="shared" si="161"/>
        <v>POM C.FSS_CHP_NEW</v>
      </c>
    </row>
    <row r="524" spans="2:11">
      <c r="B524" t="str">
        <f t="shared" si="156"/>
        <v>SOL_WIN_BAL_WASREN_NEW</v>
      </c>
      <c r="C524" t="str">
        <f t="shared" si="157"/>
        <v>POM C</v>
      </c>
      <c r="D524">
        <f t="shared" si="158"/>
        <v>2050</v>
      </c>
      <c r="E524">
        <f t="shared" si="159"/>
        <v>5992.260917634052</v>
      </c>
      <c r="F524">
        <f t="shared" si="160"/>
        <v>8</v>
      </c>
      <c r="H524">
        <f t="shared" si="162"/>
        <v>8</v>
      </c>
      <c r="I524">
        <f t="shared" si="163"/>
        <v>1</v>
      </c>
      <c r="J524">
        <f t="shared" si="164"/>
        <v>8</v>
      </c>
      <c r="K524" t="str">
        <f t="shared" si="161"/>
        <v>POM C.SOL_WIN_BAL_WASREN_NEW</v>
      </c>
    </row>
    <row r="525" spans="2:11">
      <c r="B525" t="str">
        <f t="shared" ref="B525:B588" si="165">INDEX(H$3:H$11,H525)</f>
        <v>FSS_ELC_NEW</v>
      </c>
      <c r="C525" t="str">
        <f t="shared" ref="C525:C588" si="166">INDEX(I$3:I$11,I525)</f>
        <v>POM C</v>
      </c>
      <c r="D525">
        <f t="shared" ref="D525:D588" si="167">INDEX(J$3:J$11,J525)</f>
        <v>2050</v>
      </c>
      <c r="E525">
        <f t="shared" ref="E525:E588" si="168">INDEX($U$28:$AB$156,MATCH(K525,$Q$28:$Q$156,0),MATCH(D525,$U$26:$AB$26,0))</f>
        <v>3272.5262576008845</v>
      </c>
      <c r="F525">
        <f t="shared" ref="F525:F588" si="169">MATCH(D525,$U$26:$AB$26,0)</f>
        <v>8</v>
      </c>
      <c r="H525">
        <f t="shared" si="162"/>
        <v>9</v>
      </c>
      <c r="I525">
        <f t="shared" si="163"/>
        <v>1</v>
      </c>
      <c r="J525">
        <f t="shared" si="164"/>
        <v>8</v>
      </c>
      <c r="K525" t="str">
        <f t="shared" ref="K525:K588" si="170">C525&amp;"."&amp;B525</f>
        <v>POM C.FSS_ELC_NEW</v>
      </c>
    </row>
    <row r="526" spans="2:11">
      <c r="B526" t="str">
        <f t="shared" si="165"/>
        <v>HYD_TOT</v>
      </c>
      <c r="C526" t="str">
        <f t="shared" si="166"/>
        <v>POM C&amp;E</v>
      </c>
      <c r="D526">
        <f t="shared" si="167"/>
        <v>2050</v>
      </c>
      <c r="E526">
        <f t="shared" si="168"/>
        <v>13731.343283582089</v>
      </c>
      <c r="F526">
        <f t="shared" si="169"/>
        <v>8</v>
      </c>
      <c r="H526">
        <f t="shared" ref="H526:H588" si="171">IF(H525=COUNTA($H$3:$H$11),1,H525+1)</f>
        <v>1</v>
      </c>
      <c r="I526">
        <f t="shared" ref="I526:I588" si="172">IF(H526=1,IF(I525=COUNTA($I$3:$I$11),1,I525+1),I525)</f>
        <v>2</v>
      </c>
      <c r="J526">
        <f t="shared" ref="J526:J588" si="173">IF(AND(I526=1,I525&gt;1),IF(J525=$J$2,1,J525+1),J525)</f>
        <v>8</v>
      </c>
      <c r="K526" t="str">
        <f t="shared" si="170"/>
        <v>POM C&amp;E.HYD_TOT</v>
      </c>
    </row>
    <row r="527" spans="2:11">
      <c r="B527" t="str">
        <f t="shared" si="165"/>
        <v>HYD_TOT_NEW</v>
      </c>
      <c r="C527" t="str">
        <f t="shared" si="166"/>
        <v>POM C&amp;E</v>
      </c>
      <c r="D527">
        <f t="shared" si="167"/>
        <v>2050</v>
      </c>
      <c r="E527">
        <f t="shared" si="168"/>
        <v>4776.1194029850749</v>
      </c>
      <c r="F527">
        <f t="shared" si="169"/>
        <v>8</v>
      </c>
      <c r="H527">
        <f t="shared" si="171"/>
        <v>2</v>
      </c>
      <c r="I527">
        <f t="shared" si="172"/>
        <v>2</v>
      </c>
      <c r="J527">
        <f t="shared" si="173"/>
        <v>8</v>
      </c>
      <c r="K527" t="str">
        <f t="shared" si="170"/>
        <v>POM C&amp;E.HYD_TOT_NEW</v>
      </c>
    </row>
    <row r="528" spans="2:11">
      <c r="B528" t="str">
        <f t="shared" si="165"/>
        <v>NUC_ELC</v>
      </c>
      <c r="C528" t="str">
        <f t="shared" si="166"/>
        <v>POM C&amp;E</v>
      </c>
      <c r="D528">
        <f t="shared" si="167"/>
        <v>2050</v>
      </c>
      <c r="E528">
        <f t="shared" si="168"/>
        <v>0</v>
      </c>
      <c r="F528">
        <f t="shared" si="169"/>
        <v>8</v>
      </c>
      <c r="H528">
        <f t="shared" si="171"/>
        <v>3</v>
      </c>
      <c r="I528">
        <f t="shared" si="172"/>
        <v>2</v>
      </c>
      <c r="J528">
        <f t="shared" si="173"/>
        <v>8</v>
      </c>
      <c r="K528" t="str">
        <f t="shared" si="170"/>
        <v>POM C&amp;E.NUC_ELC</v>
      </c>
    </row>
    <row r="529" spans="2:11">
      <c r="B529" t="str">
        <f t="shared" si="165"/>
        <v>FSS_ELC</v>
      </c>
      <c r="C529" t="str">
        <f t="shared" si="166"/>
        <v>POM C&amp;E</v>
      </c>
      <c r="D529">
        <f t="shared" si="167"/>
        <v>2050</v>
      </c>
      <c r="E529">
        <f t="shared" si="168"/>
        <v>0</v>
      </c>
      <c r="F529">
        <f t="shared" si="169"/>
        <v>8</v>
      </c>
      <c r="H529">
        <f t="shared" si="171"/>
        <v>4</v>
      </c>
      <c r="I529">
        <f t="shared" si="172"/>
        <v>2</v>
      </c>
      <c r="J529">
        <f t="shared" si="173"/>
        <v>8</v>
      </c>
      <c r="K529" t="str">
        <f t="shared" si="170"/>
        <v>POM C&amp;E.FSS_ELC</v>
      </c>
    </row>
    <row r="530" spans="2:11">
      <c r="B530" t="str">
        <f t="shared" si="165"/>
        <v>FSS_CHP</v>
      </c>
      <c r="C530" t="str">
        <f t="shared" si="166"/>
        <v>POM C&amp;E</v>
      </c>
      <c r="D530">
        <f t="shared" si="167"/>
        <v>2050</v>
      </c>
      <c r="E530">
        <f t="shared" si="168"/>
        <v>0</v>
      </c>
      <c r="F530">
        <f t="shared" si="169"/>
        <v>8</v>
      </c>
      <c r="H530">
        <f t="shared" si="171"/>
        <v>5</v>
      </c>
      <c r="I530">
        <f t="shared" si="172"/>
        <v>2</v>
      </c>
      <c r="J530">
        <f t="shared" si="173"/>
        <v>8</v>
      </c>
      <c r="K530" t="str">
        <f t="shared" si="170"/>
        <v>POM C&amp;E.FSS_CHP</v>
      </c>
    </row>
    <row r="531" spans="2:11">
      <c r="B531" t="str">
        <f t="shared" si="165"/>
        <v>SOL_WIN_BAL_WASREN</v>
      </c>
      <c r="C531" t="str">
        <f t="shared" si="166"/>
        <v>POM C&amp;E</v>
      </c>
      <c r="D531">
        <f t="shared" si="167"/>
        <v>2050</v>
      </c>
      <c r="E531">
        <f t="shared" si="168"/>
        <v>0</v>
      </c>
      <c r="F531">
        <f t="shared" si="169"/>
        <v>8</v>
      </c>
      <c r="H531">
        <f t="shared" si="171"/>
        <v>6</v>
      </c>
      <c r="I531">
        <f t="shared" si="172"/>
        <v>2</v>
      </c>
      <c r="J531">
        <f t="shared" si="173"/>
        <v>8</v>
      </c>
      <c r="K531" t="str">
        <f t="shared" si="170"/>
        <v>POM C&amp;E.SOL_WIN_BAL_WASREN</v>
      </c>
    </row>
    <row r="532" spans="2:11">
      <c r="B532" t="str">
        <f t="shared" si="165"/>
        <v>FSS_CHP_NEW</v>
      </c>
      <c r="C532" t="str">
        <f t="shared" si="166"/>
        <v>POM C&amp;E</v>
      </c>
      <c r="D532">
        <f t="shared" si="167"/>
        <v>2050</v>
      </c>
      <c r="E532">
        <f t="shared" si="168"/>
        <v>729.54671088999453</v>
      </c>
      <c r="F532">
        <f t="shared" si="169"/>
        <v>8</v>
      </c>
      <c r="H532">
        <f t="shared" si="171"/>
        <v>7</v>
      </c>
      <c r="I532">
        <f t="shared" si="172"/>
        <v>2</v>
      </c>
      <c r="J532">
        <f t="shared" si="173"/>
        <v>8</v>
      </c>
      <c r="K532" t="str">
        <f t="shared" si="170"/>
        <v>POM C&amp;E.FSS_CHP_NEW</v>
      </c>
    </row>
    <row r="533" spans="2:11">
      <c r="B533" t="str">
        <f t="shared" si="165"/>
        <v>SOL_WIN_BAL_WASREN_NEW</v>
      </c>
      <c r="C533" t="str">
        <f t="shared" si="166"/>
        <v>POM C&amp;E</v>
      </c>
      <c r="D533">
        <f t="shared" si="167"/>
        <v>2050</v>
      </c>
      <c r="E533">
        <f t="shared" si="168"/>
        <v>12670.259812050857</v>
      </c>
      <c r="F533">
        <f t="shared" si="169"/>
        <v>8</v>
      </c>
      <c r="H533">
        <f t="shared" si="171"/>
        <v>8</v>
      </c>
      <c r="I533">
        <f t="shared" si="172"/>
        <v>2</v>
      </c>
      <c r="J533">
        <f t="shared" si="173"/>
        <v>8</v>
      </c>
      <c r="K533" t="str">
        <f t="shared" si="170"/>
        <v>POM C&amp;E.SOL_WIN_BAL_WASREN_NEW</v>
      </c>
    </row>
    <row r="534" spans="2:11">
      <c r="B534" t="str">
        <f t="shared" si="165"/>
        <v>FSS_ELC_NEW</v>
      </c>
      <c r="C534" t="str">
        <f t="shared" si="166"/>
        <v>POM C&amp;E</v>
      </c>
      <c r="D534">
        <f t="shared" si="167"/>
        <v>2050</v>
      </c>
      <c r="E534">
        <f t="shared" si="168"/>
        <v>2719.5964621337757</v>
      </c>
      <c r="F534">
        <f t="shared" si="169"/>
        <v>8</v>
      </c>
      <c r="H534">
        <f t="shared" si="171"/>
        <v>9</v>
      </c>
      <c r="I534">
        <f t="shared" si="172"/>
        <v>2</v>
      </c>
      <c r="J534">
        <f t="shared" si="173"/>
        <v>8</v>
      </c>
      <c r="K534" t="str">
        <f t="shared" si="170"/>
        <v>POM C&amp;E.FSS_ELC_NEW</v>
      </c>
    </row>
    <row r="535" spans="2:11">
      <c r="B535" t="str">
        <f t="shared" si="165"/>
        <v>HYD_TOT</v>
      </c>
      <c r="C535" t="str">
        <f t="shared" si="166"/>
        <v>POM E</v>
      </c>
      <c r="D535">
        <f t="shared" si="167"/>
        <v>2050</v>
      </c>
      <c r="E535">
        <f t="shared" si="168"/>
        <v>13713.02184130495</v>
      </c>
      <c r="F535">
        <f t="shared" si="169"/>
        <v>8</v>
      </c>
      <c r="H535">
        <f t="shared" si="171"/>
        <v>1</v>
      </c>
      <c r="I535">
        <f t="shared" si="172"/>
        <v>3</v>
      </c>
      <c r="J535">
        <f t="shared" si="173"/>
        <v>8</v>
      </c>
      <c r="K535" t="str">
        <f t="shared" si="170"/>
        <v>POM E.HYD_TOT</v>
      </c>
    </row>
    <row r="536" spans="2:11">
      <c r="B536" t="str">
        <f t="shared" si="165"/>
        <v>HYD_TOT_NEW</v>
      </c>
      <c r="C536" t="str">
        <f t="shared" si="166"/>
        <v>POM E</v>
      </c>
      <c r="D536">
        <f t="shared" si="167"/>
        <v>2050</v>
      </c>
      <c r="E536">
        <f t="shared" si="168"/>
        <v>4777.4398672933366</v>
      </c>
      <c r="F536">
        <f t="shared" si="169"/>
        <v>8</v>
      </c>
      <c r="H536">
        <f t="shared" si="171"/>
        <v>2</v>
      </c>
      <c r="I536">
        <f t="shared" si="172"/>
        <v>3</v>
      </c>
      <c r="J536">
        <f t="shared" si="173"/>
        <v>8</v>
      </c>
      <c r="K536" t="str">
        <f t="shared" si="170"/>
        <v>POM E.HYD_TOT_NEW</v>
      </c>
    </row>
    <row r="537" spans="2:11">
      <c r="B537" t="str">
        <f t="shared" si="165"/>
        <v>NUC_ELC</v>
      </c>
      <c r="C537" t="str">
        <f t="shared" si="166"/>
        <v>POM E</v>
      </c>
      <c r="D537">
        <f t="shared" si="167"/>
        <v>2050</v>
      </c>
      <c r="E537">
        <f t="shared" si="168"/>
        <v>0</v>
      </c>
      <c r="F537">
        <f t="shared" si="169"/>
        <v>8</v>
      </c>
      <c r="H537">
        <f t="shared" si="171"/>
        <v>3</v>
      </c>
      <c r="I537">
        <f t="shared" si="172"/>
        <v>3</v>
      </c>
      <c r="J537">
        <f t="shared" si="173"/>
        <v>8</v>
      </c>
      <c r="K537" t="str">
        <f t="shared" si="170"/>
        <v>POM E.NUC_ELC</v>
      </c>
    </row>
    <row r="538" spans="2:11">
      <c r="B538" t="str">
        <f t="shared" si="165"/>
        <v>FSS_ELC</v>
      </c>
      <c r="C538" t="str">
        <f t="shared" si="166"/>
        <v>POM E</v>
      </c>
      <c r="D538">
        <f t="shared" si="167"/>
        <v>2050</v>
      </c>
      <c r="E538">
        <f t="shared" si="168"/>
        <v>0</v>
      </c>
      <c r="F538">
        <f t="shared" si="169"/>
        <v>8</v>
      </c>
      <c r="H538">
        <f t="shared" si="171"/>
        <v>4</v>
      </c>
      <c r="I538">
        <f t="shared" si="172"/>
        <v>3</v>
      </c>
      <c r="J538">
        <f t="shared" si="173"/>
        <v>8</v>
      </c>
      <c r="K538" t="str">
        <f t="shared" si="170"/>
        <v>POM E.FSS_ELC</v>
      </c>
    </row>
    <row r="539" spans="2:11">
      <c r="B539" t="str">
        <f t="shared" si="165"/>
        <v>FSS_CHP</v>
      </c>
      <c r="C539" t="str">
        <f t="shared" si="166"/>
        <v>POM E</v>
      </c>
      <c r="D539">
        <f t="shared" si="167"/>
        <v>2050</v>
      </c>
      <c r="E539">
        <f t="shared" si="168"/>
        <v>0</v>
      </c>
      <c r="F539">
        <f t="shared" si="169"/>
        <v>8</v>
      </c>
      <c r="H539">
        <f t="shared" si="171"/>
        <v>5</v>
      </c>
      <c r="I539">
        <f t="shared" si="172"/>
        <v>3</v>
      </c>
      <c r="J539">
        <f t="shared" si="173"/>
        <v>8</v>
      </c>
      <c r="K539" t="str">
        <f t="shared" si="170"/>
        <v>POM E.FSS_CHP</v>
      </c>
    </row>
    <row r="540" spans="2:11">
      <c r="B540" t="str">
        <f t="shared" si="165"/>
        <v>SOL_WIN_BAL_WASREN</v>
      </c>
      <c r="C540" t="str">
        <f t="shared" si="166"/>
        <v>POM E</v>
      </c>
      <c r="D540">
        <f t="shared" si="167"/>
        <v>2050</v>
      </c>
      <c r="E540">
        <f t="shared" si="168"/>
        <v>0</v>
      </c>
      <c r="F540">
        <f t="shared" si="169"/>
        <v>8</v>
      </c>
      <c r="H540">
        <f t="shared" si="171"/>
        <v>6</v>
      </c>
      <c r="I540">
        <f t="shared" si="172"/>
        <v>3</v>
      </c>
      <c r="J540">
        <f t="shared" si="173"/>
        <v>8</v>
      </c>
      <c r="K540" t="str">
        <f t="shared" si="170"/>
        <v>POM E.SOL_WIN_BAL_WASREN</v>
      </c>
    </row>
    <row r="541" spans="2:11">
      <c r="B541" t="str">
        <f t="shared" si="165"/>
        <v>FSS_CHP_NEW</v>
      </c>
      <c r="C541" t="str">
        <f t="shared" si="166"/>
        <v>POM E</v>
      </c>
      <c r="D541">
        <f t="shared" si="167"/>
        <v>2050</v>
      </c>
      <c r="E541">
        <f t="shared" si="168"/>
        <v>730.02488249930877</v>
      </c>
      <c r="F541">
        <f t="shared" si="169"/>
        <v>8</v>
      </c>
      <c r="H541">
        <f t="shared" si="171"/>
        <v>7</v>
      </c>
      <c r="I541">
        <f t="shared" si="172"/>
        <v>3</v>
      </c>
      <c r="J541">
        <f t="shared" si="173"/>
        <v>8</v>
      </c>
      <c r="K541" t="str">
        <f t="shared" si="170"/>
        <v>POM E.FSS_CHP_NEW</v>
      </c>
    </row>
    <row r="542" spans="2:11">
      <c r="B542" t="str">
        <f t="shared" si="165"/>
        <v>SOL_WIN_BAL_WASREN_NEW</v>
      </c>
      <c r="C542" t="str">
        <f t="shared" si="166"/>
        <v>POM E</v>
      </c>
      <c r="D542">
        <f t="shared" si="167"/>
        <v>2050</v>
      </c>
      <c r="E542">
        <f t="shared" si="168"/>
        <v>12673.348078518109</v>
      </c>
      <c r="F542">
        <f t="shared" si="169"/>
        <v>8</v>
      </c>
      <c r="H542">
        <f t="shared" si="171"/>
        <v>8</v>
      </c>
      <c r="I542">
        <f t="shared" si="172"/>
        <v>3</v>
      </c>
      <c r="J542">
        <f t="shared" si="173"/>
        <v>8</v>
      </c>
      <c r="K542" t="str">
        <f t="shared" si="170"/>
        <v>POM E.SOL_WIN_BAL_WASREN_NEW</v>
      </c>
    </row>
    <row r="543" spans="2:11">
      <c r="B543" t="str">
        <f t="shared" si="165"/>
        <v>FSS_ELC_NEW</v>
      </c>
      <c r="C543" t="str">
        <f t="shared" si="166"/>
        <v>POM E</v>
      </c>
      <c r="D543">
        <f t="shared" si="167"/>
        <v>2050</v>
      </c>
      <c r="E543">
        <f t="shared" si="168"/>
        <v>0</v>
      </c>
      <c r="F543">
        <f t="shared" si="169"/>
        <v>8</v>
      </c>
      <c r="H543">
        <f t="shared" si="171"/>
        <v>9</v>
      </c>
      <c r="I543">
        <f t="shared" si="172"/>
        <v>3</v>
      </c>
      <c r="J543">
        <f t="shared" si="173"/>
        <v>8</v>
      </c>
      <c r="K543" t="str">
        <f t="shared" si="170"/>
        <v>POM E.FSS_ELC_NEW</v>
      </c>
    </row>
    <row r="544" spans="2:11">
      <c r="B544" t="str">
        <f t="shared" si="165"/>
        <v>HYD_TOT</v>
      </c>
      <c r="C544" t="str">
        <f t="shared" si="166"/>
        <v>NEP C</v>
      </c>
      <c r="D544">
        <f t="shared" si="167"/>
        <v>2050</v>
      </c>
      <c r="E544">
        <f t="shared" si="168"/>
        <v>13735.139618468344</v>
      </c>
      <c r="F544">
        <f t="shared" si="169"/>
        <v>8</v>
      </c>
      <c r="H544">
        <f t="shared" si="171"/>
        <v>1</v>
      </c>
      <c r="I544">
        <f t="shared" si="172"/>
        <v>4</v>
      </c>
      <c r="J544">
        <f t="shared" si="173"/>
        <v>8</v>
      </c>
      <c r="K544" t="str">
        <f t="shared" si="170"/>
        <v>NEP C.HYD_TOT</v>
      </c>
    </row>
    <row r="545" spans="2:11">
      <c r="B545" t="str">
        <f t="shared" si="165"/>
        <v>HYD_TOT_NEW</v>
      </c>
      <c r="C545" t="str">
        <f t="shared" si="166"/>
        <v>NEP C</v>
      </c>
      <c r="D545">
        <f t="shared" si="167"/>
        <v>2050</v>
      </c>
      <c r="E545">
        <f t="shared" si="168"/>
        <v>4003.3176665745091</v>
      </c>
      <c r="F545">
        <f t="shared" si="169"/>
        <v>8</v>
      </c>
      <c r="H545">
        <f t="shared" si="171"/>
        <v>2</v>
      </c>
      <c r="I545">
        <f t="shared" si="172"/>
        <v>4</v>
      </c>
      <c r="J545">
        <f t="shared" si="173"/>
        <v>8</v>
      </c>
      <c r="K545" t="str">
        <f t="shared" si="170"/>
        <v>NEP C.HYD_TOT_NEW</v>
      </c>
    </row>
    <row r="546" spans="2:11">
      <c r="B546" t="str">
        <f t="shared" si="165"/>
        <v>NUC_ELC</v>
      </c>
      <c r="C546" t="str">
        <f t="shared" si="166"/>
        <v>NEP C</v>
      </c>
      <c r="D546">
        <f t="shared" si="167"/>
        <v>2050</v>
      </c>
      <c r="E546">
        <f t="shared" si="168"/>
        <v>0</v>
      </c>
      <c r="F546">
        <f t="shared" si="169"/>
        <v>8</v>
      </c>
      <c r="H546">
        <f t="shared" si="171"/>
        <v>3</v>
      </c>
      <c r="I546">
        <f t="shared" si="172"/>
        <v>4</v>
      </c>
      <c r="J546">
        <f t="shared" si="173"/>
        <v>8</v>
      </c>
      <c r="K546" t="str">
        <f t="shared" si="170"/>
        <v>NEP C.NUC_ELC</v>
      </c>
    </row>
    <row r="547" spans="2:11">
      <c r="B547" t="str">
        <f t="shared" si="165"/>
        <v>FSS_ELC</v>
      </c>
      <c r="C547" t="str">
        <f t="shared" si="166"/>
        <v>NEP C</v>
      </c>
      <c r="D547">
        <f t="shared" si="167"/>
        <v>2050</v>
      </c>
      <c r="E547">
        <f t="shared" si="168"/>
        <v>0</v>
      </c>
      <c r="F547">
        <f t="shared" si="169"/>
        <v>8</v>
      </c>
      <c r="H547">
        <f t="shared" si="171"/>
        <v>4</v>
      </c>
      <c r="I547">
        <f t="shared" si="172"/>
        <v>4</v>
      </c>
      <c r="J547">
        <f t="shared" si="173"/>
        <v>8</v>
      </c>
      <c r="K547" t="str">
        <f t="shared" si="170"/>
        <v>NEP C.FSS_ELC</v>
      </c>
    </row>
    <row r="548" spans="2:11">
      <c r="B548" t="str">
        <f t="shared" si="165"/>
        <v>FSS_CHP</v>
      </c>
      <c r="C548" t="str">
        <f t="shared" si="166"/>
        <v>NEP C</v>
      </c>
      <c r="D548">
        <f t="shared" si="167"/>
        <v>2050</v>
      </c>
      <c r="E548">
        <f t="shared" si="168"/>
        <v>0</v>
      </c>
      <c r="F548">
        <f t="shared" si="169"/>
        <v>8</v>
      </c>
      <c r="H548">
        <f t="shared" si="171"/>
        <v>5</v>
      </c>
      <c r="I548">
        <f t="shared" si="172"/>
        <v>4</v>
      </c>
      <c r="J548">
        <f t="shared" si="173"/>
        <v>8</v>
      </c>
      <c r="K548" t="str">
        <f t="shared" si="170"/>
        <v>NEP C.FSS_CHP</v>
      </c>
    </row>
    <row r="549" spans="2:11">
      <c r="B549" t="str">
        <f t="shared" si="165"/>
        <v>SOL_WIN_BAL_WASREN</v>
      </c>
      <c r="C549" t="str">
        <f t="shared" si="166"/>
        <v>NEP C</v>
      </c>
      <c r="D549">
        <f t="shared" si="167"/>
        <v>2050</v>
      </c>
      <c r="E549">
        <f t="shared" si="168"/>
        <v>0</v>
      </c>
      <c r="F549">
        <f t="shared" si="169"/>
        <v>8</v>
      </c>
      <c r="H549">
        <f t="shared" si="171"/>
        <v>6</v>
      </c>
      <c r="I549">
        <f t="shared" si="172"/>
        <v>4</v>
      </c>
      <c r="J549">
        <f t="shared" si="173"/>
        <v>8</v>
      </c>
      <c r="K549" t="str">
        <f t="shared" si="170"/>
        <v>NEP C.SOL_WIN_BAL_WASREN</v>
      </c>
    </row>
    <row r="550" spans="2:11">
      <c r="B550" t="str">
        <f t="shared" si="165"/>
        <v>FSS_CHP_NEW</v>
      </c>
      <c r="C550" t="str">
        <f t="shared" si="166"/>
        <v>NEP C</v>
      </c>
      <c r="D550">
        <f t="shared" si="167"/>
        <v>2050</v>
      </c>
      <c r="E550">
        <f t="shared" si="168"/>
        <v>707.76886922864253</v>
      </c>
      <c r="F550">
        <f t="shared" si="169"/>
        <v>8</v>
      </c>
      <c r="H550">
        <f t="shared" si="171"/>
        <v>7</v>
      </c>
      <c r="I550">
        <f t="shared" si="172"/>
        <v>4</v>
      </c>
      <c r="J550">
        <f t="shared" si="173"/>
        <v>8</v>
      </c>
      <c r="K550" t="str">
        <f t="shared" si="170"/>
        <v>NEP C.FSS_CHP_NEW</v>
      </c>
    </row>
    <row r="551" spans="2:11">
      <c r="B551" t="str">
        <f t="shared" si="165"/>
        <v>SOL_WIN_BAL_WASREN_NEW</v>
      </c>
      <c r="C551" t="str">
        <f t="shared" si="166"/>
        <v>NEP C</v>
      </c>
      <c r="D551">
        <f t="shared" si="167"/>
        <v>2050</v>
      </c>
      <c r="E551">
        <f t="shared" si="168"/>
        <v>5993.917611280066</v>
      </c>
      <c r="F551">
        <f t="shared" si="169"/>
        <v>8</v>
      </c>
      <c r="H551">
        <f t="shared" si="171"/>
        <v>8</v>
      </c>
      <c r="I551">
        <f t="shared" si="172"/>
        <v>4</v>
      </c>
      <c r="J551">
        <f t="shared" si="173"/>
        <v>8</v>
      </c>
      <c r="K551" t="str">
        <f t="shared" si="170"/>
        <v>NEP C.SOL_WIN_BAL_WASREN_NEW</v>
      </c>
    </row>
    <row r="552" spans="2:11">
      <c r="B552" t="str">
        <f t="shared" si="165"/>
        <v>FSS_ELC_NEW</v>
      </c>
      <c r="C552" t="str">
        <f t="shared" si="166"/>
        <v>NEP C</v>
      </c>
      <c r="D552">
        <f t="shared" si="167"/>
        <v>2050</v>
      </c>
      <c r="E552">
        <f t="shared" si="168"/>
        <v>2720.6248272048661</v>
      </c>
      <c r="F552">
        <f t="shared" si="169"/>
        <v>8</v>
      </c>
      <c r="H552">
        <f t="shared" si="171"/>
        <v>9</v>
      </c>
      <c r="I552">
        <f t="shared" si="172"/>
        <v>4</v>
      </c>
      <c r="J552">
        <f t="shared" si="173"/>
        <v>8</v>
      </c>
      <c r="K552" t="str">
        <f t="shared" si="170"/>
        <v>NEP C.FSS_ELC_NEW</v>
      </c>
    </row>
    <row r="553" spans="2:11">
      <c r="B553" t="str">
        <f t="shared" si="165"/>
        <v>HYD_TOT</v>
      </c>
      <c r="C553" t="str">
        <f t="shared" si="166"/>
        <v>NEP C&amp;E</v>
      </c>
      <c r="D553">
        <f t="shared" si="167"/>
        <v>2050</v>
      </c>
      <c r="E553">
        <f t="shared" si="168"/>
        <v>13735.139618468344</v>
      </c>
      <c r="F553">
        <f t="shared" si="169"/>
        <v>8</v>
      </c>
      <c r="H553">
        <f t="shared" si="171"/>
        <v>1</v>
      </c>
      <c r="I553">
        <f t="shared" si="172"/>
        <v>5</v>
      </c>
      <c r="J553">
        <f t="shared" si="173"/>
        <v>8</v>
      </c>
      <c r="K553" t="str">
        <f t="shared" si="170"/>
        <v>NEP C&amp;E.HYD_TOT</v>
      </c>
    </row>
    <row r="554" spans="2:11">
      <c r="B554" t="str">
        <f t="shared" si="165"/>
        <v>HYD_TOT_NEW</v>
      </c>
      <c r="C554" t="str">
        <f t="shared" si="166"/>
        <v>NEP C&amp;E</v>
      </c>
      <c r="D554">
        <f t="shared" si="167"/>
        <v>2050</v>
      </c>
      <c r="E554">
        <f t="shared" si="168"/>
        <v>4777.4398672933366</v>
      </c>
      <c r="F554">
        <f t="shared" si="169"/>
        <v>8</v>
      </c>
      <c r="H554">
        <f t="shared" si="171"/>
        <v>2</v>
      </c>
      <c r="I554">
        <f t="shared" si="172"/>
        <v>5</v>
      </c>
      <c r="J554">
        <f t="shared" si="173"/>
        <v>8</v>
      </c>
      <c r="K554" t="str">
        <f t="shared" si="170"/>
        <v>NEP C&amp;E.HYD_TOT_NEW</v>
      </c>
    </row>
    <row r="555" spans="2:11">
      <c r="B555" t="str">
        <f t="shared" si="165"/>
        <v>NUC_ELC</v>
      </c>
      <c r="C555" t="str">
        <f t="shared" si="166"/>
        <v>NEP C&amp;E</v>
      </c>
      <c r="D555">
        <f t="shared" si="167"/>
        <v>2050</v>
      </c>
      <c r="E555">
        <f t="shared" si="168"/>
        <v>0</v>
      </c>
      <c r="F555">
        <f t="shared" si="169"/>
        <v>8</v>
      </c>
      <c r="H555">
        <f t="shared" si="171"/>
        <v>3</v>
      </c>
      <c r="I555">
        <f t="shared" si="172"/>
        <v>5</v>
      </c>
      <c r="J555">
        <f t="shared" si="173"/>
        <v>8</v>
      </c>
      <c r="K555" t="str">
        <f t="shared" si="170"/>
        <v>NEP C&amp;E.NUC_ELC</v>
      </c>
    </row>
    <row r="556" spans="2:11">
      <c r="B556" t="str">
        <f t="shared" si="165"/>
        <v>FSS_ELC</v>
      </c>
      <c r="C556" t="str">
        <f t="shared" si="166"/>
        <v>NEP C&amp;E</v>
      </c>
      <c r="D556">
        <f t="shared" si="167"/>
        <v>2050</v>
      </c>
      <c r="E556">
        <f t="shared" si="168"/>
        <v>0</v>
      </c>
      <c r="F556">
        <f t="shared" si="169"/>
        <v>8</v>
      </c>
      <c r="H556">
        <f t="shared" si="171"/>
        <v>4</v>
      </c>
      <c r="I556">
        <f t="shared" si="172"/>
        <v>5</v>
      </c>
      <c r="J556">
        <f t="shared" si="173"/>
        <v>8</v>
      </c>
      <c r="K556" t="str">
        <f t="shared" si="170"/>
        <v>NEP C&amp;E.FSS_ELC</v>
      </c>
    </row>
    <row r="557" spans="2:11">
      <c r="B557" t="str">
        <f t="shared" si="165"/>
        <v>FSS_CHP</v>
      </c>
      <c r="C557" t="str">
        <f t="shared" si="166"/>
        <v>NEP C&amp;E</v>
      </c>
      <c r="D557">
        <f t="shared" si="167"/>
        <v>2050</v>
      </c>
      <c r="E557">
        <f t="shared" si="168"/>
        <v>0</v>
      </c>
      <c r="F557">
        <f t="shared" si="169"/>
        <v>8</v>
      </c>
      <c r="H557">
        <f t="shared" si="171"/>
        <v>5</v>
      </c>
      <c r="I557">
        <f t="shared" si="172"/>
        <v>5</v>
      </c>
      <c r="J557">
        <f t="shared" si="173"/>
        <v>8</v>
      </c>
      <c r="K557" t="str">
        <f t="shared" si="170"/>
        <v>NEP C&amp;E.FSS_CHP</v>
      </c>
    </row>
    <row r="558" spans="2:11">
      <c r="B558" t="str">
        <f t="shared" si="165"/>
        <v>SOL_WIN_BAL_WASREN</v>
      </c>
      <c r="C558" t="str">
        <f t="shared" si="166"/>
        <v>NEP C&amp;E</v>
      </c>
      <c r="D558">
        <f t="shared" si="167"/>
        <v>2050</v>
      </c>
      <c r="E558">
        <f t="shared" si="168"/>
        <v>0</v>
      </c>
      <c r="F558">
        <f t="shared" si="169"/>
        <v>8</v>
      </c>
      <c r="H558">
        <f t="shared" si="171"/>
        <v>6</v>
      </c>
      <c r="I558">
        <f t="shared" si="172"/>
        <v>5</v>
      </c>
      <c r="J558">
        <f t="shared" si="173"/>
        <v>8</v>
      </c>
      <c r="K558" t="str">
        <f t="shared" si="170"/>
        <v>NEP C&amp;E.SOL_WIN_BAL_WASREN</v>
      </c>
    </row>
    <row r="559" spans="2:11">
      <c r="B559" t="str">
        <f t="shared" si="165"/>
        <v>FSS_CHP_NEW</v>
      </c>
      <c r="C559" t="str">
        <f t="shared" si="166"/>
        <v>NEP C&amp;E</v>
      </c>
      <c r="D559">
        <f t="shared" si="167"/>
        <v>2050</v>
      </c>
      <c r="E559">
        <f t="shared" si="168"/>
        <v>729.88664639203762</v>
      </c>
      <c r="F559">
        <f t="shared" si="169"/>
        <v>8</v>
      </c>
      <c r="H559">
        <f t="shared" si="171"/>
        <v>7</v>
      </c>
      <c r="I559">
        <f t="shared" si="172"/>
        <v>5</v>
      </c>
      <c r="J559">
        <f t="shared" si="173"/>
        <v>8</v>
      </c>
      <c r="K559" t="str">
        <f t="shared" si="170"/>
        <v>NEP C&amp;E.FSS_CHP_NEW</v>
      </c>
    </row>
    <row r="560" spans="2:11">
      <c r="B560" t="str">
        <f t="shared" si="165"/>
        <v>SOL_WIN_BAL_WASREN_NEW</v>
      </c>
      <c r="C560" t="str">
        <f t="shared" si="166"/>
        <v>NEP C&amp;E</v>
      </c>
      <c r="D560">
        <f t="shared" si="167"/>
        <v>2050</v>
      </c>
      <c r="E560">
        <f t="shared" si="168"/>
        <v>12695.742327896047</v>
      </c>
      <c r="F560">
        <f t="shared" si="169"/>
        <v>8</v>
      </c>
      <c r="H560">
        <f t="shared" si="171"/>
        <v>8</v>
      </c>
      <c r="I560">
        <f t="shared" si="172"/>
        <v>5</v>
      </c>
      <c r="J560">
        <f t="shared" si="173"/>
        <v>8</v>
      </c>
      <c r="K560" t="str">
        <f t="shared" si="170"/>
        <v>NEP C&amp;E.SOL_WIN_BAL_WASREN_NEW</v>
      </c>
    </row>
    <row r="561" spans="2:11">
      <c r="B561" t="str">
        <f t="shared" si="165"/>
        <v>FSS_ELC_NEW</v>
      </c>
      <c r="C561" t="str">
        <f t="shared" si="166"/>
        <v>NEP C&amp;E</v>
      </c>
      <c r="D561">
        <f t="shared" si="167"/>
        <v>2050</v>
      </c>
      <c r="E561">
        <f t="shared" si="168"/>
        <v>2233.7572573956318</v>
      </c>
      <c r="F561">
        <f t="shared" si="169"/>
        <v>8</v>
      </c>
      <c r="H561">
        <f t="shared" si="171"/>
        <v>9</v>
      </c>
      <c r="I561">
        <f t="shared" si="172"/>
        <v>5</v>
      </c>
      <c r="J561">
        <f t="shared" si="173"/>
        <v>8</v>
      </c>
      <c r="K561" t="str">
        <f t="shared" si="170"/>
        <v>NEP C&amp;E.FSS_ELC_NEW</v>
      </c>
    </row>
    <row r="562" spans="2:11">
      <c r="B562" t="str">
        <f t="shared" si="165"/>
        <v>HYD_TOT</v>
      </c>
      <c r="C562" t="str">
        <f t="shared" si="166"/>
        <v>NEP E</v>
      </c>
      <c r="D562">
        <f t="shared" si="167"/>
        <v>2050</v>
      </c>
      <c r="E562">
        <f t="shared" si="168"/>
        <v>13735.139618468344</v>
      </c>
      <c r="F562">
        <f t="shared" si="169"/>
        <v>8</v>
      </c>
      <c r="H562">
        <f t="shared" si="171"/>
        <v>1</v>
      </c>
      <c r="I562">
        <f t="shared" si="172"/>
        <v>6</v>
      </c>
      <c r="J562">
        <f t="shared" si="173"/>
        <v>8</v>
      </c>
      <c r="K562" t="str">
        <f t="shared" si="170"/>
        <v>NEP E.HYD_TOT</v>
      </c>
    </row>
    <row r="563" spans="2:11">
      <c r="B563" t="str">
        <f t="shared" si="165"/>
        <v>HYD_TOT_NEW</v>
      </c>
      <c r="C563" t="str">
        <f t="shared" si="166"/>
        <v>NEP E</v>
      </c>
      <c r="D563">
        <f t="shared" si="167"/>
        <v>2050</v>
      </c>
      <c r="E563">
        <f t="shared" si="168"/>
        <v>4799.6958805640033</v>
      </c>
      <c r="F563">
        <f t="shared" si="169"/>
        <v>8</v>
      </c>
      <c r="H563">
        <f t="shared" si="171"/>
        <v>2</v>
      </c>
      <c r="I563">
        <f t="shared" si="172"/>
        <v>6</v>
      </c>
      <c r="J563">
        <f t="shared" si="173"/>
        <v>8</v>
      </c>
      <c r="K563" t="str">
        <f t="shared" si="170"/>
        <v>NEP E.HYD_TOT_NEW</v>
      </c>
    </row>
    <row r="564" spans="2:11">
      <c r="B564" t="str">
        <f t="shared" si="165"/>
        <v>NUC_ELC</v>
      </c>
      <c r="C564" t="str">
        <f t="shared" si="166"/>
        <v>NEP E</v>
      </c>
      <c r="D564">
        <f t="shared" si="167"/>
        <v>2050</v>
      </c>
      <c r="E564">
        <f t="shared" si="168"/>
        <v>0</v>
      </c>
      <c r="F564">
        <f t="shared" si="169"/>
        <v>8</v>
      </c>
      <c r="H564">
        <f t="shared" si="171"/>
        <v>3</v>
      </c>
      <c r="I564">
        <f t="shared" si="172"/>
        <v>6</v>
      </c>
      <c r="J564">
        <f t="shared" si="173"/>
        <v>8</v>
      </c>
      <c r="K564" t="str">
        <f t="shared" si="170"/>
        <v>NEP E.NUC_ELC</v>
      </c>
    </row>
    <row r="565" spans="2:11">
      <c r="B565" t="str">
        <f t="shared" si="165"/>
        <v>FSS_ELC</v>
      </c>
      <c r="C565" t="str">
        <f t="shared" si="166"/>
        <v>NEP E</v>
      </c>
      <c r="D565">
        <f t="shared" si="167"/>
        <v>2050</v>
      </c>
      <c r="E565">
        <f t="shared" si="168"/>
        <v>0</v>
      </c>
      <c r="F565">
        <f t="shared" si="169"/>
        <v>8</v>
      </c>
      <c r="H565">
        <f t="shared" si="171"/>
        <v>4</v>
      </c>
      <c r="I565">
        <f t="shared" si="172"/>
        <v>6</v>
      </c>
      <c r="J565">
        <f t="shared" si="173"/>
        <v>8</v>
      </c>
      <c r="K565" t="str">
        <f t="shared" si="170"/>
        <v>NEP E.FSS_ELC</v>
      </c>
    </row>
    <row r="566" spans="2:11">
      <c r="B566" t="str">
        <f t="shared" si="165"/>
        <v>FSS_CHP</v>
      </c>
      <c r="C566" t="str">
        <f t="shared" si="166"/>
        <v>NEP E</v>
      </c>
      <c r="D566">
        <f t="shared" si="167"/>
        <v>2050</v>
      </c>
      <c r="E566">
        <f t="shared" si="168"/>
        <v>0</v>
      </c>
      <c r="F566">
        <f t="shared" si="169"/>
        <v>8</v>
      </c>
      <c r="H566">
        <f t="shared" si="171"/>
        <v>5</v>
      </c>
      <c r="I566">
        <f t="shared" si="172"/>
        <v>6</v>
      </c>
      <c r="J566">
        <f t="shared" si="173"/>
        <v>8</v>
      </c>
      <c r="K566" t="str">
        <f t="shared" si="170"/>
        <v>NEP E.FSS_CHP</v>
      </c>
    </row>
    <row r="567" spans="2:11">
      <c r="B567" t="str">
        <f t="shared" si="165"/>
        <v>SOL_WIN_BAL_WASREN</v>
      </c>
      <c r="C567" t="str">
        <f t="shared" si="166"/>
        <v>NEP E</v>
      </c>
      <c r="D567">
        <f t="shared" si="167"/>
        <v>2050</v>
      </c>
      <c r="E567">
        <f t="shared" si="168"/>
        <v>0</v>
      </c>
      <c r="F567">
        <f t="shared" si="169"/>
        <v>8</v>
      </c>
      <c r="H567">
        <f t="shared" si="171"/>
        <v>6</v>
      </c>
      <c r="I567">
        <f t="shared" si="172"/>
        <v>6</v>
      </c>
      <c r="J567">
        <f t="shared" si="173"/>
        <v>8</v>
      </c>
      <c r="K567" t="str">
        <f t="shared" si="170"/>
        <v>NEP E.SOL_WIN_BAL_WASREN</v>
      </c>
    </row>
    <row r="568" spans="2:11">
      <c r="B568" t="str">
        <f t="shared" si="165"/>
        <v>FSS_CHP_NEW</v>
      </c>
      <c r="C568" t="str">
        <f t="shared" si="166"/>
        <v>NEP E</v>
      </c>
      <c r="D568">
        <f t="shared" si="167"/>
        <v>2050</v>
      </c>
      <c r="E568">
        <f t="shared" si="168"/>
        <v>707.63063312137126</v>
      </c>
      <c r="F568">
        <f t="shared" si="169"/>
        <v>8</v>
      </c>
      <c r="H568">
        <f t="shared" si="171"/>
        <v>7</v>
      </c>
      <c r="I568">
        <f t="shared" si="172"/>
        <v>6</v>
      </c>
      <c r="J568">
        <f t="shared" si="173"/>
        <v>8</v>
      </c>
      <c r="K568" t="str">
        <f t="shared" si="170"/>
        <v>NEP E.FSS_CHP_NEW</v>
      </c>
    </row>
    <row r="569" spans="2:11">
      <c r="B569" t="str">
        <f t="shared" si="165"/>
        <v>SOL_WIN_BAL_WASREN_NEW</v>
      </c>
      <c r="C569" t="str">
        <f t="shared" si="166"/>
        <v>NEP E</v>
      </c>
      <c r="D569">
        <f t="shared" si="167"/>
        <v>2050</v>
      </c>
      <c r="E569">
        <f t="shared" si="168"/>
        <v>12695.604091788775</v>
      </c>
      <c r="F569">
        <f t="shared" si="169"/>
        <v>8</v>
      </c>
      <c r="H569">
        <f t="shared" si="171"/>
        <v>8</v>
      </c>
      <c r="I569">
        <f t="shared" si="172"/>
        <v>6</v>
      </c>
      <c r="J569">
        <f t="shared" si="173"/>
        <v>8</v>
      </c>
      <c r="K569" t="str">
        <f t="shared" si="170"/>
        <v>NEP E.SOL_WIN_BAL_WASREN_NEW</v>
      </c>
    </row>
    <row r="570" spans="2:11">
      <c r="B570" t="str">
        <f t="shared" si="165"/>
        <v>FSS_ELC_NEW</v>
      </c>
      <c r="C570" t="str">
        <f t="shared" si="166"/>
        <v>NEP E</v>
      </c>
      <c r="D570">
        <f t="shared" si="167"/>
        <v>2050</v>
      </c>
      <c r="E570">
        <f t="shared" si="168"/>
        <v>0</v>
      </c>
      <c r="F570">
        <f t="shared" si="169"/>
        <v>8</v>
      </c>
      <c r="H570">
        <f t="shared" si="171"/>
        <v>9</v>
      </c>
      <c r="I570">
        <f t="shared" si="172"/>
        <v>6</v>
      </c>
      <c r="J570">
        <f t="shared" si="173"/>
        <v>8</v>
      </c>
      <c r="K570" t="str">
        <f t="shared" si="170"/>
        <v>NEP E.FSS_ELC_NEW</v>
      </c>
    </row>
    <row r="571" spans="2:11">
      <c r="B571" t="str">
        <f t="shared" si="165"/>
        <v>HYD_TOT</v>
      </c>
      <c r="C571" t="str">
        <f t="shared" si="166"/>
        <v>WWB C</v>
      </c>
      <c r="D571">
        <f t="shared" si="167"/>
        <v>2050</v>
      </c>
      <c r="E571">
        <f t="shared" si="168"/>
        <v>13779.375172795135</v>
      </c>
      <c r="F571">
        <f t="shared" si="169"/>
        <v>8</v>
      </c>
      <c r="H571">
        <f t="shared" si="171"/>
        <v>1</v>
      </c>
      <c r="I571">
        <f t="shared" si="172"/>
        <v>7</v>
      </c>
      <c r="J571">
        <f t="shared" si="173"/>
        <v>8</v>
      </c>
      <c r="K571" t="str">
        <f t="shared" si="170"/>
        <v>WWB C.HYD_TOT</v>
      </c>
    </row>
    <row r="572" spans="2:11">
      <c r="B572" t="str">
        <f t="shared" si="165"/>
        <v>HYD_TOT_NEW</v>
      </c>
      <c r="C572" t="str">
        <f t="shared" si="166"/>
        <v>WWB C</v>
      </c>
      <c r="D572">
        <f t="shared" si="167"/>
        <v>2050</v>
      </c>
      <c r="E572">
        <f t="shared" si="168"/>
        <v>3981.1998894111143</v>
      </c>
      <c r="F572">
        <f t="shared" si="169"/>
        <v>8</v>
      </c>
      <c r="H572">
        <f t="shared" si="171"/>
        <v>2</v>
      </c>
      <c r="I572">
        <f t="shared" si="172"/>
        <v>7</v>
      </c>
      <c r="J572">
        <f t="shared" si="173"/>
        <v>8</v>
      </c>
      <c r="K572" t="str">
        <f t="shared" si="170"/>
        <v>WWB C.HYD_TOT_NEW</v>
      </c>
    </row>
    <row r="573" spans="2:11">
      <c r="B573" t="str">
        <f t="shared" si="165"/>
        <v>NUC_ELC</v>
      </c>
      <c r="C573" t="str">
        <f t="shared" si="166"/>
        <v>WWB C</v>
      </c>
      <c r="D573">
        <f t="shared" si="167"/>
        <v>2050</v>
      </c>
      <c r="E573">
        <f t="shared" si="168"/>
        <v>0</v>
      </c>
      <c r="F573">
        <f t="shared" si="169"/>
        <v>8</v>
      </c>
      <c r="H573">
        <f t="shared" si="171"/>
        <v>3</v>
      </c>
      <c r="I573">
        <f t="shared" si="172"/>
        <v>7</v>
      </c>
      <c r="J573">
        <f t="shared" si="173"/>
        <v>8</v>
      </c>
      <c r="K573" t="str">
        <f t="shared" si="170"/>
        <v>WWB C.NUC_ELC</v>
      </c>
    </row>
    <row r="574" spans="2:11">
      <c r="B574" t="str">
        <f t="shared" si="165"/>
        <v>FSS_ELC</v>
      </c>
      <c r="C574" t="str">
        <f t="shared" si="166"/>
        <v>WWB C</v>
      </c>
      <c r="D574">
        <f t="shared" si="167"/>
        <v>2050</v>
      </c>
      <c r="E574">
        <f t="shared" si="168"/>
        <v>0</v>
      </c>
      <c r="F574">
        <f t="shared" si="169"/>
        <v>8</v>
      </c>
      <c r="H574">
        <f t="shared" si="171"/>
        <v>4</v>
      </c>
      <c r="I574">
        <f t="shared" si="172"/>
        <v>7</v>
      </c>
      <c r="J574">
        <f t="shared" si="173"/>
        <v>8</v>
      </c>
      <c r="K574" t="str">
        <f t="shared" si="170"/>
        <v>WWB C.FSS_ELC</v>
      </c>
    </row>
    <row r="575" spans="2:11">
      <c r="B575" t="str">
        <f t="shared" si="165"/>
        <v>FSS_CHP</v>
      </c>
      <c r="C575" t="str">
        <f t="shared" si="166"/>
        <v>WWB C</v>
      </c>
      <c r="D575">
        <f t="shared" si="167"/>
        <v>2050</v>
      </c>
      <c r="E575">
        <f t="shared" si="168"/>
        <v>0</v>
      </c>
      <c r="F575">
        <f t="shared" si="169"/>
        <v>8</v>
      </c>
      <c r="H575">
        <f t="shared" si="171"/>
        <v>5</v>
      </c>
      <c r="I575">
        <f t="shared" si="172"/>
        <v>7</v>
      </c>
      <c r="J575">
        <f t="shared" si="173"/>
        <v>8</v>
      </c>
      <c r="K575" t="str">
        <f t="shared" si="170"/>
        <v>WWB C.FSS_CHP</v>
      </c>
    </row>
    <row r="576" spans="2:11">
      <c r="B576" t="str">
        <f t="shared" si="165"/>
        <v>SOL_WIN_BAL_WASREN</v>
      </c>
      <c r="C576" t="str">
        <f t="shared" si="166"/>
        <v>WWB C</v>
      </c>
      <c r="D576">
        <f t="shared" si="167"/>
        <v>2050</v>
      </c>
      <c r="E576">
        <f t="shared" si="168"/>
        <v>0</v>
      </c>
      <c r="F576">
        <f t="shared" si="169"/>
        <v>8</v>
      </c>
      <c r="H576">
        <f t="shared" si="171"/>
        <v>6</v>
      </c>
      <c r="I576">
        <f t="shared" si="172"/>
        <v>7</v>
      </c>
      <c r="J576">
        <f t="shared" si="173"/>
        <v>8</v>
      </c>
      <c r="K576" t="str">
        <f t="shared" si="170"/>
        <v>WWB C.SOL_WIN_BAL_WASREN</v>
      </c>
    </row>
    <row r="577" spans="2:11">
      <c r="B577" t="str">
        <f t="shared" si="165"/>
        <v>FSS_CHP_NEW</v>
      </c>
      <c r="C577" t="str">
        <f t="shared" si="166"/>
        <v>WWB C</v>
      </c>
      <c r="D577">
        <f t="shared" si="167"/>
        <v>2050</v>
      </c>
      <c r="E577">
        <f t="shared" si="168"/>
        <v>729.88664639203762</v>
      </c>
      <c r="F577">
        <f t="shared" si="169"/>
        <v>8</v>
      </c>
      <c r="H577">
        <f t="shared" si="171"/>
        <v>7</v>
      </c>
      <c r="I577">
        <f t="shared" si="172"/>
        <v>7</v>
      </c>
      <c r="J577">
        <f t="shared" si="173"/>
        <v>8</v>
      </c>
      <c r="K577" t="str">
        <f t="shared" si="170"/>
        <v>WWB C.FSS_CHP_NEW</v>
      </c>
    </row>
    <row r="578" spans="2:11">
      <c r="B578" t="str">
        <f t="shared" si="165"/>
        <v>SOL_WIN_BAL_WASREN_NEW</v>
      </c>
      <c r="C578" t="str">
        <f t="shared" si="166"/>
        <v>WWB C</v>
      </c>
      <c r="D578">
        <f t="shared" si="167"/>
        <v>2050</v>
      </c>
      <c r="E578">
        <f t="shared" si="168"/>
        <v>5993.917611280066</v>
      </c>
      <c r="F578">
        <f t="shared" si="169"/>
        <v>8</v>
      </c>
      <c r="H578">
        <f t="shared" si="171"/>
        <v>8</v>
      </c>
      <c r="I578">
        <f t="shared" si="172"/>
        <v>7</v>
      </c>
      <c r="J578">
        <f t="shared" si="173"/>
        <v>8</v>
      </c>
      <c r="K578" t="str">
        <f t="shared" si="170"/>
        <v>WWB C.SOL_WIN_BAL_WASREN_NEW</v>
      </c>
    </row>
    <row r="579" spans="2:11">
      <c r="B579" t="str">
        <f t="shared" si="165"/>
        <v>FSS_ELC_NEW</v>
      </c>
      <c r="C579" t="str">
        <f t="shared" si="166"/>
        <v>WWB C</v>
      </c>
      <c r="D579">
        <f t="shared" si="167"/>
        <v>2050</v>
      </c>
      <c r="E579">
        <f t="shared" si="168"/>
        <v>4401.4376555156205</v>
      </c>
      <c r="F579">
        <f t="shared" si="169"/>
        <v>8</v>
      </c>
      <c r="H579">
        <f t="shared" si="171"/>
        <v>9</v>
      </c>
      <c r="I579">
        <f t="shared" si="172"/>
        <v>7</v>
      </c>
      <c r="J579">
        <f t="shared" si="173"/>
        <v>8</v>
      </c>
      <c r="K579" t="str">
        <f t="shared" si="170"/>
        <v>WWB C.FSS_ELC_NEW</v>
      </c>
    </row>
    <row r="580" spans="2:11">
      <c r="B580" t="str">
        <f t="shared" si="165"/>
        <v>HYD_TOT</v>
      </c>
      <c r="C580" t="str">
        <f t="shared" si="166"/>
        <v>WWB C&amp;E</v>
      </c>
      <c r="D580">
        <f t="shared" si="167"/>
        <v>2050</v>
      </c>
      <c r="E580">
        <f t="shared" si="168"/>
        <v>13757.395631739009</v>
      </c>
      <c r="F580">
        <f t="shared" si="169"/>
        <v>8</v>
      </c>
      <c r="H580">
        <f t="shared" si="171"/>
        <v>1</v>
      </c>
      <c r="I580">
        <f t="shared" si="172"/>
        <v>8</v>
      </c>
      <c r="J580">
        <f t="shared" si="173"/>
        <v>8</v>
      </c>
      <c r="K580" t="str">
        <f t="shared" si="170"/>
        <v>WWB C&amp;E.HYD_TOT</v>
      </c>
    </row>
    <row r="581" spans="2:11">
      <c r="B581" t="str">
        <f t="shared" si="165"/>
        <v>HYD_TOT_NEW</v>
      </c>
      <c r="C581" t="str">
        <f t="shared" si="166"/>
        <v>WWB C&amp;E</v>
      </c>
      <c r="D581">
        <f t="shared" si="167"/>
        <v>2050</v>
      </c>
      <c r="E581">
        <f t="shared" si="168"/>
        <v>4799.4194083494613</v>
      </c>
      <c r="F581">
        <f t="shared" si="169"/>
        <v>8</v>
      </c>
      <c r="H581">
        <f t="shared" si="171"/>
        <v>2</v>
      </c>
      <c r="I581">
        <f t="shared" si="172"/>
        <v>8</v>
      </c>
      <c r="J581">
        <f t="shared" si="173"/>
        <v>8</v>
      </c>
      <c r="K581" t="str">
        <f t="shared" si="170"/>
        <v>WWB C&amp;E.HYD_TOT_NEW</v>
      </c>
    </row>
    <row r="582" spans="2:11">
      <c r="B582" t="str">
        <f t="shared" si="165"/>
        <v>NUC_ELC</v>
      </c>
      <c r="C582" t="str">
        <f t="shared" si="166"/>
        <v>WWB C&amp;E</v>
      </c>
      <c r="D582">
        <f t="shared" si="167"/>
        <v>2050</v>
      </c>
      <c r="E582">
        <f t="shared" si="168"/>
        <v>0</v>
      </c>
      <c r="F582">
        <f t="shared" si="169"/>
        <v>8</v>
      </c>
      <c r="H582">
        <f t="shared" si="171"/>
        <v>3</v>
      </c>
      <c r="I582">
        <f t="shared" si="172"/>
        <v>8</v>
      </c>
      <c r="J582">
        <f t="shared" si="173"/>
        <v>8</v>
      </c>
      <c r="K582" t="str">
        <f t="shared" si="170"/>
        <v>WWB C&amp;E.NUC_ELC</v>
      </c>
    </row>
    <row r="583" spans="2:11">
      <c r="B583" t="str">
        <f t="shared" si="165"/>
        <v>FSS_ELC</v>
      </c>
      <c r="C583" t="str">
        <f t="shared" si="166"/>
        <v>WWB C&amp;E</v>
      </c>
      <c r="D583">
        <f t="shared" si="167"/>
        <v>2050</v>
      </c>
      <c r="E583">
        <f t="shared" si="168"/>
        <v>0</v>
      </c>
      <c r="F583">
        <f t="shared" si="169"/>
        <v>8</v>
      </c>
      <c r="H583">
        <f t="shared" si="171"/>
        <v>4</v>
      </c>
      <c r="I583">
        <f t="shared" si="172"/>
        <v>8</v>
      </c>
      <c r="J583">
        <f t="shared" si="173"/>
        <v>8</v>
      </c>
      <c r="K583" t="str">
        <f t="shared" si="170"/>
        <v>WWB C&amp;E.FSS_ELC</v>
      </c>
    </row>
    <row r="584" spans="2:11">
      <c r="B584" t="str">
        <f t="shared" si="165"/>
        <v>FSS_CHP</v>
      </c>
      <c r="C584" t="str">
        <f t="shared" si="166"/>
        <v>WWB C&amp;E</v>
      </c>
      <c r="D584">
        <f t="shared" si="167"/>
        <v>2050</v>
      </c>
      <c r="E584">
        <f t="shared" si="168"/>
        <v>0</v>
      </c>
      <c r="F584">
        <f t="shared" si="169"/>
        <v>8</v>
      </c>
      <c r="H584">
        <f t="shared" si="171"/>
        <v>5</v>
      </c>
      <c r="I584">
        <f t="shared" si="172"/>
        <v>8</v>
      </c>
      <c r="J584">
        <f t="shared" si="173"/>
        <v>8</v>
      </c>
      <c r="K584" t="str">
        <f t="shared" si="170"/>
        <v>WWB C&amp;E.FSS_CHP</v>
      </c>
    </row>
    <row r="585" spans="2:11">
      <c r="B585" t="str">
        <f t="shared" si="165"/>
        <v>SOL_WIN_BAL_WASREN</v>
      </c>
      <c r="C585" t="str">
        <f t="shared" si="166"/>
        <v>WWB C&amp;E</v>
      </c>
      <c r="D585">
        <f t="shared" si="167"/>
        <v>2050</v>
      </c>
      <c r="E585">
        <f t="shared" si="168"/>
        <v>0</v>
      </c>
      <c r="F585">
        <f t="shared" si="169"/>
        <v>8</v>
      </c>
      <c r="H585">
        <f t="shared" si="171"/>
        <v>6</v>
      </c>
      <c r="I585">
        <f t="shared" si="172"/>
        <v>8</v>
      </c>
      <c r="J585">
        <f t="shared" si="173"/>
        <v>8</v>
      </c>
      <c r="K585" t="str">
        <f t="shared" si="170"/>
        <v>WWB C&amp;E.SOL_WIN_BAL_WASREN</v>
      </c>
    </row>
    <row r="586" spans="2:11">
      <c r="B586" t="str">
        <f t="shared" si="165"/>
        <v>FSS_CHP_NEW</v>
      </c>
      <c r="C586" t="str">
        <f t="shared" si="166"/>
        <v>WWB C&amp;E</v>
      </c>
      <c r="D586">
        <f t="shared" si="167"/>
        <v>2050</v>
      </c>
      <c r="E586">
        <f t="shared" si="168"/>
        <v>707.76886922864253</v>
      </c>
      <c r="F586">
        <f t="shared" si="169"/>
        <v>8</v>
      </c>
      <c r="H586">
        <f t="shared" si="171"/>
        <v>7</v>
      </c>
      <c r="I586">
        <f t="shared" si="172"/>
        <v>8</v>
      </c>
      <c r="J586">
        <f t="shared" si="173"/>
        <v>8</v>
      </c>
      <c r="K586" t="str">
        <f t="shared" si="170"/>
        <v>WWB C&amp;E.FSS_CHP_NEW</v>
      </c>
    </row>
    <row r="587" spans="2:11">
      <c r="B587" t="str">
        <f t="shared" si="165"/>
        <v>SOL_WIN_BAL_WASREN_NEW</v>
      </c>
      <c r="C587" t="str">
        <f t="shared" si="166"/>
        <v>WWB C&amp;E</v>
      </c>
      <c r="D587">
        <f t="shared" si="167"/>
        <v>2050</v>
      </c>
      <c r="E587">
        <f t="shared" si="168"/>
        <v>12717.721868952171</v>
      </c>
      <c r="F587">
        <f t="shared" si="169"/>
        <v>8</v>
      </c>
      <c r="H587">
        <f t="shared" si="171"/>
        <v>8</v>
      </c>
      <c r="I587">
        <f t="shared" si="172"/>
        <v>8</v>
      </c>
      <c r="J587">
        <f t="shared" si="173"/>
        <v>8</v>
      </c>
      <c r="K587" t="str">
        <f t="shared" si="170"/>
        <v>WWB C&amp;E.SOL_WIN_BAL_WASREN_NEW</v>
      </c>
    </row>
    <row r="588" spans="2:11">
      <c r="B588" t="str">
        <f t="shared" si="165"/>
        <v>FSS_ELC_NEW</v>
      </c>
      <c r="C588" t="str">
        <f t="shared" si="166"/>
        <v>WWB C&amp;E</v>
      </c>
      <c r="D588">
        <f t="shared" si="167"/>
        <v>2050</v>
      </c>
      <c r="E588">
        <f t="shared" si="168"/>
        <v>2720.4865910975946</v>
      </c>
      <c r="F588">
        <f t="shared" si="169"/>
        <v>8</v>
      </c>
      <c r="H588">
        <f t="shared" si="171"/>
        <v>9</v>
      </c>
      <c r="I588">
        <f t="shared" si="172"/>
        <v>8</v>
      </c>
      <c r="J588">
        <f t="shared" si="173"/>
        <v>8</v>
      </c>
      <c r="K588" t="str">
        <f t="shared" si="170"/>
        <v>WWB C&amp;E.FSS_ELC_NEW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383"/>
  <sheetViews>
    <sheetView topLeftCell="G19" zoomScale="70" zoomScaleNormal="70" workbookViewId="0">
      <selection activeCell="T21" sqref="T21"/>
    </sheetView>
  </sheetViews>
  <sheetFormatPr defaultRowHeight="14.25"/>
  <cols>
    <col min="1" max="9" width="10.625" customWidth="1"/>
    <col min="10" max="10" width="18.625" customWidth="1"/>
    <col min="11" max="12" width="10.625" customWidth="1"/>
    <col min="13" max="13" width="17.625" customWidth="1"/>
    <col min="14" max="14" width="10.625" customWidth="1"/>
    <col min="15" max="15" width="23.875" customWidth="1"/>
    <col min="16" max="28" width="10.625" customWidth="1"/>
  </cols>
  <sheetData>
    <row r="3" spans="7:17">
      <c r="G3">
        <f>COUNTA(G4:G17)</f>
        <v>8</v>
      </c>
      <c r="H3">
        <f>COUNTA(H4:H17)</f>
        <v>10</v>
      </c>
      <c r="I3">
        <f>COUNTA(I4:I17)</f>
        <v>3</v>
      </c>
      <c r="J3">
        <f>PRODUCT(G3:I3)</f>
        <v>240</v>
      </c>
      <c r="M3" t="s">
        <v>357</v>
      </c>
      <c r="N3" t="s">
        <v>32</v>
      </c>
      <c r="O3" t="s">
        <v>8</v>
      </c>
      <c r="P3" t="s">
        <v>51</v>
      </c>
      <c r="Q3" t="s">
        <v>358</v>
      </c>
    </row>
    <row r="4" spans="7:17">
      <c r="G4">
        <v>2015</v>
      </c>
      <c r="H4" t="s">
        <v>105</v>
      </c>
      <c r="I4" t="s">
        <v>142</v>
      </c>
      <c r="M4" t="s">
        <v>11</v>
      </c>
      <c r="N4" t="s">
        <v>14</v>
      </c>
      <c r="O4">
        <v>213607.48</v>
      </c>
      <c r="P4">
        <v>46.2</v>
      </c>
      <c r="Q4">
        <v>4623.5385281385297</v>
      </c>
    </row>
    <row r="5" spans="7:17">
      <c r="G5">
        <v>2020</v>
      </c>
      <c r="H5" t="s">
        <v>120</v>
      </c>
      <c r="I5" t="s">
        <v>296</v>
      </c>
      <c r="M5" t="s">
        <v>131</v>
      </c>
      <c r="N5" t="s">
        <v>14</v>
      </c>
      <c r="O5">
        <v>1118550</v>
      </c>
      <c r="P5">
        <v>1390.1</v>
      </c>
      <c r="Q5">
        <v>804.65434141428705</v>
      </c>
    </row>
    <row r="6" spans="7:17">
      <c r="G6">
        <v>2025</v>
      </c>
      <c r="H6" t="s">
        <v>110</v>
      </c>
      <c r="I6" t="s">
        <v>143</v>
      </c>
      <c r="M6" t="s">
        <v>24</v>
      </c>
      <c r="N6" t="s">
        <v>14</v>
      </c>
      <c r="O6">
        <v>2184173.5</v>
      </c>
      <c r="P6">
        <v>439.268492108766</v>
      </c>
      <c r="Q6">
        <v>4972.2972151145796</v>
      </c>
    </row>
    <row r="7" spans="7:17">
      <c r="G7">
        <v>2030</v>
      </c>
      <c r="H7" t="s">
        <v>55</v>
      </c>
      <c r="M7" t="s">
        <v>141</v>
      </c>
      <c r="N7" t="s">
        <v>14</v>
      </c>
      <c r="O7">
        <v>110030</v>
      </c>
      <c r="P7">
        <v>60.287999999999997</v>
      </c>
      <c r="Q7">
        <v>1825.07298301486</v>
      </c>
    </row>
    <row r="8" spans="7:17">
      <c r="G8">
        <v>2035</v>
      </c>
      <c r="H8" t="s">
        <v>65</v>
      </c>
      <c r="M8" t="s">
        <v>23</v>
      </c>
      <c r="N8" t="s">
        <v>14</v>
      </c>
      <c r="O8">
        <v>0</v>
      </c>
      <c r="P8">
        <v>0</v>
      </c>
      <c r="Q8">
        <f>8760*0.9</f>
        <v>7884</v>
      </c>
    </row>
    <row r="9" spans="7:17">
      <c r="G9">
        <v>2040</v>
      </c>
      <c r="H9" t="s">
        <v>95</v>
      </c>
    </row>
    <row r="10" spans="7:17">
      <c r="G10">
        <v>2045</v>
      </c>
      <c r="H10" t="s">
        <v>461</v>
      </c>
    </row>
    <row r="11" spans="7:17">
      <c r="G11">
        <v>2050</v>
      </c>
      <c r="H11" t="s">
        <v>145</v>
      </c>
    </row>
    <row r="12" spans="7:17">
      <c r="H12" t="s">
        <v>460</v>
      </c>
    </row>
    <row r="13" spans="7:17">
      <c r="H13" t="s">
        <v>441</v>
      </c>
    </row>
    <row r="18" spans="2:26">
      <c r="B18" t="s">
        <v>130</v>
      </c>
      <c r="C18" t="s">
        <v>128</v>
      </c>
      <c r="D18" t="s">
        <v>30</v>
      </c>
      <c r="E18" t="s">
        <v>359</v>
      </c>
      <c r="F18" t="s">
        <v>360</v>
      </c>
    </row>
    <row r="19" spans="2:26">
      <c r="B19">
        <f t="shared" ref="B19:B50" si="0">INDEX(G$4:G$17,G19)</f>
        <v>2015</v>
      </c>
      <c r="C19" t="str">
        <f t="shared" ref="C19:C50" si="1">INDEX(H$4:H$17,H19)</f>
        <v>SOL_PHO</v>
      </c>
      <c r="D19" t="str">
        <f t="shared" ref="D19:D50" si="2">INDEX(I$4:I$17,I19)</f>
        <v>POM C</v>
      </c>
      <c r="E19" s="27">
        <f t="shared" ref="E19:E82" si="3">INDEX($S$20:$Z$64,MATCH(J19,$M$20:$M$64,0),MATCH(B19,$S$19:$Z$19,0))</f>
        <v>1390.1</v>
      </c>
      <c r="F19">
        <f t="shared" ref="F19:F50" si="4">INDEX(P$127:Z$204,MATCH(J19,AB$127:AB$204,0),MATCH(B19,P$126:Z$126,0))</f>
        <v>0.21</v>
      </c>
      <c r="G19">
        <v>1</v>
      </c>
      <c r="H19">
        <v>1</v>
      </c>
      <c r="I19">
        <v>1</v>
      </c>
      <c r="J19" t="str">
        <f t="shared" ref="J19:J82" si="5">C19&amp;"."&amp;D19</f>
        <v>SOL_PHO.POM C</v>
      </c>
      <c r="S19">
        <v>2015</v>
      </c>
      <c r="T19">
        <v>2020</v>
      </c>
      <c r="U19">
        <v>2025</v>
      </c>
      <c r="V19">
        <v>2030</v>
      </c>
      <c r="W19">
        <v>2035</v>
      </c>
      <c r="X19">
        <v>2040</v>
      </c>
      <c r="Y19">
        <v>2045</v>
      </c>
      <c r="Z19">
        <v>2050</v>
      </c>
    </row>
    <row r="20" spans="2:26" ht="15">
      <c r="B20">
        <f t="shared" si="0"/>
        <v>2020</v>
      </c>
      <c r="C20" t="str">
        <f t="shared" si="1"/>
        <v>SOL_PHO</v>
      </c>
      <c r="D20" t="str">
        <f t="shared" si="2"/>
        <v>POM C</v>
      </c>
      <c r="E20" s="27">
        <f t="shared" si="3"/>
        <v>1525.9533324236615</v>
      </c>
      <c r="F20">
        <f t="shared" si="4"/>
        <v>0.34</v>
      </c>
      <c r="G20">
        <f t="shared" ref="G20:G83" si="6">IF(G19=$G$3,1,G19+1)</f>
        <v>2</v>
      </c>
      <c r="H20">
        <f t="shared" ref="H20:H83" si="7">IF(G20=1,IF(H19=$H$3,1,H19+1),H19)</f>
        <v>1</v>
      </c>
      <c r="I20">
        <f t="shared" ref="I20:I83" si="8">IF(AND(H20=1,H19&gt;1),IF(I19=$I$3,1,I19+1),I19)</f>
        <v>1</v>
      </c>
      <c r="J20" t="str">
        <f t="shared" si="5"/>
        <v>SOL_PHO.POM C</v>
      </c>
      <c r="L20" t="s">
        <v>131</v>
      </c>
      <c r="M20" t="str">
        <f t="shared" ref="M20:M48" si="9">N20&amp;"."&amp;O20</f>
        <v>SOL_PHO.POM C</v>
      </c>
      <c r="N20" t="s">
        <v>105</v>
      </c>
      <c r="O20" t="s">
        <v>142</v>
      </c>
      <c r="S20" s="132">
        <f t="shared" ref="S20:S48" si="10">INDEX($P$4:$P$8,MATCH($L20,$M$4:$M$8,0))</f>
        <v>1390.1</v>
      </c>
      <c r="T20">
        <f t="shared" ref="T20:Z29" si="11">(T71-$S71)/($Z71-$S71)*($Z71-$S20)+$S20</f>
        <v>1525.9533324236615</v>
      </c>
      <c r="U20">
        <f t="shared" si="11"/>
        <v>1745.4087155695768</v>
      </c>
      <c r="V20">
        <f t="shared" si="11"/>
        <v>2173.8692255211249</v>
      </c>
      <c r="W20">
        <f t="shared" si="11"/>
        <v>3804.1092146050651</v>
      </c>
      <c r="X20">
        <f t="shared" si="11"/>
        <v>4807.3338232721062</v>
      </c>
      <c r="Y20">
        <f t="shared" si="11"/>
        <v>6113.6158658073145</v>
      </c>
      <c r="Z20">
        <f t="shared" si="11"/>
        <v>7357.1963703008332</v>
      </c>
    </row>
    <row r="21" spans="2:26" ht="15">
      <c r="B21">
        <f t="shared" si="0"/>
        <v>2025</v>
      </c>
      <c r="C21" t="str">
        <f t="shared" si="1"/>
        <v>SOL_PHO</v>
      </c>
      <c r="D21" t="str">
        <f t="shared" si="2"/>
        <v>POM C</v>
      </c>
      <c r="E21" s="27">
        <f t="shared" si="3"/>
        <v>1745.4087155695768</v>
      </c>
      <c r="F21">
        <f t="shared" si="4"/>
        <v>0.55000000000000004</v>
      </c>
      <c r="G21">
        <f t="shared" si="6"/>
        <v>3</v>
      </c>
      <c r="H21">
        <f t="shared" si="7"/>
        <v>1</v>
      </c>
      <c r="I21">
        <f t="shared" si="8"/>
        <v>1</v>
      </c>
      <c r="J21" t="str">
        <f t="shared" si="5"/>
        <v>SOL_PHO.POM C</v>
      </c>
      <c r="L21" t="s">
        <v>131</v>
      </c>
      <c r="M21" t="str">
        <f t="shared" si="9"/>
        <v>SOL_PHO.POM C&amp;E</v>
      </c>
      <c r="N21" t="s">
        <v>105</v>
      </c>
      <c r="O21" t="s">
        <v>296</v>
      </c>
      <c r="S21" s="132">
        <f t="shared" si="10"/>
        <v>1390.1</v>
      </c>
      <c r="T21">
        <f t="shared" si="11"/>
        <v>1665.2918506448036</v>
      </c>
      <c r="U21">
        <f t="shared" si="11"/>
        <v>2192.7428977140107</v>
      </c>
      <c r="V21">
        <f t="shared" si="11"/>
        <v>3259.1113189626258</v>
      </c>
      <c r="W21">
        <f t="shared" si="11"/>
        <v>6160.0920778432665</v>
      </c>
      <c r="X21">
        <f t="shared" si="11"/>
        <v>8797.3473131893006</v>
      </c>
      <c r="Y21">
        <f t="shared" si="11"/>
        <v>11652.462763629143</v>
      </c>
      <c r="Z21">
        <f t="shared" si="11"/>
        <v>13819.598587456969</v>
      </c>
    </row>
    <row r="22" spans="2:26" ht="15">
      <c r="B22">
        <f t="shared" si="0"/>
        <v>2030</v>
      </c>
      <c r="C22" t="str">
        <f t="shared" si="1"/>
        <v>SOL_PHO</v>
      </c>
      <c r="D22" t="str">
        <f t="shared" si="2"/>
        <v>POM C</v>
      </c>
      <c r="E22" s="27">
        <f t="shared" si="3"/>
        <v>2173.8692255211249</v>
      </c>
      <c r="F22">
        <f t="shared" si="4"/>
        <v>0.96</v>
      </c>
      <c r="G22">
        <f t="shared" si="6"/>
        <v>4</v>
      </c>
      <c r="H22">
        <f t="shared" si="7"/>
        <v>1</v>
      </c>
      <c r="I22">
        <f t="shared" si="8"/>
        <v>1</v>
      </c>
      <c r="J22" t="str">
        <f t="shared" si="5"/>
        <v>SOL_PHO.POM C</v>
      </c>
      <c r="L22" t="s">
        <v>131</v>
      </c>
      <c r="M22" t="str">
        <f t="shared" si="9"/>
        <v>SOL_PHO.POM E</v>
      </c>
      <c r="N22" t="s">
        <v>105</v>
      </c>
      <c r="O22" t="s">
        <v>143</v>
      </c>
      <c r="S22" s="132">
        <f t="shared" si="10"/>
        <v>1390.1</v>
      </c>
      <c r="T22">
        <f t="shared" si="11"/>
        <v>1665.2918506448036</v>
      </c>
      <c r="U22">
        <f t="shared" si="11"/>
        <v>2192.7428977140107</v>
      </c>
      <c r="V22">
        <f t="shared" si="11"/>
        <v>3259.1113189626258</v>
      </c>
      <c r="W22">
        <f t="shared" si="11"/>
        <v>6160.0920778432665</v>
      </c>
      <c r="X22">
        <f t="shared" si="11"/>
        <v>8797.3473131893006</v>
      </c>
      <c r="Y22">
        <f t="shared" si="11"/>
        <v>11652.462763629143</v>
      </c>
      <c r="Z22">
        <f t="shared" si="11"/>
        <v>13819.598587456969</v>
      </c>
    </row>
    <row r="23" spans="2:26" ht="15">
      <c r="B23">
        <f t="shared" si="0"/>
        <v>2035</v>
      </c>
      <c r="C23" t="str">
        <f t="shared" si="1"/>
        <v>SOL_PHO</v>
      </c>
      <c r="D23" t="str">
        <f t="shared" si="2"/>
        <v>POM C</v>
      </c>
      <c r="E23" s="27">
        <f t="shared" si="3"/>
        <v>3804.1092146050651</v>
      </c>
      <c r="F23">
        <f t="shared" si="4"/>
        <v>2.52</v>
      </c>
      <c r="G23">
        <f t="shared" si="6"/>
        <v>5</v>
      </c>
      <c r="H23">
        <f t="shared" si="7"/>
        <v>1</v>
      </c>
      <c r="I23">
        <f t="shared" si="8"/>
        <v>1</v>
      </c>
      <c r="J23" t="str">
        <f t="shared" si="5"/>
        <v>SOL_PHO.POM C</v>
      </c>
      <c r="L23" t="s">
        <v>141</v>
      </c>
      <c r="M23" t="str">
        <f t="shared" si="9"/>
        <v>WIN_ONS.POM C</v>
      </c>
      <c r="N23" t="s">
        <v>120</v>
      </c>
      <c r="O23" t="s">
        <v>142</v>
      </c>
      <c r="S23" s="132">
        <f t="shared" si="10"/>
        <v>60.287999999999997</v>
      </c>
      <c r="T23">
        <f t="shared" si="11"/>
        <v>87.268448637974814</v>
      </c>
      <c r="U23">
        <f t="shared" si="11"/>
        <v>146.62543564151935</v>
      </c>
      <c r="V23">
        <f t="shared" si="11"/>
        <v>319.30030692455807</v>
      </c>
      <c r="W23">
        <f t="shared" si="11"/>
        <v>427.22210147645728</v>
      </c>
      <c r="X23">
        <f t="shared" si="11"/>
        <v>562.12434466633124</v>
      </c>
      <c r="Y23">
        <f t="shared" si="11"/>
        <v>686.23440840101534</v>
      </c>
      <c r="Z23">
        <f t="shared" si="11"/>
        <v>772.57184404253462</v>
      </c>
    </row>
    <row r="24" spans="2:26" ht="15">
      <c r="B24">
        <f t="shared" si="0"/>
        <v>2040</v>
      </c>
      <c r="C24" t="str">
        <f t="shared" si="1"/>
        <v>SOL_PHO</v>
      </c>
      <c r="D24" t="str">
        <f t="shared" si="2"/>
        <v>POM C</v>
      </c>
      <c r="E24" s="27">
        <f t="shared" si="3"/>
        <v>4807.3338232721062</v>
      </c>
      <c r="F24">
        <f t="shared" si="4"/>
        <v>3.48</v>
      </c>
      <c r="G24">
        <f t="shared" si="6"/>
        <v>6</v>
      </c>
      <c r="H24">
        <f t="shared" si="7"/>
        <v>1</v>
      </c>
      <c r="I24">
        <f t="shared" si="8"/>
        <v>1</v>
      </c>
      <c r="J24" t="str">
        <f t="shared" si="5"/>
        <v>SOL_PHO.POM C</v>
      </c>
      <c r="L24" t="s">
        <v>141</v>
      </c>
      <c r="M24" t="str">
        <f t="shared" si="9"/>
        <v>WIN_ONS.POM C&amp;E</v>
      </c>
      <c r="N24" t="s">
        <v>120</v>
      </c>
      <c r="O24" t="s">
        <v>296</v>
      </c>
      <c r="S24" s="132">
        <f t="shared" si="10"/>
        <v>60.287999999999997</v>
      </c>
      <c r="T24">
        <f t="shared" si="11"/>
        <v>240.56887508707831</v>
      </c>
      <c r="U24">
        <f t="shared" si="11"/>
        <v>432.4807743733229</v>
      </c>
      <c r="V24">
        <f t="shared" si="11"/>
        <v>705.80984305373192</v>
      </c>
      <c r="W24">
        <f t="shared" si="11"/>
        <v>880.27520604122697</v>
      </c>
      <c r="X24">
        <f t="shared" si="11"/>
        <v>1362.9627103066302</v>
      </c>
      <c r="Y24">
        <f t="shared" si="11"/>
        <v>1851.4657266716167</v>
      </c>
      <c r="Z24">
        <f t="shared" si="11"/>
        <v>2334.15323093702</v>
      </c>
    </row>
    <row r="25" spans="2:26" ht="15">
      <c r="B25">
        <f t="shared" si="0"/>
        <v>2045</v>
      </c>
      <c r="C25" t="str">
        <f t="shared" si="1"/>
        <v>SOL_PHO</v>
      </c>
      <c r="D25" t="str">
        <f t="shared" si="2"/>
        <v>POM C</v>
      </c>
      <c r="E25" s="27">
        <f t="shared" si="3"/>
        <v>6113.6158658073145</v>
      </c>
      <c r="F25">
        <f t="shared" si="4"/>
        <v>4.7300000000000004</v>
      </c>
      <c r="G25">
        <f t="shared" si="6"/>
        <v>7</v>
      </c>
      <c r="H25">
        <f t="shared" si="7"/>
        <v>1</v>
      </c>
      <c r="I25">
        <f t="shared" si="8"/>
        <v>1</v>
      </c>
      <c r="J25" t="str">
        <f t="shared" si="5"/>
        <v>SOL_PHO.POM C</v>
      </c>
      <c r="L25" t="s">
        <v>141</v>
      </c>
      <c r="M25" t="str">
        <f t="shared" si="9"/>
        <v>WIN_ONS.POM E</v>
      </c>
      <c r="N25" t="s">
        <v>120</v>
      </c>
      <c r="O25" t="s">
        <v>143</v>
      </c>
      <c r="S25" s="132">
        <f t="shared" si="10"/>
        <v>60.287999999999997</v>
      </c>
      <c r="T25">
        <f t="shared" si="11"/>
        <v>240.56887508707831</v>
      </c>
      <c r="U25">
        <f t="shared" si="11"/>
        <v>432.4807743733229</v>
      </c>
      <c r="V25">
        <f t="shared" si="11"/>
        <v>705.80984305373192</v>
      </c>
      <c r="W25">
        <f t="shared" si="11"/>
        <v>880.27520604122697</v>
      </c>
      <c r="X25">
        <f t="shared" si="11"/>
        <v>1362.9627103066302</v>
      </c>
      <c r="Y25">
        <f t="shared" si="11"/>
        <v>1851.4657266716167</v>
      </c>
      <c r="Z25">
        <f t="shared" si="11"/>
        <v>2334.15323093702</v>
      </c>
    </row>
    <row r="26" spans="2:26" ht="15">
      <c r="B26">
        <f t="shared" si="0"/>
        <v>2050</v>
      </c>
      <c r="C26" t="str">
        <f t="shared" si="1"/>
        <v>SOL_PHO</v>
      </c>
      <c r="D26" t="str">
        <f t="shared" si="2"/>
        <v>POM C</v>
      </c>
      <c r="E26" s="27">
        <f t="shared" si="3"/>
        <v>7357.1963703008332</v>
      </c>
      <c r="F26">
        <f t="shared" si="4"/>
        <v>5.92</v>
      </c>
      <c r="G26">
        <f t="shared" si="6"/>
        <v>8</v>
      </c>
      <c r="H26">
        <f t="shared" si="7"/>
        <v>1</v>
      </c>
      <c r="I26">
        <f t="shared" si="8"/>
        <v>1</v>
      </c>
      <c r="J26" t="str">
        <f t="shared" si="5"/>
        <v>SOL_PHO.POM C</v>
      </c>
      <c r="L26" t="s">
        <v>24</v>
      </c>
      <c r="M26" t="str">
        <f t="shared" si="9"/>
        <v>WAS_ELC.POM C</v>
      </c>
      <c r="N26" t="s">
        <v>110</v>
      </c>
      <c r="O26" t="s">
        <v>142</v>
      </c>
      <c r="S26" s="132">
        <f t="shared" si="10"/>
        <v>439.268492108766</v>
      </c>
      <c r="T26">
        <f t="shared" si="11"/>
        <v>439.268492108766</v>
      </c>
      <c r="U26">
        <f t="shared" si="11"/>
        <v>414.63116760861027</v>
      </c>
      <c r="V26">
        <f t="shared" si="11"/>
        <v>406.41872610855842</v>
      </c>
      <c r="W26">
        <f t="shared" si="11"/>
        <v>406.41872610855842</v>
      </c>
      <c r="X26">
        <f t="shared" si="11"/>
        <v>398.20628460850639</v>
      </c>
      <c r="Y26">
        <f t="shared" si="11"/>
        <v>398.20628460850639</v>
      </c>
      <c r="Z26">
        <f t="shared" si="11"/>
        <v>398.20628460850639</v>
      </c>
    </row>
    <row r="27" spans="2:26" ht="15">
      <c r="B27">
        <f t="shared" si="0"/>
        <v>2015</v>
      </c>
      <c r="C27" t="str">
        <f t="shared" si="1"/>
        <v>WIN_ONS</v>
      </c>
      <c r="D27" t="str">
        <f t="shared" si="2"/>
        <v>POM C</v>
      </c>
      <c r="E27" s="27">
        <f t="shared" si="3"/>
        <v>60.287999999999997</v>
      </c>
      <c r="F27">
        <f t="shared" si="4"/>
        <v>0.09</v>
      </c>
      <c r="G27">
        <f t="shared" si="6"/>
        <v>1</v>
      </c>
      <c r="H27">
        <f t="shared" si="7"/>
        <v>2</v>
      </c>
      <c r="I27">
        <f t="shared" si="8"/>
        <v>1</v>
      </c>
      <c r="J27" t="str">
        <f t="shared" si="5"/>
        <v>WIN_ONS.POM C</v>
      </c>
      <c r="L27" t="s">
        <v>24</v>
      </c>
      <c r="M27" t="str">
        <f t="shared" si="9"/>
        <v>WAS_ELC.POM C&amp;E</v>
      </c>
      <c r="N27" t="s">
        <v>110</v>
      </c>
      <c r="O27" t="s">
        <v>296</v>
      </c>
      <c r="S27" s="132">
        <f t="shared" si="10"/>
        <v>439.268492108766</v>
      </c>
      <c r="T27">
        <f t="shared" si="11"/>
        <v>470.22880300472525</v>
      </c>
      <c r="U27">
        <f t="shared" si="11"/>
        <v>506.81826133631336</v>
      </c>
      <c r="V27">
        <f t="shared" si="11"/>
        <v>532.14942479664364</v>
      </c>
      <c r="W27">
        <f t="shared" si="11"/>
        <v>532.14942479664364</v>
      </c>
      <c r="X27">
        <f t="shared" si="11"/>
        <v>534.96399851445813</v>
      </c>
      <c r="Y27">
        <f t="shared" si="11"/>
        <v>534.96399851445813</v>
      </c>
      <c r="Z27">
        <f t="shared" si="11"/>
        <v>534.96399851445813</v>
      </c>
    </row>
    <row r="28" spans="2:26" ht="15">
      <c r="B28">
        <f t="shared" si="0"/>
        <v>2020</v>
      </c>
      <c r="C28" t="str">
        <f t="shared" si="1"/>
        <v>WIN_ONS</v>
      </c>
      <c r="D28" t="str">
        <f t="shared" si="2"/>
        <v>POM C</v>
      </c>
      <c r="E28" s="27">
        <f t="shared" si="3"/>
        <v>87.268448637974814</v>
      </c>
      <c r="F28">
        <f t="shared" si="4"/>
        <v>0.14000000000000001</v>
      </c>
      <c r="G28">
        <f t="shared" si="6"/>
        <v>2</v>
      </c>
      <c r="H28">
        <f t="shared" si="7"/>
        <v>2</v>
      </c>
      <c r="I28">
        <f t="shared" si="8"/>
        <v>1</v>
      </c>
      <c r="J28" t="str">
        <f t="shared" si="5"/>
        <v>WIN_ONS.POM C</v>
      </c>
      <c r="L28" t="s">
        <v>24</v>
      </c>
      <c r="M28" t="str">
        <f t="shared" si="9"/>
        <v>WAS_ELC.POM E</v>
      </c>
      <c r="N28" t="s">
        <v>110</v>
      </c>
      <c r="O28" t="s">
        <v>143</v>
      </c>
      <c r="S28" s="132">
        <f t="shared" si="10"/>
        <v>439.268492108766</v>
      </c>
      <c r="T28">
        <f t="shared" si="11"/>
        <v>470.22880300472525</v>
      </c>
      <c r="U28">
        <f t="shared" si="11"/>
        <v>506.81826133631336</v>
      </c>
      <c r="V28">
        <f t="shared" si="11"/>
        <v>532.14942479664364</v>
      </c>
      <c r="W28">
        <f t="shared" si="11"/>
        <v>532.14942479664364</v>
      </c>
      <c r="X28">
        <f t="shared" si="11"/>
        <v>534.96399851445813</v>
      </c>
      <c r="Y28">
        <f t="shared" si="11"/>
        <v>534.96399851445813</v>
      </c>
      <c r="Z28">
        <f t="shared" si="11"/>
        <v>534.96399851445813</v>
      </c>
    </row>
    <row r="29" spans="2:26" ht="15">
      <c r="B29">
        <f t="shared" si="0"/>
        <v>2025</v>
      </c>
      <c r="C29" t="str">
        <f t="shared" si="1"/>
        <v>WIN_ONS</v>
      </c>
      <c r="D29" t="str">
        <f t="shared" si="2"/>
        <v>POM C</v>
      </c>
      <c r="E29" s="27">
        <f t="shared" si="3"/>
        <v>146.62543564151935</v>
      </c>
      <c r="F29">
        <f t="shared" si="4"/>
        <v>0.25</v>
      </c>
      <c r="G29">
        <f t="shared" si="6"/>
        <v>3</v>
      </c>
      <c r="H29">
        <f t="shared" si="7"/>
        <v>2</v>
      </c>
      <c r="I29">
        <f t="shared" si="8"/>
        <v>1</v>
      </c>
      <c r="J29" t="str">
        <f t="shared" si="5"/>
        <v>WIN_ONS.POM C</v>
      </c>
      <c r="L29" t="s">
        <v>11</v>
      </c>
      <c r="M29" t="str">
        <f t="shared" si="9"/>
        <v>BAL_ELC.POM C</v>
      </c>
      <c r="N29" t="s">
        <v>55</v>
      </c>
      <c r="O29" t="s">
        <v>142</v>
      </c>
      <c r="S29" s="132">
        <f t="shared" si="10"/>
        <v>46.2</v>
      </c>
      <c r="T29">
        <f t="shared" si="11"/>
        <v>126.73746324143583</v>
      </c>
      <c r="U29">
        <f t="shared" si="11"/>
        <v>225.17214053652407</v>
      </c>
      <c r="V29">
        <f t="shared" si="11"/>
        <v>305.70960377795984</v>
      </c>
      <c r="W29">
        <f t="shared" si="11"/>
        <v>308.69247278690199</v>
      </c>
      <c r="X29">
        <f t="shared" si="11"/>
        <v>317.6410798137282</v>
      </c>
      <c r="Y29">
        <f t="shared" si="11"/>
        <v>326.58968684055435</v>
      </c>
      <c r="Z29">
        <f t="shared" si="11"/>
        <v>326.58968684055435</v>
      </c>
    </row>
    <row r="30" spans="2:26" ht="15">
      <c r="B30">
        <f t="shared" si="0"/>
        <v>2030</v>
      </c>
      <c r="C30" t="str">
        <f t="shared" si="1"/>
        <v>WIN_ONS</v>
      </c>
      <c r="D30" t="str">
        <f t="shared" si="2"/>
        <v>POM C</v>
      </c>
      <c r="E30" s="27">
        <f t="shared" si="3"/>
        <v>319.30030692455807</v>
      </c>
      <c r="F30">
        <f t="shared" si="4"/>
        <v>0.56999999999999995</v>
      </c>
      <c r="G30">
        <f t="shared" si="6"/>
        <v>4</v>
      </c>
      <c r="H30">
        <f t="shared" si="7"/>
        <v>2</v>
      </c>
      <c r="I30">
        <f t="shared" si="8"/>
        <v>1</v>
      </c>
      <c r="J30" t="str">
        <f t="shared" si="5"/>
        <v>WIN_ONS.POM C</v>
      </c>
      <c r="L30" t="s">
        <v>11</v>
      </c>
      <c r="M30" t="str">
        <f t="shared" si="9"/>
        <v>BAL_ELC.POM C&amp;E</v>
      </c>
      <c r="N30" t="s">
        <v>55</v>
      </c>
      <c r="O30" t="s">
        <v>296</v>
      </c>
      <c r="S30" s="132">
        <f t="shared" si="10"/>
        <v>46.2</v>
      </c>
      <c r="T30">
        <f t="shared" ref="T30:Z39" si="12">(T81-$S81)/($Z81-$S81)*($Z81-$S30)+$S30</f>
        <v>191.26334532998413</v>
      </c>
      <c r="U30">
        <f t="shared" si="12"/>
        <v>407.58587783960968</v>
      </c>
      <c r="V30">
        <f t="shared" si="12"/>
        <v>585.73384578871287</v>
      </c>
      <c r="W30">
        <f t="shared" si="12"/>
        <v>639.17823617344402</v>
      </c>
      <c r="X30">
        <f t="shared" si="12"/>
        <v>662.08297490975724</v>
      </c>
      <c r="Y30">
        <f t="shared" si="12"/>
        <v>672.26285879256318</v>
      </c>
      <c r="Z30">
        <f t="shared" si="12"/>
        <v>674.80782976326464</v>
      </c>
    </row>
    <row r="31" spans="2:26" ht="15">
      <c r="B31">
        <f t="shared" si="0"/>
        <v>2035</v>
      </c>
      <c r="C31" t="str">
        <f t="shared" si="1"/>
        <v>WIN_ONS</v>
      </c>
      <c r="D31" t="str">
        <f t="shared" si="2"/>
        <v>POM C</v>
      </c>
      <c r="E31" s="27">
        <f t="shared" si="3"/>
        <v>427.22210147645728</v>
      </c>
      <c r="F31">
        <f t="shared" si="4"/>
        <v>0.77</v>
      </c>
      <c r="G31">
        <f t="shared" si="6"/>
        <v>5</v>
      </c>
      <c r="H31">
        <f t="shared" si="7"/>
        <v>2</v>
      </c>
      <c r="I31">
        <f t="shared" si="8"/>
        <v>1</v>
      </c>
      <c r="J31" t="str">
        <f t="shared" si="5"/>
        <v>WIN_ONS.POM C</v>
      </c>
      <c r="L31" t="s">
        <v>11</v>
      </c>
      <c r="M31" t="str">
        <f t="shared" si="9"/>
        <v>BAL_ELC.POM E</v>
      </c>
      <c r="N31" t="s">
        <v>55</v>
      </c>
      <c r="O31" t="s">
        <v>143</v>
      </c>
      <c r="S31" s="132">
        <f t="shared" si="10"/>
        <v>46.2</v>
      </c>
      <c r="T31">
        <f t="shared" si="12"/>
        <v>191.26334532998413</v>
      </c>
      <c r="U31">
        <f t="shared" si="12"/>
        <v>407.58587783960968</v>
      </c>
      <c r="V31">
        <f t="shared" si="12"/>
        <v>585.73384578871287</v>
      </c>
      <c r="W31">
        <f t="shared" si="12"/>
        <v>639.17823617344402</v>
      </c>
      <c r="X31">
        <f t="shared" si="12"/>
        <v>662.08297490975724</v>
      </c>
      <c r="Y31">
        <f t="shared" si="12"/>
        <v>672.26285879256318</v>
      </c>
      <c r="Z31">
        <f t="shared" si="12"/>
        <v>674.80782976326464</v>
      </c>
    </row>
    <row r="32" spans="2:26" ht="15">
      <c r="B32">
        <f t="shared" si="0"/>
        <v>2040</v>
      </c>
      <c r="C32" t="str">
        <f t="shared" si="1"/>
        <v>WIN_ONS</v>
      </c>
      <c r="D32" t="str">
        <f t="shared" si="2"/>
        <v>POM C</v>
      </c>
      <c r="E32" s="27">
        <f t="shared" si="3"/>
        <v>562.12434466633124</v>
      </c>
      <c r="F32">
        <f t="shared" si="4"/>
        <v>1.02</v>
      </c>
      <c r="G32">
        <f t="shared" si="6"/>
        <v>6</v>
      </c>
      <c r="H32">
        <f t="shared" si="7"/>
        <v>2</v>
      </c>
      <c r="I32">
        <f t="shared" si="8"/>
        <v>1</v>
      </c>
      <c r="J32" t="str">
        <f t="shared" si="5"/>
        <v>WIN_ONS.POM C</v>
      </c>
      <c r="L32" t="s">
        <v>23</v>
      </c>
      <c r="M32" t="str">
        <f t="shared" si="9"/>
        <v>GEO_ELC.POM C</v>
      </c>
      <c r="N32" t="s">
        <v>65</v>
      </c>
      <c r="O32" t="s">
        <v>142</v>
      </c>
      <c r="S32" s="132">
        <f t="shared" si="10"/>
        <v>0</v>
      </c>
      <c r="T32">
        <f t="shared" si="12"/>
        <v>9.5617218904890144</v>
      </c>
      <c r="U32">
        <f t="shared" si="12"/>
        <v>23.221324591187607</v>
      </c>
      <c r="V32">
        <f t="shared" si="12"/>
        <v>40.978808102095776</v>
      </c>
      <c r="W32">
        <f t="shared" si="12"/>
        <v>49.174569722514931</v>
      </c>
      <c r="X32">
        <f t="shared" si="12"/>
        <v>49.174569722514931</v>
      </c>
      <c r="Y32">
        <f t="shared" si="12"/>
        <v>53.272450532724505</v>
      </c>
      <c r="Z32">
        <f t="shared" si="12"/>
        <v>53.272450532724505</v>
      </c>
    </row>
    <row r="33" spans="2:26" ht="15">
      <c r="B33">
        <f t="shared" si="0"/>
        <v>2045</v>
      </c>
      <c r="C33" t="str">
        <f t="shared" si="1"/>
        <v>WIN_ONS</v>
      </c>
      <c r="D33" t="str">
        <f t="shared" si="2"/>
        <v>POM C</v>
      </c>
      <c r="E33" s="27">
        <f t="shared" si="3"/>
        <v>686.23440840101534</v>
      </c>
      <c r="F33">
        <f t="shared" si="4"/>
        <v>1.25</v>
      </c>
      <c r="G33">
        <f t="shared" si="6"/>
        <v>7</v>
      </c>
      <c r="H33">
        <f t="shared" si="7"/>
        <v>2</v>
      </c>
      <c r="I33">
        <f t="shared" si="8"/>
        <v>1</v>
      </c>
      <c r="J33" t="str">
        <f t="shared" si="5"/>
        <v>WIN_ONS.POM C</v>
      </c>
      <c r="L33" t="s">
        <v>23</v>
      </c>
      <c r="M33" t="str">
        <f t="shared" si="9"/>
        <v>GEO_ELC.POM C&amp;E</v>
      </c>
      <c r="N33" t="s">
        <v>65</v>
      </c>
      <c r="O33" t="s">
        <v>296</v>
      </c>
      <c r="S33" s="132">
        <f t="shared" si="10"/>
        <v>0</v>
      </c>
      <c r="T33">
        <f t="shared" si="12"/>
        <v>12.979579189624854</v>
      </c>
      <c r="U33">
        <f t="shared" si="12"/>
        <v>37.640779649912076</v>
      </c>
      <c r="V33">
        <f t="shared" si="12"/>
        <v>88.26113848944901</v>
      </c>
      <c r="W33">
        <f t="shared" si="12"/>
        <v>172.62840322201058</v>
      </c>
      <c r="X33">
        <f t="shared" si="12"/>
        <v>299.82827928033413</v>
      </c>
      <c r="Y33">
        <f t="shared" si="12"/>
        <v>438.70977660932004</v>
      </c>
      <c r="Z33">
        <f t="shared" si="12"/>
        <v>556.82394723490609</v>
      </c>
    </row>
    <row r="34" spans="2:26" ht="15">
      <c r="B34">
        <f t="shared" si="0"/>
        <v>2050</v>
      </c>
      <c r="C34" t="str">
        <f t="shared" si="1"/>
        <v>WIN_ONS</v>
      </c>
      <c r="D34" t="str">
        <f t="shared" si="2"/>
        <v>POM C</v>
      </c>
      <c r="E34" s="27">
        <f t="shared" si="3"/>
        <v>772.57184404253462</v>
      </c>
      <c r="F34">
        <f t="shared" si="4"/>
        <v>1.41</v>
      </c>
      <c r="G34">
        <f t="shared" si="6"/>
        <v>8</v>
      </c>
      <c r="H34">
        <f t="shared" si="7"/>
        <v>2</v>
      </c>
      <c r="I34">
        <f t="shared" si="8"/>
        <v>1</v>
      </c>
      <c r="J34" t="str">
        <f t="shared" si="5"/>
        <v>WIN_ONS.POM C</v>
      </c>
      <c r="L34" t="s">
        <v>23</v>
      </c>
      <c r="M34" t="str">
        <f t="shared" si="9"/>
        <v>GEO_ELC.POM E</v>
      </c>
      <c r="N34" t="s">
        <v>65</v>
      </c>
      <c r="O34" t="s">
        <v>143</v>
      </c>
      <c r="S34" s="132">
        <f t="shared" si="10"/>
        <v>0</v>
      </c>
      <c r="T34">
        <f t="shared" si="12"/>
        <v>12.979579189624854</v>
      </c>
      <c r="U34">
        <f t="shared" si="12"/>
        <v>37.640779649912076</v>
      </c>
      <c r="V34">
        <f t="shared" si="12"/>
        <v>88.26113848944901</v>
      </c>
      <c r="W34">
        <f t="shared" si="12"/>
        <v>172.62840322201058</v>
      </c>
      <c r="X34">
        <f t="shared" si="12"/>
        <v>299.82827928033413</v>
      </c>
      <c r="Y34">
        <f t="shared" si="12"/>
        <v>438.70977660932004</v>
      </c>
      <c r="Z34">
        <f t="shared" si="12"/>
        <v>556.82394723490609</v>
      </c>
    </row>
    <row r="35" spans="2:26" ht="15">
      <c r="B35">
        <f t="shared" si="0"/>
        <v>2015</v>
      </c>
      <c r="C35" t="str">
        <f t="shared" si="1"/>
        <v>WAS_ELC</v>
      </c>
      <c r="D35" t="str">
        <f t="shared" si="2"/>
        <v>POM C</v>
      </c>
      <c r="E35" s="27">
        <f t="shared" si="3"/>
        <v>439.268492108766</v>
      </c>
      <c r="F35">
        <f t="shared" si="4"/>
        <v>1.88</v>
      </c>
      <c r="G35">
        <f t="shared" si="6"/>
        <v>1</v>
      </c>
      <c r="H35">
        <f t="shared" si="7"/>
        <v>3</v>
      </c>
      <c r="I35">
        <f t="shared" si="8"/>
        <v>1</v>
      </c>
      <c r="J35" t="str">
        <f t="shared" si="5"/>
        <v>WAS_ELC.POM C</v>
      </c>
      <c r="L35" t="s">
        <v>131</v>
      </c>
      <c r="M35" t="str">
        <f t="shared" si="9"/>
        <v>SOL_PHO.WWB C</v>
      </c>
      <c r="N35" t="s">
        <v>105</v>
      </c>
      <c r="O35" t="s">
        <v>310</v>
      </c>
      <c r="S35" s="132">
        <f t="shared" si="10"/>
        <v>1390.1</v>
      </c>
      <c r="T35">
        <f t="shared" si="12"/>
        <v>1525.9533324236615</v>
      </c>
      <c r="U35">
        <f t="shared" si="12"/>
        <v>1745.4087155695768</v>
      </c>
      <c r="V35">
        <f t="shared" si="12"/>
        <v>2173.8692255211249</v>
      </c>
      <c r="W35">
        <f t="shared" si="12"/>
        <v>3804.1092146050651</v>
      </c>
      <c r="X35">
        <f t="shared" si="12"/>
        <v>4807.3338232721062</v>
      </c>
      <c r="Y35">
        <f t="shared" si="12"/>
        <v>6113.6158658073145</v>
      </c>
      <c r="Z35">
        <f t="shared" si="12"/>
        <v>7357.1963703008332</v>
      </c>
    </row>
    <row r="36" spans="2:26" ht="15">
      <c r="B36">
        <f t="shared" si="0"/>
        <v>2020</v>
      </c>
      <c r="C36" t="str">
        <f t="shared" si="1"/>
        <v>WAS_ELC</v>
      </c>
      <c r="D36" t="str">
        <f t="shared" si="2"/>
        <v>POM C</v>
      </c>
      <c r="E36" s="27">
        <f t="shared" si="3"/>
        <v>439.268492108766</v>
      </c>
      <c r="F36">
        <f t="shared" si="4"/>
        <v>1.88</v>
      </c>
      <c r="G36">
        <f t="shared" si="6"/>
        <v>2</v>
      </c>
      <c r="H36">
        <f t="shared" si="7"/>
        <v>3</v>
      </c>
      <c r="I36">
        <f t="shared" si="8"/>
        <v>1</v>
      </c>
      <c r="J36" t="str">
        <f t="shared" si="5"/>
        <v>WAS_ELC.POM C</v>
      </c>
      <c r="L36" t="s">
        <v>131</v>
      </c>
      <c r="M36" t="str">
        <f t="shared" si="9"/>
        <v>SOL_PHO.WWB C&amp;E</v>
      </c>
      <c r="N36" t="s">
        <v>105</v>
      </c>
      <c r="O36" t="s">
        <v>311</v>
      </c>
      <c r="S36" s="132">
        <f t="shared" si="10"/>
        <v>1390.1</v>
      </c>
      <c r="T36">
        <f t="shared" si="12"/>
        <v>1665.2918506448036</v>
      </c>
      <c r="U36">
        <f t="shared" si="12"/>
        <v>2192.7428977140107</v>
      </c>
      <c r="V36">
        <f t="shared" si="12"/>
        <v>3259.1113189626258</v>
      </c>
      <c r="W36">
        <f t="shared" si="12"/>
        <v>6160.0920778432665</v>
      </c>
      <c r="X36">
        <f t="shared" si="12"/>
        <v>8797.3473131893006</v>
      </c>
      <c r="Y36">
        <f t="shared" si="12"/>
        <v>11652.462763629143</v>
      </c>
      <c r="Z36">
        <f t="shared" si="12"/>
        <v>13819.598587456969</v>
      </c>
    </row>
    <row r="37" spans="2:26" ht="15">
      <c r="B37">
        <f t="shared" si="0"/>
        <v>2025</v>
      </c>
      <c r="C37" t="str">
        <f t="shared" si="1"/>
        <v>WAS_ELC</v>
      </c>
      <c r="D37" t="str">
        <f t="shared" si="2"/>
        <v>POM C</v>
      </c>
      <c r="E37" s="27">
        <f t="shared" si="3"/>
        <v>414.63116760861027</v>
      </c>
      <c r="F37">
        <f t="shared" si="4"/>
        <v>1.94</v>
      </c>
      <c r="G37">
        <f t="shared" si="6"/>
        <v>3</v>
      </c>
      <c r="H37">
        <f t="shared" si="7"/>
        <v>3</v>
      </c>
      <c r="I37">
        <f t="shared" si="8"/>
        <v>1</v>
      </c>
      <c r="J37" t="str">
        <f t="shared" si="5"/>
        <v>WAS_ELC.POM C</v>
      </c>
      <c r="L37" t="s">
        <v>131</v>
      </c>
      <c r="M37" t="str">
        <f t="shared" si="9"/>
        <v>SOL_PHO.WWB E</v>
      </c>
      <c r="N37" t="s">
        <v>105</v>
      </c>
      <c r="O37" t="s">
        <v>361</v>
      </c>
      <c r="S37" s="132">
        <f t="shared" si="10"/>
        <v>1390.1</v>
      </c>
      <c r="T37" t="e">
        <f t="shared" si="12"/>
        <v>#DIV/0!</v>
      </c>
      <c r="U37" t="e">
        <f t="shared" si="12"/>
        <v>#DIV/0!</v>
      </c>
      <c r="V37" t="e">
        <f t="shared" si="12"/>
        <v>#DIV/0!</v>
      </c>
      <c r="W37" t="e">
        <f t="shared" si="12"/>
        <v>#DIV/0!</v>
      </c>
      <c r="X37" t="e">
        <f t="shared" si="12"/>
        <v>#DIV/0!</v>
      </c>
      <c r="Y37" t="e">
        <f t="shared" si="12"/>
        <v>#DIV/0!</v>
      </c>
      <c r="Z37" t="e">
        <f t="shared" si="12"/>
        <v>#DIV/0!</v>
      </c>
    </row>
    <row r="38" spans="2:26" ht="15">
      <c r="B38">
        <f t="shared" si="0"/>
        <v>2030</v>
      </c>
      <c r="C38" t="str">
        <f t="shared" si="1"/>
        <v>WAS_ELC</v>
      </c>
      <c r="D38" t="str">
        <f t="shared" si="2"/>
        <v>POM C</v>
      </c>
      <c r="E38" s="27">
        <f t="shared" si="3"/>
        <v>406.41872610855842</v>
      </c>
      <c r="F38">
        <f t="shared" si="4"/>
        <v>1.96</v>
      </c>
      <c r="G38">
        <f t="shared" si="6"/>
        <v>4</v>
      </c>
      <c r="H38">
        <f t="shared" si="7"/>
        <v>3</v>
      </c>
      <c r="I38">
        <f t="shared" si="8"/>
        <v>1</v>
      </c>
      <c r="J38" t="str">
        <f t="shared" si="5"/>
        <v>WAS_ELC.POM C</v>
      </c>
      <c r="L38" t="s">
        <v>141</v>
      </c>
      <c r="M38" t="str">
        <f t="shared" si="9"/>
        <v>WIN_ONS.WWB C</v>
      </c>
      <c r="N38" t="s">
        <v>120</v>
      </c>
      <c r="O38" t="s">
        <v>310</v>
      </c>
      <c r="S38" s="132">
        <f t="shared" si="10"/>
        <v>60.287999999999997</v>
      </c>
      <c r="T38">
        <f t="shared" si="12"/>
        <v>87.268448637974814</v>
      </c>
      <c r="U38">
        <f t="shared" si="12"/>
        <v>146.62543564151935</v>
      </c>
      <c r="V38">
        <f t="shared" si="12"/>
        <v>319.30030692455807</v>
      </c>
      <c r="W38">
        <f t="shared" si="12"/>
        <v>427.22210147645728</v>
      </c>
      <c r="X38">
        <f t="shared" si="12"/>
        <v>562.12434466633124</v>
      </c>
      <c r="Y38">
        <f t="shared" si="12"/>
        <v>686.23440840101534</v>
      </c>
      <c r="Z38">
        <f t="shared" si="12"/>
        <v>772.57184404253462</v>
      </c>
    </row>
    <row r="39" spans="2:26" ht="15">
      <c r="B39">
        <f t="shared" si="0"/>
        <v>2035</v>
      </c>
      <c r="C39" t="str">
        <f t="shared" si="1"/>
        <v>WAS_ELC</v>
      </c>
      <c r="D39" t="str">
        <f t="shared" si="2"/>
        <v>POM C</v>
      </c>
      <c r="E39" s="27">
        <f t="shared" si="3"/>
        <v>406.41872610855842</v>
      </c>
      <c r="F39">
        <f t="shared" si="4"/>
        <v>1.96</v>
      </c>
      <c r="G39">
        <f t="shared" si="6"/>
        <v>5</v>
      </c>
      <c r="H39">
        <f t="shared" si="7"/>
        <v>3</v>
      </c>
      <c r="I39">
        <f t="shared" si="8"/>
        <v>1</v>
      </c>
      <c r="J39" t="str">
        <f t="shared" si="5"/>
        <v>WAS_ELC.POM C</v>
      </c>
      <c r="L39" t="s">
        <v>141</v>
      </c>
      <c r="M39" t="str">
        <f t="shared" si="9"/>
        <v>WIN_ONS.WWB C&amp;E</v>
      </c>
      <c r="N39" t="s">
        <v>120</v>
      </c>
      <c r="O39" t="s">
        <v>311</v>
      </c>
      <c r="S39" s="132">
        <f t="shared" si="10"/>
        <v>60.287999999999997</v>
      </c>
      <c r="T39">
        <f t="shared" si="12"/>
        <v>240.56887508707831</v>
      </c>
      <c r="U39">
        <f t="shared" si="12"/>
        <v>432.4807743733229</v>
      </c>
      <c r="V39">
        <f t="shared" si="12"/>
        <v>705.80984305373192</v>
      </c>
      <c r="W39">
        <f t="shared" si="12"/>
        <v>880.27520604122697</v>
      </c>
      <c r="X39">
        <f t="shared" si="12"/>
        <v>1362.9627103066302</v>
      </c>
      <c r="Y39">
        <f t="shared" si="12"/>
        <v>1851.4657266716167</v>
      </c>
      <c r="Z39">
        <f t="shared" si="12"/>
        <v>2334.15323093702</v>
      </c>
    </row>
    <row r="40" spans="2:26" ht="15">
      <c r="B40">
        <f t="shared" si="0"/>
        <v>2040</v>
      </c>
      <c r="C40" t="str">
        <f t="shared" si="1"/>
        <v>WAS_ELC</v>
      </c>
      <c r="D40" t="str">
        <f t="shared" si="2"/>
        <v>POM C</v>
      </c>
      <c r="E40" s="27">
        <f t="shared" si="3"/>
        <v>398.20628460850639</v>
      </c>
      <c r="F40">
        <f t="shared" si="4"/>
        <v>1.98</v>
      </c>
      <c r="G40">
        <f t="shared" si="6"/>
        <v>6</v>
      </c>
      <c r="H40">
        <f t="shared" si="7"/>
        <v>3</v>
      </c>
      <c r="I40">
        <f t="shared" si="8"/>
        <v>1</v>
      </c>
      <c r="J40" t="str">
        <f t="shared" si="5"/>
        <v>WAS_ELC.POM C</v>
      </c>
      <c r="L40" t="s">
        <v>141</v>
      </c>
      <c r="M40" t="str">
        <f t="shared" si="9"/>
        <v>WIN_ONS.WWB E</v>
      </c>
      <c r="N40" t="s">
        <v>120</v>
      </c>
      <c r="O40" t="s">
        <v>361</v>
      </c>
      <c r="S40" s="132">
        <f t="shared" si="10"/>
        <v>60.287999999999997</v>
      </c>
      <c r="T40" t="e">
        <f t="shared" ref="T40:Z48" si="13">(T91-$S91)/($Z91-$S91)*($Z91-$S40)+$S40</f>
        <v>#DIV/0!</v>
      </c>
      <c r="U40" t="e">
        <f t="shared" si="13"/>
        <v>#DIV/0!</v>
      </c>
      <c r="V40" t="e">
        <f t="shared" si="13"/>
        <v>#DIV/0!</v>
      </c>
      <c r="W40" t="e">
        <f t="shared" si="13"/>
        <v>#DIV/0!</v>
      </c>
      <c r="X40" t="e">
        <f t="shared" si="13"/>
        <v>#DIV/0!</v>
      </c>
      <c r="Y40" t="e">
        <f t="shared" si="13"/>
        <v>#DIV/0!</v>
      </c>
      <c r="Z40" t="e">
        <f t="shared" si="13"/>
        <v>#DIV/0!</v>
      </c>
    </row>
    <row r="41" spans="2:26" ht="15">
      <c r="B41">
        <f t="shared" si="0"/>
        <v>2045</v>
      </c>
      <c r="C41" t="str">
        <f t="shared" si="1"/>
        <v>WAS_ELC</v>
      </c>
      <c r="D41" t="str">
        <f t="shared" si="2"/>
        <v>POM C</v>
      </c>
      <c r="E41" s="27">
        <f t="shared" si="3"/>
        <v>398.20628460850639</v>
      </c>
      <c r="F41">
        <f t="shared" si="4"/>
        <v>1.98</v>
      </c>
      <c r="G41">
        <f t="shared" si="6"/>
        <v>7</v>
      </c>
      <c r="H41">
        <f t="shared" si="7"/>
        <v>3</v>
      </c>
      <c r="I41">
        <f t="shared" si="8"/>
        <v>1</v>
      </c>
      <c r="J41" t="str">
        <f t="shared" si="5"/>
        <v>WAS_ELC.POM C</v>
      </c>
      <c r="L41" t="s">
        <v>24</v>
      </c>
      <c r="M41" t="str">
        <f t="shared" si="9"/>
        <v>WAS_ELC.WWB C</v>
      </c>
      <c r="N41" t="s">
        <v>110</v>
      </c>
      <c r="O41" t="s">
        <v>310</v>
      </c>
      <c r="S41" s="132">
        <f t="shared" si="10"/>
        <v>439.268492108766</v>
      </c>
      <c r="T41">
        <f t="shared" si="13"/>
        <v>439.268492108766</v>
      </c>
      <c r="U41">
        <f t="shared" si="13"/>
        <v>414.63116760861027</v>
      </c>
      <c r="V41">
        <f t="shared" si="13"/>
        <v>406.41872610855842</v>
      </c>
      <c r="W41">
        <f t="shared" si="13"/>
        <v>406.41872610855842</v>
      </c>
      <c r="X41">
        <f t="shared" si="13"/>
        <v>398.20628460850639</v>
      </c>
      <c r="Y41">
        <f t="shared" si="13"/>
        <v>398.20628460850639</v>
      </c>
      <c r="Z41">
        <f t="shared" si="13"/>
        <v>398.20628460850639</v>
      </c>
    </row>
    <row r="42" spans="2:26" ht="15">
      <c r="B42">
        <f t="shared" si="0"/>
        <v>2050</v>
      </c>
      <c r="C42" t="str">
        <f t="shared" si="1"/>
        <v>WAS_ELC</v>
      </c>
      <c r="D42" t="str">
        <f t="shared" si="2"/>
        <v>POM C</v>
      </c>
      <c r="E42" s="27">
        <f t="shared" si="3"/>
        <v>398.20628460850639</v>
      </c>
      <c r="F42">
        <f t="shared" si="4"/>
        <v>1.98</v>
      </c>
      <c r="G42">
        <f t="shared" si="6"/>
        <v>8</v>
      </c>
      <c r="H42">
        <f t="shared" si="7"/>
        <v>3</v>
      </c>
      <c r="I42">
        <f t="shared" si="8"/>
        <v>1</v>
      </c>
      <c r="J42" t="str">
        <f t="shared" si="5"/>
        <v>WAS_ELC.POM C</v>
      </c>
      <c r="L42" t="s">
        <v>24</v>
      </c>
      <c r="M42" t="str">
        <f t="shared" si="9"/>
        <v>WAS_ELC.WWB C&amp;E</v>
      </c>
      <c r="N42" t="s">
        <v>110</v>
      </c>
      <c r="O42" t="s">
        <v>311</v>
      </c>
      <c r="S42" s="132">
        <f t="shared" si="10"/>
        <v>439.268492108766</v>
      </c>
      <c r="T42">
        <f t="shared" si="13"/>
        <v>470.22880300472525</v>
      </c>
      <c r="U42">
        <f t="shared" si="13"/>
        <v>506.81826133631336</v>
      </c>
      <c r="V42">
        <f t="shared" si="13"/>
        <v>532.14942479664364</v>
      </c>
      <c r="W42">
        <f t="shared" si="13"/>
        <v>532.14942479664364</v>
      </c>
      <c r="X42">
        <f t="shared" si="13"/>
        <v>534.96399851445813</v>
      </c>
      <c r="Y42">
        <f t="shared" si="13"/>
        <v>534.96399851445813</v>
      </c>
      <c r="Z42">
        <f t="shared" si="13"/>
        <v>534.96399851445813</v>
      </c>
    </row>
    <row r="43" spans="2:26" ht="15">
      <c r="B43">
        <f t="shared" si="0"/>
        <v>2015</v>
      </c>
      <c r="C43" t="str">
        <f t="shared" si="1"/>
        <v>BAL_ELC</v>
      </c>
      <c r="D43" t="str">
        <f t="shared" si="2"/>
        <v>POM C</v>
      </c>
      <c r="E43" s="27">
        <f t="shared" si="3"/>
        <v>46.2</v>
      </c>
      <c r="F43">
        <f t="shared" si="4"/>
        <v>0.56999999999999995</v>
      </c>
      <c r="G43">
        <f t="shared" si="6"/>
        <v>1</v>
      </c>
      <c r="H43">
        <f t="shared" si="7"/>
        <v>4</v>
      </c>
      <c r="I43">
        <f t="shared" si="8"/>
        <v>1</v>
      </c>
      <c r="J43" t="str">
        <f t="shared" si="5"/>
        <v>BAL_ELC.POM C</v>
      </c>
      <c r="L43" t="s">
        <v>24</v>
      </c>
      <c r="M43" t="str">
        <f t="shared" si="9"/>
        <v>WAS_ELC.WWB E</v>
      </c>
      <c r="N43" t="s">
        <v>110</v>
      </c>
      <c r="O43" t="s">
        <v>361</v>
      </c>
      <c r="S43" s="132">
        <f t="shared" si="10"/>
        <v>439.268492108766</v>
      </c>
      <c r="T43" t="e">
        <f t="shared" si="13"/>
        <v>#DIV/0!</v>
      </c>
      <c r="U43" t="e">
        <f t="shared" si="13"/>
        <v>#DIV/0!</v>
      </c>
      <c r="V43" t="e">
        <f t="shared" si="13"/>
        <v>#DIV/0!</v>
      </c>
      <c r="W43" t="e">
        <f t="shared" si="13"/>
        <v>#DIV/0!</v>
      </c>
      <c r="X43" t="e">
        <f t="shared" si="13"/>
        <v>#DIV/0!</v>
      </c>
      <c r="Y43" t="e">
        <f t="shared" si="13"/>
        <v>#DIV/0!</v>
      </c>
      <c r="Z43" t="e">
        <f t="shared" si="13"/>
        <v>#DIV/0!</v>
      </c>
    </row>
    <row r="44" spans="2:26" ht="15">
      <c r="B44">
        <f t="shared" si="0"/>
        <v>2020</v>
      </c>
      <c r="C44" t="str">
        <f t="shared" si="1"/>
        <v>BAL_ELC</v>
      </c>
      <c r="D44" t="str">
        <f t="shared" si="2"/>
        <v>POM C</v>
      </c>
      <c r="E44" s="27">
        <f t="shared" si="3"/>
        <v>126.73746324143583</v>
      </c>
      <c r="F44">
        <f t="shared" si="4"/>
        <v>0.84</v>
      </c>
      <c r="G44">
        <f t="shared" si="6"/>
        <v>2</v>
      </c>
      <c r="H44">
        <f t="shared" si="7"/>
        <v>4</v>
      </c>
      <c r="I44">
        <f t="shared" si="8"/>
        <v>1</v>
      </c>
      <c r="J44" t="str">
        <f t="shared" si="5"/>
        <v>BAL_ELC.POM C</v>
      </c>
      <c r="L44" t="s">
        <v>11</v>
      </c>
      <c r="M44" t="str">
        <f t="shared" si="9"/>
        <v>BAL_ELC.WWB C</v>
      </c>
      <c r="N44" t="s">
        <v>55</v>
      </c>
      <c r="O44" t="s">
        <v>310</v>
      </c>
      <c r="S44" s="132">
        <f t="shared" si="10"/>
        <v>46.2</v>
      </c>
      <c r="T44">
        <f t="shared" si="13"/>
        <v>126.73746324143583</v>
      </c>
      <c r="U44">
        <f t="shared" si="13"/>
        <v>225.17214053652407</v>
      </c>
      <c r="V44">
        <f t="shared" si="13"/>
        <v>305.70960377795984</v>
      </c>
      <c r="W44">
        <f t="shared" si="13"/>
        <v>308.69247278690199</v>
      </c>
      <c r="X44">
        <f t="shared" si="13"/>
        <v>317.6410798137282</v>
      </c>
      <c r="Y44">
        <f t="shared" si="13"/>
        <v>326.58968684055435</v>
      </c>
      <c r="Z44">
        <f t="shared" si="13"/>
        <v>326.58968684055435</v>
      </c>
    </row>
    <row r="45" spans="2:26" ht="15">
      <c r="B45">
        <f t="shared" si="0"/>
        <v>2025</v>
      </c>
      <c r="C45" t="str">
        <f t="shared" si="1"/>
        <v>BAL_ELC</v>
      </c>
      <c r="D45" t="str">
        <f t="shared" si="2"/>
        <v>POM C</v>
      </c>
      <c r="E45" s="27">
        <f t="shared" si="3"/>
        <v>225.17214053652407</v>
      </c>
      <c r="F45">
        <f t="shared" si="4"/>
        <v>1.17</v>
      </c>
      <c r="G45">
        <f t="shared" si="6"/>
        <v>3</v>
      </c>
      <c r="H45">
        <f t="shared" si="7"/>
        <v>4</v>
      </c>
      <c r="I45">
        <f t="shared" si="8"/>
        <v>1</v>
      </c>
      <c r="J45" t="str">
        <f t="shared" si="5"/>
        <v>BAL_ELC.POM C</v>
      </c>
      <c r="L45" t="s">
        <v>11</v>
      </c>
      <c r="M45" t="str">
        <f t="shared" si="9"/>
        <v>BAL_ELC.WWB C&amp;E</v>
      </c>
      <c r="N45" t="s">
        <v>55</v>
      </c>
      <c r="O45" t="s">
        <v>311</v>
      </c>
      <c r="S45" s="132">
        <f t="shared" si="10"/>
        <v>46.2</v>
      </c>
      <c r="T45">
        <f t="shared" si="13"/>
        <v>191.26334532998413</v>
      </c>
      <c r="U45">
        <f t="shared" si="13"/>
        <v>407.58587783960968</v>
      </c>
      <c r="V45">
        <f t="shared" si="13"/>
        <v>585.73384578871287</v>
      </c>
      <c r="W45">
        <f t="shared" si="13"/>
        <v>639.17823617344402</v>
      </c>
      <c r="X45">
        <f t="shared" si="13"/>
        <v>662.08297490975724</v>
      </c>
      <c r="Y45">
        <f t="shared" si="13"/>
        <v>672.26285879256318</v>
      </c>
      <c r="Z45">
        <f t="shared" si="13"/>
        <v>674.80782976326464</v>
      </c>
    </row>
    <row r="46" spans="2:26" ht="15">
      <c r="B46">
        <f t="shared" si="0"/>
        <v>2030</v>
      </c>
      <c r="C46" t="str">
        <f t="shared" si="1"/>
        <v>BAL_ELC</v>
      </c>
      <c r="D46" t="str">
        <f t="shared" si="2"/>
        <v>POM C</v>
      </c>
      <c r="E46" s="27">
        <f t="shared" si="3"/>
        <v>305.70960377795984</v>
      </c>
      <c r="F46">
        <f t="shared" si="4"/>
        <v>1.44</v>
      </c>
      <c r="G46">
        <f t="shared" si="6"/>
        <v>4</v>
      </c>
      <c r="H46">
        <f t="shared" si="7"/>
        <v>4</v>
      </c>
      <c r="I46">
        <f t="shared" si="8"/>
        <v>1</v>
      </c>
      <c r="J46" t="str">
        <f t="shared" si="5"/>
        <v>BAL_ELC.POM C</v>
      </c>
      <c r="L46" t="s">
        <v>11</v>
      </c>
      <c r="M46" t="str">
        <f t="shared" si="9"/>
        <v>BAL_ELC.WWB E</v>
      </c>
      <c r="N46" t="s">
        <v>55</v>
      </c>
      <c r="O46" t="s">
        <v>361</v>
      </c>
      <c r="S46" s="132">
        <f t="shared" si="10"/>
        <v>46.2</v>
      </c>
      <c r="T46" t="e">
        <f t="shared" si="13"/>
        <v>#DIV/0!</v>
      </c>
      <c r="U46" t="e">
        <f t="shared" si="13"/>
        <v>#DIV/0!</v>
      </c>
      <c r="V46" t="e">
        <f t="shared" si="13"/>
        <v>#DIV/0!</v>
      </c>
      <c r="W46" t="e">
        <f t="shared" si="13"/>
        <v>#DIV/0!</v>
      </c>
      <c r="X46" t="e">
        <f t="shared" si="13"/>
        <v>#DIV/0!</v>
      </c>
      <c r="Y46" t="e">
        <f t="shared" si="13"/>
        <v>#DIV/0!</v>
      </c>
      <c r="Z46" t="e">
        <f t="shared" si="13"/>
        <v>#DIV/0!</v>
      </c>
    </row>
    <row r="47" spans="2:26" ht="15">
      <c r="B47">
        <f t="shared" si="0"/>
        <v>2035</v>
      </c>
      <c r="C47" t="str">
        <f t="shared" si="1"/>
        <v>BAL_ELC</v>
      </c>
      <c r="D47" t="str">
        <f t="shared" si="2"/>
        <v>POM C</v>
      </c>
      <c r="E47" s="27">
        <f t="shared" si="3"/>
        <v>308.69247278690199</v>
      </c>
      <c r="F47">
        <f t="shared" si="4"/>
        <v>1.4500000000000002</v>
      </c>
      <c r="G47">
        <f t="shared" si="6"/>
        <v>5</v>
      </c>
      <c r="H47">
        <f t="shared" si="7"/>
        <v>4</v>
      </c>
      <c r="I47">
        <f t="shared" si="8"/>
        <v>1</v>
      </c>
      <c r="J47" t="str">
        <f t="shared" si="5"/>
        <v>BAL_ELC.POM C</v>
      </c>
      <c r="L47" t="s">
        <v>23</v>
      </c>
      <c r="M47" t="str">
        <f t="shared" si="9"/>
        <v>GEO_ELC.WWB C</v>
      </c>
      <c r="N47" t="s">
        <v>65</v>
      </c>
      <c r="O47" t="s">
        <v>310</v>
      </c>
      <c r="S47" s="132">
        <f t="shared" si="10"/>
        <v>0</v>
      </c>
      <c r="T47">
        <f t="shared" si="13"/>
        <v>9.5617218904890144</v>
      </c>
      <c r="U47">
        <f t="shared" si="13"/>
        <v>23.221324591187607</v>
      </c>
      <c r="V47">
        <f t="shared" si="13"/>
        <v>40.978808102095776</v>
      </c>
      <c r="W47">
        <f t="shared" si="13"/>
        <v>49.174569722514931</v>
      </c>
      <c r="X47">
        <f t="shared" si="13"/>
        <v>49.174569722514931</v>
      </c>
      <c r="Y47">
        <f t="shared" si="13"/>
        <v>53.272450532724505</v>
      </c>
      <c r="Z47">
        <f t="shared" si="13"/>
        <v>53.272450532724505</v>
      </c>
    </row>
    <row r="48" spans="2:26" ht="15">
      <c r="B48">
        <f t="shared" si="0"/>
        <v>2040</v>
      </c>
      <c r="C48" t="str">
        <f t="shared" si="1"/>
        <v>BAL_ELC</v>
      </c>
      <c r="D48" t="str">
        <f t="shared" si="2"/>
        <v>POM C</v>
      </c>
      <c r="E48" s="27">
        <f t="shared" si="3"/>
        <v>317.6410798137282</v>
      </c>
      <c r="F48">
        <f t="shared" si="4"/>
        <v>1.48</v>
      </c>
      <c r="G48">
        <f t="shared" si="6"/>
        <v>6</v>
      </c>
      <c r="H48">
        <f t="shared" si="7"/>
        <v>4</v>
      </c>
      <c r="I48">
        <f t="shared" si="8"/>
        <v>1</v>
      </c>
      <c r="J48" t="str">
        <f t="shared" si="5"/>
        <v>BAL_ELC.POM C</v>
      </c>
      <c r="L48" t="s">
        <v>23</v>
      </c>
      <c r="M48" t="str">
        <f t="shared" si="9"/>
        <v>GEO_ELC.WWB C&amp;E</v>
      </c>
      <c r="N48" t="s">
        <v>65</v>
      </c>
      <c r="O48" t="s">
        <v>311</v>
      </c>
      <c r="S48" s="132">
        <f t="shared" si="10"/>
        <v>0</v>
      </c>
      <c r="T48">
        <f t="shared" si="13"/>
        <v>12.979579189624854</v>
      </c>
      <c r="U48">
        <f t="shared" si="13"/>
        <v>37.640779649912076</v>
      </c>
      <c r="V48">
        <f t="shared" si="13"/>
        <v>88.26113848944901</v>
      </c>
      <c r="W48">
        <f t="shared" si="13"/>
        <v>172.62840322201058</v>
      </c>
      <c r="X48">
        <f t="shared" si="13"/>
        <v>299.82827928033413</v>
      </c>
      <c r="Y48">
        <f t="shared" si="13"/>
        <v>438.70977660932004</v>
      </c>
      <c r="Z48">
        <f t="shared" si="13"/>
        <v>556.82394723490609</v>
      </c>
    </row>
    <row r="49" spans="2:26" ht="15">
      <c r="B49">
        <f t="shared" si="0"/>
        <v>2045</v>
      </c>
      <c r="C49" t="str">
        <f t="shared" si="1"/>
        <v>BAL_ELC</v>
      </c>
      <c r="D49" t="str">
        <f t="shared" si="2"/>
        <v>POM C</v>
      </c>
      <c r="E49" s="27">
        <f t="shared" si="3"/>
        <v>326.58968684055435</v>
      </c>
      <c r="F49">
        <f t="shared" si="4"/>
        <v>1.51</v>
      </c>
      <c r="G49">
        <f t="shared" si="6"/>
        <v>7</v>
      </c>
      <c r="H49">
        <f t="shared" si="7"/>
        <v>4</v>
      </c>
      <c r="I49">
        <f t="shared" si="8"/>
        <v>1</v>
      </c>
      <c r="J49" t="str">
        <f t="shared" si="5"/>
        <v>BAL_ELC.POM C</v>
      </c>
      <c r="S49" s="132"/>
    </row>
    <row r="50" spans="2:26" ht="15">
      <c r="B50">
        <f t="shared" si="0"/>
        <v>2050</v>
      </c>
      <c r="C50" t="str">
        <f t="shared" si="1"/>
        <v>BAL_ELC</v>
      </c>
      <c r="D50" t="str">
        <f t="shared" si="2"/>
        <v>POM C</v>
      </c>
      <c r="E50" s="27">
        <f t="shared" si="3"/>
        <v>326.58968684055435</v>
      </c>
      <c r="F50">
        <f t="shared" si="4"/>
        <v>1.51</v>
      </c>
      <c r="G50">
        <f t="shared" si="6"/>
        <v>8</v>
      </c>
      <c r="H50">
        <f t="shared" si="7"/>
        <v>4</v>
      </c>
      <c r="I50">
        <f t="shared" si="8"/>
        <v>1</v>
      </c>
      <c r="J50" t="str">
        <f t="shared" si="5"/>
        <v>BAL_ELC.POM C</v>
      </c>
      <c r="L50" t="s">
        <v>131</v>
      </c>
      <c r="M50" t="str">
        <f t="shared" ref="M50:M64" si="14">N50&amp;"."&amp;O50</f>
        <v>SOL_PHO.NEP C</v>
      </c>
      <c r="N50" t="s">
        <v>105</v>
      </c>
      <c r="O50" t="s">
        <v>307</v>
      </c>
      <c r="S50" s="132">
        <f t="shared" ref="S50:S64" si="15">INDEX($P$4:$P$8,MATCH($L50,$M$4:$M$8,0))</f>
        <v>1390.1</v>
      </c>
      <c r="T50">
        <f t="shared" ref="T50:Z64" si="16">(T101-$S101)/($Z101-$S101)*($Z101-$S50)+$S50</f>
        <v>1525.9533324236615</v>
      </c>
      <c r="U50">
        <f t="shared" si="16"/>
        <v>1745.4087155695768</v>
      </c>
      <c r="V50">
        <f t="shared" si="16"/>
        <v>2173.8692255211249</v>
      </c>
      <c r="W50">
        <f t="shared" si="16"/>
        <v>3804.1092146050651</v>
      </c>
      <c r="X50">
        <f t="shared" si="16"/>
        <v>4807.3338232721062</v>
      </c>
      <c r="Y50">
        <f t="shared" si="16"/>
        <v>6113.6158658073145</v>
      </c>
      <c r="Z50">
        <f t="shared" si="16"/>
        <v>7357.1963703008332</v>
      </c>
    </row>
    <row r="51" spans="2:26" ht="15">
      <c r="B51">
        <f t="shared" ref="B51:B82" si="17">INDEX(G$4:G$17,G51)</f>
        <v>2015</v>
      </c>
      <c r="C51" t="str">
        <f t="shared" ref="C51:C82" si="18">INDEX(H$4:H$17,H51)</f>
        <v>GEO_ELC</v>
      </c>
      <c r="D51" t="str">
        <f t="shared" ref="D51:D82" si="19">INDEX(I$4:I$17,I51)</f>
        <v>POM C</v>
      </c>
      <c r="E51" s="27">
        <f t="shared" si="3"/>
        <v>0</v>
      </c>
      <c r="F51">
        <f t="shared" ref="F51:F82" si="20">INDEX(P$127:Z$204,MATCH(J51,AB$127:AB$204,0),MATCH(B51,P$126:Z$126,0))</f>
        <v>0.03</v>
      </c>
      <c r="G51">
        <f t="shared" si="6"/>
        <v>1</v>
      </c>
      <c r="H51">
        <f t="shared" si="7"/>
        <v>5</v>
      </c>
      <c r="I51">
        <f t="shared" si="8"/>
        <v>1</v>
      </c>
      <c r="J51" t="str">
        <f t="shared" si="5"/>
        <v>GEO_ELC.POM C</v>
      </c>
      <c r="L51" t="s">
        <v>131</v>
      </c>
      <c r="M51" t="str">
        <f t="shared" si="14"/>
        <v>SOL_PHO.NEP C&amp;E</v>
      </c>
      <c r="N51" t="s">
        <v>105</v>
      </c>
      <c r="O51" t="s">
        <v>308</v>
      </c>
      <c r="S51" s="132">
        <f t="shared" si="15"/>
        <v>1390.1</v>
      </c>
      <c r="T51">
        <f t="shared" si="16"/>
        <v>1665.2918506448036</v>
      </c>
      <c r="U51">
        <f t="shared" si="16"/>
        <v>2192.7428977140107</v>
      </c>
      <c r="V51">
        <f t="shared" si="16"/>
        <v>3259.1113189626258</v>
      </c>
      <c r="W51">
        <f t="shared" si="16"/>
        <v>6160.0920778432665</v>
      </c>
      <c r="X51">
        <f t="shared" si="16"/>
        <v>8797.3473131893006</v>
      </c>
      <c r="Y51">
        <f t="shared" si="16"/>
        <v>11652.462763629143</v>
      </c>
      <c r="Z51">
        <f t="shared" si="16"/>
        <v>13819.598587456969</v>
      </c>
    </row>
    <row r="52" spans="2:26" ht="15">
      <c r="B52">
        <f t="shared" si="17"/>
        <v>2020</v>
      </c>
      <c r="C52" t="str">
        <f t="shared" si="18"/>
        <v>GEO_ELC</v>
      </c>
      <c r="D52" t="str">
        <f t="shared" si="19"/>
        <v>POM C</v>
      </c>
      <c r="E52" s="27">
        <f t="shared" si="3"/>
        <v>9.5617218904890144</v>
      </c>
      <c r="F52">
        <f t="shared" si="20"/>
        <v>0.1</v>
      </c>
      <c r="G52">
        <f t="shared" si="6"/>
        <v>2</v>
      </c>
      <c r="H52">
        <f t="shared" si="7"/>
        <v>5</v>
      </c>
      <c r="I52">
        <f t="shared" si="8"/>
        <v>1</v>
      </c>
      <c r="J52" t="str">
        <f t="shared" si="5"/>
        <v>GEO_ELC.POM C</v>
      </c>
      <c r="L52" t="s">
        <v>131</v>
      </c>
      <c r="M52" t="str">
        <f t="shared" si="14"/>
        <v>SOL_PHO.NEP E</v>
      </c>
      <c r="N52" t="s">
        <v>105</v>
      </c>
      <c r="O52" t="s">
        <v>309</v>
      </c>
      <c r="S52" s="132">
        <f t="shared" si="15"/>
        <v>1390.1</v>
      </c>
      <c r="T52">
        <f t="shared" si="16"/>
        <v>1665.2918506448036</v>
      </c>
      <c r="U52">
        <f t="shared" si="16"/>
        <v>2192.7428977140107</v>
      </c>
      <c r="V52">
        <f t="shared" si="16"/>
        <v>3259.1113189626258</v>
      </c>
      <c r="W52">
        <f t="shared" si="16"/>
        <v>6160.0920778432665</v>
      </c>
      <c r="X52">
        <f t="shared" si="16"/>
        <v>8797.3473131893006</v>
      </c>
      <c r="Y52">
        <f t="shared" si="16"/>
        <v>11652.462763629143</v>
      </c>
      <c r="Z52">
        <f t="shared" si="16"/>
        <v>13819.598587456969</v>
      </c>
    </row>
    <row r="53" spans="2:26" ht="15">
      <c r="B53">
        <f t="shared" si="17"/>
        <v>2025</v>
      </c>
      <c r="C53" t="str">
        <f t="shared" si="18"/>
        <v>GEO_ELC</v>
      </c>
      <c r="D53" t="str">
        <f t="shared" si="19"/>
        <v>POM C</v>
      </c>
      <c r="E53" s="27">
        <f t="shared" si="3"/>
        <v>23.221324591187607</v>
      </c>
      <c r="F53">
        <f t="shared" si="20"/>
        <v>0.2</v>
      </c>
      <c r="G53">
        <f t="shared" si="6"/>
        <v>3</v>
      </c>
      <c r="H53">
        <f t="shared" si="7"/>
        <v>5</v>
      </c>
      <c r="I53">
        <f t="shared" si="8"/>
        <v>1</v>
      </c>
      <c r="J53" t="str">
        <f t="shared" si="5"/>
        <v>GEO_ELC.POM C</v>
      </c>
      <c r="L53" t="s">
        <v>141</v>
      </c>
      <c r="M53" t="str">
        <f t="shared" si="14"/>
        <v>WIN_ONS.NEP C</v>
      </c>
      <c r="N53" t="s">
        <v>120</v>
      </c>
      <c r="O53" t="s">
        <v>307</v>
      </c>
      <c r="S53" s="132">
        <f t="shared" si="15"/>
        <v>60.287999999999997</v>
      </c>
      <c r="T53">
        <f t="shared" si="16"/>
        <v>87.268448637974814</v>
      </c>
      <c r="U53">
        <f t="shared" si="16"/>
        <v>146.62543564151935</v>
      </c>
      <c r="V53">
        <f t="shared" si="16"/>
        <v>319.30030692455807</v>
      </c>
      <c r="W53">
        <f t="shared" si="16"/>
        <v>427.22210147645728</v>
      </c>
      <c r="X53">
        <f t="shared" si="16"/>
        <v>562.12434466633124</v>
      </c>
      <c r="Y53">
        <f t="shared" si="16"/>
        <v>686.23440840101534</v>
      </c>
      <c r="Z53">
        <f t="shared" si="16"/>
        <v>772.57184404253462</v>
      </c>
    </row>
    <row r="54" spans="2:26" ht="15">
      <c r="B54">
        <f t="shared" si="17"/>
        <v>2030</v>
      </c>
      <c r="C54" t="str">
        <f t="shared" si="18"/>
        <v>GEO_ELC</v>
      </c>
      <c r="D54" t="str">
        <f t="shared" si="19"/>
        <v>POM C</v>
      </c>
      <c r="E54" s="27">
        <f t="shared" si="3"/>
        <v>40.978808102095776</v>
      </c>
      <c r="F54">
        <f t="shared" si="20"/>
        <v>0.33</v>
      </c>
      <c r="G54">
        <f t="shared" si="6"/>
        <v>4</v>
      </c>
      <c r="H54">
        <f t="shared" si="7"/>
        <v>5</v>
      </c>
      <c r="I54">
        <f t="shared" si="8"/>
        <v>1</v>
      </c>
      <c r="J54" t="str">
        <f t="shared" si="5"/>
        <v>GEO_ELC.POM C</v>
      </c>
      <c r="L54" t="s">
        <v>141</v>
      </c>
      <c r="M54" t="str">
        <f t="shared" si="14"/>
        <v>WIN_ONS.NEP C&amp;E</v>
      </c>
      <c r="N54" t="s">
        <v>120</v>
      </c>
      <c r="O54" t="s">
        <v>308</v>
      </c>
      <c r="S54" s="132">
        <f t="shared" si="15"/>
        <v>60.287999999999997</v>
      </c>
      <c r="T54">
        <f t="shared" si="16"/>
        <v>240.56887508707831</v>
      </c>
      <c r="U54">
        <f t="shared" si="16"/>
        <v>432.4807743733229</v>
      </c>
      <c r="V54">
        <f t="shared" si="16"/>
        <v>705.80984305373192</v>
      </c>
      <c r="W54">
        <f t="shared" si="16"/>
        <v>880.27520604122697</v>
      </c>
      <c r="X54">
        <f t="shared" si="16"/>
        <v>1362.9627103066302</v>
      </c>
      <c r="Y54">
        <f t="shared" si="16"/>
        <v>1851.4657266716167</v>
      </c>
      <c r="Z54">
        <f t="shared" si="16"/>
        <v>2334.15323093702</v>
      </c>
    </row>
    <row r="55" spans="2:26" ht="15">
      <c r="B55">
        <f t="shared" si="17"/>
        <v>2035</v>
      </c>
      <c r="C55" t="str">
        <f t="shared" si="18"/>
        <v>GEO_ELC</v>
      </c>
      <c r="D55" t="str">
        <f t="shared" si="19"/>
        <v>POM C</v>
      </c>
      <c r="E55" s="27">
        <f t="shared" si="3"/>
        <v>49.174569722514931</v>
      </c>
      <c r="F55">
        <f t="shared" si="20"/>
        <v>0.39</v>
      </c>
      <c r="G55">
        <f t="shared" si="6"/>
        <v>5</v>
      </c>
      <c r="H55">
        <f t="shared" si="7"/>
        <v>5</v>
      </c>
      <c r="I55">
        <f t="shared" si="8"/>
        <v>1</v>
      </c>
      <c r="J55" t="str">
        <f t="shared" si="5"/>
        <v>GEO_ELC.POM C</v>
      </c>
      <c r="L55" t="s">
        <v>141</v>
      </c>
      <c r="M55" t="str">
        <f t="shared" si="14"/>
        <v>WIN_ONS.NEP E</v>
      </c>
      <c r="N55" t="s">
        <v>120</v>
      </c>
      <c r="O55" t="s">
        <v>309</v>
      </c>
      <c r="S55" s="132">
        <f t="shared" si="15"/>
        <v>60.287999999999997</v>
      </c>
      <c r="T55">
        <f t="shared" si="16"/>
        <v>240.56887508707831</v>
      </c>
      <c r="U55">
        <f t="shared" si="16"/>
        <v>432.4807743733229</v>
      </c>
      <c r="V55">
        <f t="shared" si="16"/>
        <v>705.80984305373192</v>
      </c>
      <c r="W55">
        <f t="shared" si="16"/>
        <v>880.27520604122697</v>
      </c>
      <c r="X55">
        <f t="shared" si="16"/>
        <v>1362.9627103066302</v>
      </c>
      <c r="Y55">
        <f t="shared" si="16"/>
        <v>1851.4657266716167</v>
      </c>
      <c r="Z55">
        <f t="shared" si="16"/>
        <v>2334.15323093702</v>
      </c>
    </row>
    <row r="56" spans="2:26" ht="15">
      <c r="B56">
        <f t="shared" si="17"/>
        <v>2040</v>
      </c>
      <c r="C56" t="str">
        <f t="shared" si="18"/>
        <v>GEO_ELC</v>
      </c>
      <c r="D56" t="str">
        <f t="shared" si="19"/>
        <v>POM C</v>
      </c>
      <c r="E56" s="27">
        <f t="shared" si="3"/>
        <v>49.174569722514931</v>
      </c>
      <c r="F56">
        <f t="shared" si="20"/>
        <v>0.39</v>
      </c>
      <c r="G56">
        <f t="shared" si="6"/>
        <v>6</v>
      </c>
      <c r="H56">
        <f t="shared" si="7"/>
        <v>5</v>
      </c>
      <c r="I56">
        <f t="shared" si="8"/>
        <v>1</v>
      </c>
      <c r="J56" t="str">
        <f t="shared" si="5"/>
        <v>GEO_ELC.POM C</v>
      </c>
      <c r="L56" t="s">
        <v>24</v>
      </c>
      <c r="M56" t="str">
        <f t="shared" si="14"/>
        <v>WAS_ELC.NEP C</v>
      </c>
      <c r="N56" t="s">
        <v>110</v>
      </c>
      <c r="O56" t="s">
        <v>307</v>
      </c>
      <c r="S56" s="132">
        <f t="shared" si="15"/>
        <v>439.268492108766</v>
      </c>
      <c r="T56">
        <f t="shared" si="16"/>
        <v>439.268492108766</v>
      </c>
      <c r="U56">
        <f t="shared" si="16"/>
        <v>414.63116760861027</v>
      </c>
      <c r="V56">
        <f t="shared" si="16"/>
        <v>406.41872610855842</v>
      </c>
      <c r="W56">
        <f t="shared" si="16"/>
        <v>406.41872610855842</v>
      </c>
      <c r="X56">
        <f t="shared" si="16"/>
        <v>398.20628460850639</v>
      </c>
      <c r="Y56">
        <f t="shared" si="16"/>
        <v>398.20628460850639</v>
      </c>
      <c r="Z56">
        <f t="shared" si="16"/>
        <v>398.20628460850639</v>
      </c>
    </row>
    <row r="57" spans="2:26" ht="15">
      <c r="B57">
        <f t="shared" si="17"/>
        <v>2045</v>
      </c>
      <c r="C57" t="str">
        <f t="shared" si="18"/>
        <v>GEO_ELC</v>
      </c>
      <c r="D57" t="str">
        <f t="shared" si="19"/>
        <v>POM C</v>
      </c>
      <c r="E57" s="27">
        <f t="shared" si="3"/>
        <v>53.272450532724505</v>
      </c>
      <c r="F57">
        <f t="shared" si="20"/>
        <v>0.42</v>
      </c>
      <c r="G57">
        <f t="shared" si="6"/>
        <v>7</v>
      </c>
      <c r="H57">
        <f t="shared" si="7"/>
        <v>5</v>
      </c>
      <c r="I57">
        <f t="shared" si="8"/>
        <v>1</v>
      </c>
      <c r="J57" t="str">
        <f t="shared" si="5"/>
        <v>GEO_ELC.POM C</v>
      </c>
      <c r="L57" t="s">
        <v>24</v>
      </c>
      <c r="M57" t="str">
        <f t="shared" si="14"/>
        <v>WAS_ELC.NEP C&amp;E</v>
      </c>
      <c r="N57" t="s">
        <v>110</v>
      </c>
      <c r="O57" t="s">
        <v>308</v>
      </c>
      <c r="S57" s="132">
        <f t="shared" si="15"/>
        <v>439.268492108766</v>
      </c>
      <c r="T57">
        <f t="shared" si="16"/>
        <v>470.22880300472525</v>
      </c>
      <c r="U57">
        <f t="shared" si="16"/>
        <v>506.81826133631336</v>
      </c>
      <c r="V57">
        <f t="shared" si="16"/>
        <v>532.14942479664364</v>
      </c>
      <c r="W57">
        <f t="shared" si="16"/>
        <v>532.14942479664364</v>
      </c>
      <c r="X57">
        <f t="shared" si="16"/>
        <v>534.96399851445813</v>
      </c>
      <c r="Y57">
        <f t="shared" si="16"/>
        <v>534.96399851445813</v>
      </c>
      <c r="Z57">
        <f t="shared" si="16"/>
        <v>534.96399851445813</v>
      </c>
    </row>
    <row r="58" spans="2:26" ht="15">
      <c r="B58">
        <f t="shared" si="17"/>
        <v>2050</v>
      </c>
      <c r="C58" t="str">
        <f t="shared" si="18"/>
        <v>GEO_ELC</v>
      </c>
      <c r="D58" t="str">
        <f t="shared" si="19"/>
        <v>POM C</v>
      </c>
      <c r="E58" s="27">
        <f t="shared" si="3"/>
        <v>53.272450532724505</v>
      </c>
      <c r="F58">
        <f t="shared" si="20"/>
        <v>0.42</v>
      </c>
      <c r="G58">
        <f t="shared" si="6"/>
        <v>8</v>
      </c>
      <c r="H58">
        <f t="shared" si="7"/>
        <v>5</v>
      </c>
      <c r="I58">
        <f t="shared" si="8"/>
        <v>1</v>
      </c>
      <c r="J58" t="str">
        <f t="shared" si="5"/>
        <v>GEO_ELC.POM C</v>
      </c>
      <c r="L58" t="s">
        <v>24</v>
      </c>
      <c r="M58" t="str">
        <f t="shared" si="14"/>
        <v>WAS_ELC.NEP E</v>
      </c>
      <c r="N58" t="s">
        <v>110</v>
      </c>
      <c r="O58" t="s">
        <v>309</v>
      </c>
      <c r="S58" s="132">
        <f t="shared" si="15"/>
        <v>439.268492108766</v>
      </c>
      <c r="T58">
        <f t="shared" si="16"/>
        <v>470.22880300472525</v>
      </c>
      <c r="U58">
        <f t="shared" si="16"/>
        <v>506.81826133631336</v>
      </c>
      <c r="V58">
        <f t="shared" si="16"/>
        <v>532.14942479664364</v>
      </c>
      <c r="W58">
        <f t="shared" si="16"/>
        <v>532.14942479664364</v>
      </c>
      <c r="X58">
        <f t="shared" si="16"/>
        <v>534.96399851445813</v>
      </c>
      <c r="Y58">
        <f t="shared" si="16"/>
        <v>534.96399851445813</v>
      </c>
      <c r="Z58">
        <f t="shared" si="16"/>
        <v>534.96399851445813</v>
      </c>
    </row>
    <row r="59" spans="2:26" ht="15">
      <c r="B59">
        <f t="shared" si="17"/>
        <v>2015</v>
      </c>
      <c r="C59" t="str">
        <f t="shared" si="18"/>
        <v>NUC_ELC</v>
      </c>
      <c r="D59" t="str">
        <f t="shared" si="19"/>
        <v>POM C</v>
      </c>
      <c r="E59" s="27" t="e">
        <f t="shared" si="3"/>
        <v>#N/A</v>
      </c>
      <c r="F59">
        <f t="shared" si="20"/>
        <v>24.58</v>
      </c>
      <c r="G59">
        <f t="shared" si="6"/>
        <v>1</v>
      </c>
      <c r="H59">
        <f t="shared" si="7"/>
        <v>6</v>
      </c>
      <c r="I59">
        <f t="shared" si="8"/>
        <v>1</v>
      </c>
      <c r="J59" t="str">
        <f t="shared" si="5"/>
        <v>NUC_ELC.POM C</v>
      </c>
      <c r="L59" t="s">
        <v>11</v>
      </c>
      <c r="M59" t="str">
        <f t="shared" si="14"/>
        <v>BAL_ELC.NEP C</v>
      </c>
      <c r="N59" t="s">
        <v>55</v>
      </c>
      <c r="O59" t="s">
        <v>307</v>
      </c>
      <c r="S59" s="132">
        <f t="shared" si="15"/>
        <v>46.2</v>
      </c>
      <c r="T59">
        <f t="shared" si="16"/>
        <v>126.73746324143583</v>
      </c>
      <c r="U59">
        <f t="shared" si="16"/>
        <v>225.17214053652407</v>
      </c>
      <c r="V59">
        <f t="shared" si="16"/>
        <v>305.70960377795984</v>
      </c>
      <c r="W59">
        <f t="shared" si="16"/>
        <v>308.69247278690199</v>
      </c>
      <c r="X59">
        <f t="shared" si="16"/>
        <v>317.6410798137282</v>
      </c>
      <c r="Y59">
        <f t="shared" si="16"/>
        <v>326.58968684055435</v>
      </c>
      <c r="Z59">
        <f t="shared" si="16"/>
        <v>326.58968684055435</v>
      </c>
    </row>
    <row r="60" spans="2:26" ht="15">
      <c r="B60">
        <f t="shared" si="17"/>
        <v>2020</v>
      </c>
      <c r="C60" t="str">
        <f t="shared" si="18"/>
        <v>NUC_ELC</v>
      </c>
      <c r="D60" t="str">
        <f t="shared" si="19"/>
        <v>POM C</v>
      </c>
      <c r="E60" s="27" t="e">
        <f t="shared" si="3"/>
        <v>#N/A</v>
      </c>
      <c r="F60">
        <f t="shared" si="20"/>
        <v>21.68</v>
      </c>
      <c r="G60">
        <f t="shared" si="6"/>
        <v>2</v>
      </c>
      <c r="H60">
        <f t="shared" si="7"/>
        <v>6</v>
      </c>
      <c r="I60">
        <f t="shared" si="8"/>
        <v>1</v>
      </c>
      <c r="J60" t="str">
        <f t="shared" si="5"/>
        <v>NUC_ELC.POM C</v>
      </c>
      <c r="L60" t="s">
        <v>11</v>
      </c>
      <c r="M60" t="str">
        <f t="shared" si="14"/>
        <v>BAL_ELC.NEP C&amp;E</v>
      </c>
      <c r="N60" t="s">
        <v>55</v>
      </c>
      <c r="O60" t="s">
        <v>308</v>
      </c>
      <c r="S60" s="132">
        <f t="shared" si="15"/>
        <v>46.2</v>
      </c>
      <c r="T60">
        <f t="shared" si="16"/>
        <v>191.26334532998413</v>
      </c>
      <c r="U60">
        <f t="shared" si="16"/>
        <v>407.58587783960968</v>
      </c>
      <c r="V60">
        <f t="shared" si="16"/>
        <v>585.73384578871287</v>
      </c>
      <c r="W60">
        <f t="shared" si="16"/>
        <v>639.17823617344402</v>
      </c>
      <c r="X60">
        <f t="shared" si="16"/>
        <v>662.08297490975724</v>
      </c>
      <c r="Y60">
        <f t="shared" si="16"/>
        <v>672.26285879256318</v>
      </c>
      <c r="Z60">
        <f t="shared" si="16"/>
        <v>674.80782976326464</v>
      </c>
    </row>
    <row r="61" spans="2:26" ht="15">
      <c r="B61">
        <f t="shared" si="17"/>
        <v>2025</v>
      </c>
      <c r="C61" t="str">
        <f t="shared" si="18"/>
        <v>NUC_ELC</v>
      </c>
      <c r="D61" t="str">
        <f t="shared" si="19"/>
        <v>POM C</v>
      </c>
      <c r="E61" s="27" t="e">
        <f t="shared" si="3"/>
        <v>#N/A</v>
      </c>
      <c r="F61">
        <f t="shared" si="20"/>
        <v>15.98</v>
      </c>
      <c r="G61">
        <f t="shared" si="6"/>
        <v>3</v>
      </c>
      <c r="H61">
        <f t="shared" si="7"/>
        <v>6</v>
      </c>
      <c r="I61">
        <f t="shared" si="8"/>
        <v>1</v>
      </c>
      <c r="J61" t="str">
        <f t="shared" si="5"/>
        <v>NUC_ELC.POM C</v>
      </c>
      <c r="L61" t="s">
        <v>11</v>
      </c>
      <c r="M61" t="str">
        <f t="shared" si="14"/>
        <v>BAL_ELC.NEP E</v>
      </c>
      <c r="N61" t="s">
        <v>55</v>
      </c>
      <c r="O61" t="s">
        <v>309</v>
      </c>
      <c r="S61" s="132">
        <f t="shared" si="15"/>
        <v>46.2</v>
      </c>
      <c r="T61">
        <f t="shared" si="16"/>
        <v>191.26334532998413</v>
      </c>
      <c r="U61">
        <f t="shared" si="16"/>
        <v>407.58587783960968</v>
      </c>
      <c r="V61">
        <f t="shared" si="16"/>
        <v>585.73384578871287</v>
      </c>
      <c r="W61">
        <f t="shared" si="16"/>
        <v>639.17823617344402</v>
      </c>
      <c r="X61">
        <f t="shared" si="16"/>
        <v>662.08297490975724</v>
      </c>
      <c r="Y61">
        <f t="shared" si="16"/>
        <v>672.26285879256318</v>
      </c>
      <c r="Z61">
        <f t="shared" si="16"/>
        <v>674.80782976326464</v>
      </c>
    </row>
    <row r="62" spans="2:26" ht="15">
      <c r="B62">
        <f t="shared" si="17"/>
        <v>2030</v>
      </c>
      <c r="C62" t="str">
        <f t="shared" si="18"/>
        <v>NUC_ELC</v>
      </c>
      <c r="D62" t="str">
        <f t="shared" si="19"/>
        <v>POM C</v>
      </c>
      <c r="E62" s="27" t="e">
        <f t="shared" si="3"/>
        <v>#N/A</v>
      </c>
      <c r="F62">
        <f t="shared" si="20"/>
        <v>8.81</v>
      </c>
      <c r="G62">
        <f t="shared" si="6"/>
        <v>4</v>
      </c>
      <c r="H62">
        <f t="shared" si="7"/>
        <v>6</v>
      </c>
      <c r="I62">
        <f t="shared" si="8"/>
        <v>1</v>
      </c>
      <c r="J62" t="str">
        <f t="shared" si="5"/>
        <v>NUC_ELC.POM C</v>
      </c>
      <c r="L62" t="s">
        <v>23</v>
      </c>
      <c r="M62" t="str">
        <f t="shared" si="14"/>
        <v>GEO_ELC.NEP C</v>
      </c>
      <c r="N62" t="s">
        <v>65</v>
      </c>
      <c r="O62" t="s">
        <v>307</v>
      </c>
      <c r="S62" s="132">
        <f t="shared" si="15"/>
        <v>0</v>
      </c>
      <c r="T62">
        <f t="shared" si="16"/>
        <v>9.5617218904890144</v>
      </c>
      <c r="U62">
        <f t="shared" si="16"/>
        <v>23.221324591187607</v>
      </c>
      <c r="V62">
        <f t="shared" si="16"/>
        <v>40.978808102095776</v>
      </c>
      <c r="W62">
        <f t="shared" si="16"/>
        <v>49.174569722514931</v>
      </c>
      <c r="X62">
        <f t="shared" si="16"/>
        <v>49.174569722514931</v>
      </c>
      <c r="Y62">
        <f t="shared" si="16"/>
        <v>53.272450532724505</v>
      </c>
      <c r="Z62">
        <f t="shared" si="16"/>
        <v>53.272450532724505</v>
      </c>
    </row>
    <row r="63" spans="2:26" ht="15">
      <c r="B63">
        <f t="shared" si="17"/>
        <v>2035</v>
      </c>
      <c r="C63" t="str">
        <f t="shared" si="18"/>
        <v>NUC_ELC</v>
      </c>
      <c r="D63" t="str">
        <f t="shared" si="19"/>
        <v>POM C</v>
      </c>
      <c r="E63" s="27" t="e">
        <f t="shared" si="3"/>
        <v>#N/A</v>
      </c>
      <c r="F63">
        <f t="shared" si="20"/>
        <v>0</v>
      </c>
      <c r="G63">
        <f t="shared" si="6"/>
        <v>5</v>
      </c>
      <c r="H63">
        <f t="shared" si="7"/>
        <v>6</v>
      </c>
      <c r="I63">
        <f t="shared" si="8"/>
        <v>1</v>
      </c>
      <c r="J63" t="str">
        <f t="shared" si="5"/>
        <v>NUC_ELC.POM C</v>
      </c>
      <c r="L63" t="s">
        <v>23</v>
      </c>
      <c r="M63" t="str">
        <f t="shared" si="14"/>
        <v>GEO_ELC.NEP C&amp;E</v>
      </c>
      <c r="N63" t="s">
        <v>65</v>
      </c>
      <c r="O63" t="s">
        <v>308</v>
      </c>
      <c r="S63" s="132">
        <f t="shared" si="15"/>
        <v>0</v>
      </c>
      <c r="T63">
        <f t="shared" si="16"/>
        <v>12.979579189624854</v>
      </c>
      <c r="U63">
        <f t="shared" si="16"/>
        <v>37.640779649912076</v>
      </c>
      <c r="V63">
        <f t="shared" si="16"/>
        <v>88.26113848944901</v>
      </c>
      <c r="W63">
        <f t="shared" si="16"/>
        <v>172.62840322201058</v>
      </c>
      <c r="X63">
        <f t="shared" si="16"/>
        <v>299.82827928033413</v>
      </c>
      <c r="Y63">
        <f t="shared" si="16"/>
        <v>438.70977660932004</v>
      </c>
      <c r="Z63">
        <f t="shared" si="16"/>
        <v>556.82394723490609</v>
      </c>
    </row>
    <row r="64" spans="2:26" ht="15">
      <c r="B64">
        <f t="shared" si="17"/>
        <v>2040</v>
      </c>
      <c r="C64" t="str">
        <f t="shared" si="18"/>
        <v>NUC_ELC</v>
      </c>
      <c r="D64" t="str">
        <f t="shared" si="19"/>
        <v>POM C</v>
      </c>
      <c r="E64" s="27" t="e">
        <f t="shared" si="3"/>
        <v>#N/A</v>
      </c>
      <c r="F64">
        <f t="shared" si="20"/>
        <v>0</v>
      </c>
      <c r="G64">
        <f t="shared" si="6"/>
        <v>6</v>
      </c>
      <c r="H64">
        <f t="shared" si="7"/>
        <v>6</v>
      </c>
      <c r="I64">
        <f t="shared" si="8"/>
        <v>1</v>
      </c>
      <c r="J64" t="str">
        <f t="shared" si="5"/>
        <v>NUC_ELC.POM C</v>
      </c>
      <c r="L64" t="s">
        <v>23</v>
      </c>
      <c r="M64" t="str">
        <f t="shared" si="14"/>
        <v>GEO_ELC.NEP E</v>
      </c>
      <c r="N64" t="s">
        <v>65</v>
      </c>
      <c r="O64" t="s">
        <v>309</v>
      </c>
      <c r="S64" s="132">
        <f t="shared" si="15"/>
        <v>0</v>
      </c>
      <c r="T64">
        <f t="shared" si="16"/>
        <v>12.979579189624854</v>
      </c>
      <c r="U64">
        <f t="shared" si="16"/>
        <v>37.640779649912076</v>
      </c>
      <c r="V64">
        <f t="shared" si="16"/>
        <v>88.26113848944901</v>
      </c>
      <c r="W64">
        <f t="shared" si="16"/>
        <v>172.62840322201058</v>
      </c>
      <c r="X64">
        <f t="shared" si="16"/>
        <v>299.82827928033413</v>
      </c>
      <c r="Y64">
        <f t="shared" si="16"/>
        <v>438.70977660932004</v>
      </c>
      <c r="Z64">
        <f t="shared" si="16"/>
        <v>556.82394723490609</v>
      </c>
    </row>
    <row r="65" spans="2:26">
      <c r="B65">
        <f t="shared" si="17"/>
        <v>2045</v>
      </c>
      <c r="C65" t="str">
        <f t="shared" si="18"/>
        <v>NUC_ELC</v>
      </c>
      <c r="D65" t="str">
        <f t="shared" si="19"/>
        <v>POM C</v>
      </c>
      <c r="E65" s="27" t="e">
        <f t="shared" si="3"/>
        <v>#N/A</v>
      </c>
      <c r="F65">
        <f t="shared" si="20"/>
        <v>0</v>
      </c>
      <c r="G65">
        <f t="shared" si="6"/>
        <v>7</v>
      </c>
      <c r="H65">
        <f t="shared" si="7"/>
        <v>6</v>
      </c>
      <c r="I65">
        <f t="shared" si="8"/>
        <v>1</v>
      </c>
      <c r="J65" t="str">
        <f t="shared" si="5"/>
        <v>NUC_ELC.POM C</v>
      </c>
    </row>
    <row r="66" spans="2:26">
      <c r="B66">
        <f t="shared" si="17"/>
        <v>2050</v>
      </c>
      <c r="C66" t="str">
        <f t="shared" si="18"/>
        <v>NUC_ELC</v>
      </c>
      <c r="D66" t="str">
        <f t="shared" si="19"/>
        <v>POM C</v>
      </c>
      <c r="E66" s="27" t="e">
        <f t="shared" si="3"/>
        <v>#N/A</v>
      </c>
      <c r="F66">
        <f t="shared" si="20"/>
        <v>0</v>
      </c>
      <c r="G66">
        <f t="shared" si="6"/>
        <v>8</v>
      </c>
      <c r="H66">
        <f t="shared" si="7"/>
        <v>6</v>
      </c>
      <c r="I66">
        <f t="shared" si="8"/>
        <v>1</v>
      </c>
      <c r="J66" t="str">
        <f t="shared" si="5"/>
        <v>NUC_ELC.POM C</v>
      </c>
    </row>
    <row r="67" spans="2:26">
      <c r="B67">
        <f t="shared" si="17"/>
        <v>2015</v>
      </c>
      <c r="C67" t="str">
        <f t="shared" si="18"/>
        <v>HYD_STO_TRUE</v>
      </c>
      <c r="D67" t="str">
        <f t="shared" si="19"/>
        <v>POM C</v>
      </c>
      <c r="E67" s="27" t="e">
        <f t="shared" si="3"/>
        <v>#N/A</v>
      </c>
      <c r="F67">
        <f t="shared" si="20"/>
        <v>4.34</v>
      </c>
      <c r="G67">
        <f t="shared" si="6"/>
        <v>1</v>
      </c>
      <c r="H67">
        <f t="shared" si="7"/>
        <v>7</v>
      </c>
      <c r="I67">
        <f t="shared" si="8"/>
        <v>1</v>
      </c>
      <c r="J67" t="str">
        <f t="shared" si="5"/>
        <v>HYD_STO_TRUE.POM C</v>
      </c>
    </row>
    <row r="68" spans="2:26">
      <c r="B68">
        <f t="shared" si="17"/>
        <v>2020</v>
      </c>
      <c r="C68" t="str">
        <f t="shared" si="18"/>
        <v>HYD_STO_TRUE</v>
      </c>
      <c r="D68" t="str">
        <f t="shared" si="19"/>
        <v>POM C</v>
      </c>
      <c r="E68" s="27" t="e">
        <f t="shared" si="3"/>
        <v>#N/A</v>
      </c>
      <c r="F68">
        <f t="shared" si="20"/>
        <v>7.54</v>
      </c>
      <c r="G68">
        <f t="shared" si="6"/>
        <v>2</v>
      </c>
      <c r="H68">
        <f t="shared" si="7"/>
        <v>7</v>
      </c>
      <c r="I68">
        <f t="shared" si="8"/>
        <v>1</v>
      </c>
      <c r="J68" t="str">
        <f t="shared" si="5"/>
        <v>HYD_STO_TRUE.POM C</v>
      </c>
    </row>
    <row r="69" spans="2:26">
      <c r="B69">
        <f t="shared" si="17"/>
        <v>2025</v>
      </c>
      <c r="C69" t="str">
        <f t="shared" si="18"/>
        <v>HYD_STO_TRUE</v>
      </c>
      <c r="D69" t="str">
        <f t="shared" si="19"/>
        <v>POM C</v>
      </c>
      <c r="E69" s="27" t="e">
        <f t="shared" si="3"/>
        <v>#N/A</v>
      </c>
      <c r="F69">
        <f t="shared" si="20"/>
        <v>7.54</v>
      </c>
      <c r="G69">
        <f t="shared" si="6"/>
        <v>3</v>
      </c>
      <c r="H69">
        <f t="shared" si="7"/>
        <v>7</v>
      </c>
      <c r="I69">
        <f t="shared" si="8"/>
        <v>1</v>
      </c>
      <c r="J69" t="str">
        <f t="shared" si="5"/>
        <v>HYD_STO_TRUE.POM C</v>
      </c>
    </row>
    <row r="70" spans="2:26">
      <c r="B70">
        <f t="shared" si="17"/>
        <v>2030</v>
      </c>
      <c r="C70" t="str">
        <f t="shared" si="18"/>
        <v>HYD_STO_TRUE</v>
      </c>
      <c r="D70" t="str">
        <f t="shared" si="19"/>
        <v>POM C</v>
      </c>
      <c r="E70" s="27" t="e">
        <f t="shared" si="3"/>
        <v>#N/A</v>
      </c>
      <c r="F70">
        <f t="shared" si="20"/>
        <v>7.54</v>
      </c>
      <c r="G70">
        <f t="shared" si="6"/>
        <v>4</v>
      </c>
      <c r="H70">
        <f t="shared" si="7"/>
        <v>7</v>
      </c>
      <c r="I70">
        <f t="shared" si="8"/>
        <v>1</v>
      </c>
      <c r="J70" t="str">
        <f t="shared" si="5"/>
        <v>HYD_STO_TRUE.POM C</v>
      </c>
      <c r="P70">
        <v>2000</v>
      </c>
      <c r="Q70">
        <v>2005</v>
      </c>
      <c r="R70">
        <v>2010</v>
      </c>
      <c r="S70">
        <v>2015</v>
      </c>
      <c r="T70">
        <v>2020</v>
      </c>
      <c r="U70">
        <v>2025</v>
      </c>
      <c r="V70">
        <v>2030</v>
      </c>
      <c r="W70">
        <v>2035</v>
      </c>
      <c r="X70">
        <v>2040</v>
      </c>
      <c r="Y70">
        <v>2045</v>
      </c>
      <c r="Z70">
        <v>2050</v>
      </c>
    </row>
    <row r="71" spans="2:26">
      <c r="B71">
        <f t="shared" si="17"/>
        <v>2035</v>
      </c>
      <c r="C71" t="str">
        <f t="shared" si="18"/>
        <v>HYD_STO_TRUE</v>
      </c>
      <c r="D71" t="str">
        <f t="shared" si="19"/>
        <v>POM C</v>
      </c>
      <c r="E71" s="27" t="e">
        <f t="shared" si="3"/>
        <v>#N/A</v>
      </c>
      <c r="F71">
        <f t="shared" si="20"/>
        <v>7.54</v>
      </c>
      <c r="G71">
        <f t="shared" si="6"/>
        <v>5</v>
      </c>
      <c r="H71">
        <f t="shared" si="7"/>
        <v>7</v>
      </c>
      <c r="I71">
        <f t="shared" si="8"/>
        <v>1</v>
      </c>
      <c r="J71" t="str">
        <f t="shared" si="5"/>
        <v>HYD_STO_TRUE.POM C</v>
      </c>
      <c r="L71" t="s">
        <v>131</v>
      </c>
      <c r="M71" t="str">
        <f t="shared" ref="M71:M115" si="21">N71&amp;"."&amp;O71</f>
        <v>SOL_PHO.POM C</v>
      </c>
      <c r="N71" t="s">
        <v>105</v>
      </c>
      <c r="O71" t="s">
        <v>142</v>
      </c>
      <c r="P71" s="27">
        <f t="shared" ref="P71:Z80" si="22">SUMIFS(P$127:P$177,$O$127:$O$177,$O71,$N$127:$N$177,$N71)/INDEX($Q$4:$Q$8,MATCH($L71,$M$4:$M$8,0))*1000000</f>
        <v>12.42769657145411</v>
      </c>
      <c r="Q71" s="27">
        <f t="shared" si="22"/>
        <v>24.85539314290822</v>
      </c>
      <c r="R71" s="27">
        <f t="shared" si="22"/>
        <v>99.421572571632879</v>
      </c>
      <c r="S71" s="27">
        <f t="shared" si="22"/>
        <v>260.98162800053632</v>
      </c>
      <c r="T71" s="27">
        <f t="shared" si="22"/>
        <v>422.54168342943979</v>
      </c>
      <c r="U71" s="27">
        <f t="shared" si="22"/>
        <v>683.52331142997616</v>
      </c>
      <c r="V71" s="27">
        <f t="shared" si="22"/>
        <v>1193.0588708595947</v>
      </c>
      <c r="W71" s="27">
        <f t="shared" si="22"/>
        <v>3131.7795360064356</v>
      </c>
      <c r="X71" s="27">
        <f t="shared" si="22"/>
        <v>4324.8384068660307</v>
      </c>
      <c r="Y71" s="27">
        <f t="shared" si="22"/>
        <v>5878.3004782977951</v>
      </c>
      <c r="Z71" s="27">
        <f t="shared" si="22"/>
        <v>7357.1963703008332</v>
      </c>
    </row>
    <row r="72" spans="2:26">
      <c r="B72">
        <f t="shared" si="17"/>
        <v>2040</v>
      </c>
      <c r="C72" t="str">
        <f t="shared" si="18"/>
        <v>HYD_STO_TRUE</v>
      </c>
      <c r="D72" t="str">
        <f t="shared" si="19"/>
        <v>POM C</v>
      </c>
      <c r="E72" s="27" t="e">
        <f t="shared" si="3"/>
        <v>#N/A</v>
      </c>
      <c r="F72">
        <f t="shared" si="20"/>
        <v>7.54</v>
      </c>
      <c r="G72">
        <f t="shared" si="6"/>
        <v>6</v>
      </c>
      <c r="H72">
        <f t="shared" si="7"/>
        <v>7</v>
      </c>
      <c r="I72">
        <f t="shared" si="8"/>
        <v>1</v>
      </c>
      <c r="J72" t="str">
        <f t="shared" si="5"/>
        <v>HYD_STO_TRUE.POM C</v>
      </c>
      <c r="L72" t="s">
        <v>131</v>
      </c>
      <c r="M72" t="str">
        <f t="shared" si="21"/>
        <v>SOL_PHO.POM C&amp;E</v>
      </c>
      <c r="N72" t="s">
        <v>105</v>
      </c>
      <c r="O72" t="s">
        <v>296</v>
      </c>
      <c r="P72" s="27">
        <f t="shared" si="22"/>
        <v>12.42769657145411</v>
      </c>
      <c r="Q72" s="27">
        <f t="shared" si="22"/>
        <v>24.85539314290822</v>
      </c>
      <c r="R72" s="27">
        <f t="shared" si="22"/>
        <v>99.421572571632879</v>
      </c>
      <c r="S72" s="27">
        <f t="shared" si="22"/>
        <v>347.97550400071515</v>
      </c>
      <c r="T72" s="27">
        <f t="shared" si="22"/>
        <v>646.24022171561376</v>
      </c>
      <c r="U72" s="27">
        <f t="shared" si="22"/>
        <v>1217.9142640025029</v>
      </c>
      <c r="V72" s="27">
        <f t="shared" si="22"/>
        <v>2373.690045147735</v>
      </c>
      <c r="W72" s="27">
        <f t="shared" si="22"/>
        <v>5517.8972777256258</v>
      </c>
      <c r="X72" s="27">
        <f t="shared" si="22"/>
        <v>8376.2674891600691</v>
      </c>
      <c r="Y72" s="27">
        <f t="shared" si="22"/>
        <v>11470.763935452145</v>
      </c>
      <c r="Z72" s="27">
        <f t="shared" si="22"/>
        <v>13819.598587456969</v>
      </c>
    </row>
    <row r="73" spans="2:26">
      <c r="B73">
        <f t="shared" si="17"/>
        <v>2045</v>
      </c>
      <c r="C73" t="str">
        <f t="shared" si="18"/>
        <v>HYD_STO_TRUE</v>
      </c>
      <c r="D73" t="str">
        <f t="shared" si="19"/>
        <v>POM C</v>
      </c>
      <c r="E73" s="27" t="e">
        <f t="shared" si="3"/>
        <v>#N/A</v>
      </c>
      <c r="F73">
        <f t="shared" si="20"/>
        <v>7.54</v>
      </c>
      <c r="G73">
        <f t="shared" si="6"/>
        <v>7</v>
      </c>
      <c r="H73">
        <f t="shared" si="7"/>
        <v>7</v>
      </c>
      <c r="I73">
        <f t="shared" si="8"/>
        <v>1</v>
      </c>
      <c r="J73" t="str">
        <f t="shared" si="5"/>
        <v>HYD_STO_TRUE.POM C</v>
      </c>
      <c r="L73" t="s">
        <v>131</v>
      </c>
      <c r="M73" t="str">
        <f t="shared" si="21"/>
        <v>SOL_PHO.POM E</v>
      </c>
      <c r="N73" t="s">
        <v>105</v>
      </c>
      <c r="O73" t="s">
        <v>143</v>
      </c>
      <c r="P73" s="27">
        <f t="shared" si="22"/>
        <v>12.42769657145411</v>
      </c>
      <c r="Q73" s="27">
        <f t="shared" si="22"/>
        <v>24.85539314290822</v>
      </c>
      <c r="R73" s="27">
        <f t="shared" si="22"/>
        <v>99.421572571632879</v>
      </c>
      <c r="S73" s="27">
        <f t="shared" si="22"/>
        <v>347.97550400071515</v>
      </c>
      <c r="T73" s="27">
        <f t="shared" si="22"/>
        <v>646.24022171561376</v>
      </c>
      <c r="U73" s="27">
        <f t="shared" si="22"/>
        <v>1217.9142640025029</v>
      </c>
      <c r="V73" s="27">
        <f t="shared" si="22"/>
        <v>2373.690045147735</v>
      </c>
      <c r="W73" s="27">
        <f t="shared" si="22"/>
        <v>5517.8972777256258</v>
      </c>
      <c r="X73" s="27">
        <f t="shared" si="22"/>
        <v>8376.2674891600691</v>
      </c>
      <c r="Y73" s="27">
        <f t="shared" si="22"/>
        <v>11470.763935452145</v>
      </c>
      <c r="Z73" s="27">
        <f t="shared" si="22"/>
        <v>13819.598587456969</v>
      </c>
    </row>
    <row r="74" spans="2:26">
      <c r="B74">
        <f t="shared" si="17"/>
        <v>2050</v>
      </c>
      <c r="C74" t="str">
        <f t="shared" si="18"/>
        <v>HYD_STO_TRUE</v>
      </c>
      <c r="D74" t="str">
        <f t="shared" si="19"/>
        <v>POM C</v>
      </c>
      <c r="E74" s="27" t="e">
        <f t="shared" si="3"/>
        <v>#N/A</v>
      </c>
      <c r="F74">
        <f t="shared" si="20"/>
        <v>7.54</v>
      </c>
      <c r="G74">
        <f t="shared" si="6"/>
        <v>8</v>
      </c>
      <c r="H74">
        <f t="shared" si="7"/>
        <v>7</v>
      </c>
      <c r="I74">
        <f t="shared" si="8"/>
        <v>1</v>
      </c>
      <c r="J74" t="str">
        <f t="shared" si="5"/>
        <v>HYD_STO_TRUE.POM C</v>
      </c>
      <c r="L74" t="s">
        <v>141</v>
      </c>
      <c r="M74" t="str">
        <f t="shared" si="21"/>
        <v>WIN_ONS.POM C</v>
      </c>
      <c r="N74" t="s">
        <v>120</v>
      </c>
      <c r="O74" t="s">
        <v>142</v>
      </c>
      <c r="P74" s="27">
        <f t="shared" si="22"/>
        <v>0</v>
      </c>
      <c r="Q74" s="27">
        <f t="shared" si="22"/>
        <v>5.4792329364718766</v>
      </c>
      <c r="R74" s="27">
        <f t="shared" si="22"/>
        <v>21.916931745887506</v>
      </c>
      <c r="S74" s="27">
        <f t="shared" si="22"/>
        <v>49.313096428246894</v>
      </c>
      <c r="T74" s="27">
        <f t="shared" si="22"/>
        <v>76.709261110606292</v>
      </c>
      <c r="U74" s="27">
        <f t="shared" si="22"/>
        <v>136.98082341179693</v>
      </c>
      <c r="V74" s="27">
        <f t="shared" si="22"/>
        <v>312.31627737889698</v>
      </c>
      <c r="W74" s="27">
        <f t="shared" si="22"/>
        <v>421.90093610833458</v>
      </c>
      <c r="X74" s="27">
        <f t="shared" si="22"/>
        <v>558.88175952013148</v>
      </c>
      <c r="Y74" s="27">
        <f t="shared" si="22"/>
        <v>684.90411705898464</v>
      </c>
      <c r="Z74" s="27">
        <f t="shared" si="22"/>
        <v>772.57184404253462</v>
      </c>
    </row>
    <row r="75" spans="2:26">
      <c r="B75">
        <f t="shared" si="17"/>
        <v>2015</v>
      </c>
      <c r="C75" t="str">
        <f t="shared" si="18"/>
        <v>HYD_TOT</v>
      </c>
      <c r="D75" t="str">
        <f t="shared" si="19"/>
        <v>POM C</v>
      </c>
      <c r="E75" s="27" t="e">
        <f t="shared" si="3"/>
        <v>#N/A</v>
      </c>
      <c r="F75">
        <f t="shared" si="20"/>
        <v>36.950000000000003</v>
      </c>
      <c r="G75">
        <f t="shared" si="6"/>
        <v>1</v>
      </c>
      <c r="H75">
        <f t="shared" si="7"/>
        <v>8</v>
      </c>
      <c r="I75">
        <f t="shared" si="8"/>
        <v>1</v>
      </c>
      <c r="J75" t="str">
        <f t="shared" si="5"/>
        <v>HYD_TOT.POM C</v>
      </c>
      <c r="L75" t="s">
        <v>141</v>
      </c>
      <c r="M75" t="str">
        <f t="shared" si="21"/>
        <v>WIN_ONS.POM C&amp;E</v>
      </c>
      <c r="N75" t="s">
        <v>120</v>
      </c>
      <c r="O75" t="s">
        <v>296</v>
      </c>
      <c r="P75" s="27">
        <f t="shared" si="22"/>
        <v>0</v>
      </c>
      <c r="Q75" s="27">
        <f t="shared" si="22"/>
        <v>5.4792329364718766</v>
      </c>
      <c r="R75" s="27">
        <f t="shared" si="22"/>
        <v>21.916931745887506</v>
      </c>
      <c r="S75" s="27">
        <f t="shared" si="22"/>
        <v>191.7731527765157</v>
      </c>
      <c r="T75" s="27">
        <f t="shared" si="22"/>
        <v>361.62937380714391</v>
      </c>
      <c r="U75" s="27">
        <f t="shared" si="22"/>
        <v>542.4440607107158</v>
      </c>
      <c r="V75" s="27">
        <f t="shared" si="22"/>
        <v>799.96800872489405</v>
      </c>
      <c r="W75" s="27">
        <f t="shared" si="22"/>
        <v>964.34499681905038</v>
      </c>
      <c r="X75" s="27">
        <f t="shared" si="22"/>
        <v>1419.1213305462161</v>
      </c>
      <c r="Y75" s="27">
        <f t="shared" si="22"/>
        <v>1879.376897209854</v>
      </c>
      <c r="Z75" s="27">
        <f t="shared" si="22"/>
        <v>2334.15323093702</v>
      </c>
    </row>
    <row r="76" spans="2:26">
      <c r="B76">
        <f t="shared" si="17"/>
        <v>2020</v>
      </c>
      <c r="C76" t="str">
        <f t="shared" si="18"/>
        <v>HYD_TOT</v>
      </c>
      <c r="D76" t="str">
        <f t="shared" si="19"/>
        <v>POM C</v>
      </c>
      <c r="E76" s="27" t="e">
        <f t="shared" si="3"/>
        <v>#N/A</v>
      </c>
      <c r="F76">
        <f t="shared" si="20"/>
        <v>36.869999999999997</v>
      </c>
      <c r="G76">
        <f t="shared" si="6"/>
        <v>2</v>
      </c>
      <c r="H76">
        <f t="shared" si="7"/>
        <v>8</v>
      </c>
      <c r="I76">
        <f t="shared" si="8"/>
        <v>1</v>
      </c>
      <c r="J76" t="str">
        <f t="shared" si="5"/>
        <v>HYD_TOT.POM C</v>
      </c>
      <c r="L76" t="s">
        <v>141</v>
      </c>
      <c r="M76" t="str">
        <f t="shared" si="21"/>
        <v>WIN_ONS.POM E</v>
      </c>
      <c r="N76" t="s">
        <v>120</v>
      </c>
      <c r="O76" t="s">
        <v>143</v>
      </c>
      <c r="P76" s="27">
        <f t="shared" si="22"/>
        <v>0</v>
      </c>
      <c r="Q76" s="27">
        <f t="shared" si="22"/>
        <v>5.4792329364718766</v>
      </c>
      <c r="R76" s="27">
        <f t="shared" si="22"/>
        <v>21.916931745887506</v>
      </c>
      <c r="S76" s="27">
        <f t="shared" si="22"/>
        <v>191.7731527765157</v>
      </c>
      <c r="T76" s="27">
        <f t="shared" si="22"/>
        <v>361.62937380714391</v>
      </c>
      <c r="U76" s="27">
        <f t="shared" si="22"/>
        <v>542.4440607107158</v>
      </c>
      <c r="V76" s="27">
        <f t="shared" si="22"/>
        <v>799.96800872489405</v>
      </c>
      <c r="W76" s="27">
        <f t="shared" si="22"/>
        <v>964.34499681905038</v>
      </c>
      <c r="X76" s="27">
        <f t="shared" si="22"/>
        <v>1419.1213305462161</v>
      </c>
      <c r="Y76" s="27">
        <f t="shared" si="22"/>
        <v>1879.376897209854</v>
      </c>
      <c r="Z76" s="27">
        <f t="shared" si="22"/>
        <v>2334.15323093702</v>
      </c>
    </row>
    <row r="77" spans="2:26">
      <c r="B77">
        <f t="shared" si="17"/>
        <v>2025</v>
      </c>
      <c r="C77" t="str">
        <f t="shared" si="18"/>
        <v>HYD_TOT</v>
      </c>
      <c r="D77" t="str">
        <f t="shared" si="19"/>
        <v>POM C</v>
      </c>
      <c r="E77" s="27" t="e">
        <f t="shared" si="3"/>
        <v>#N/A</v>
      </c>
      <c r="F77">
        <f t="shared" si="20"/>
        <v>36.83</v>
      </c>
      <c r="G77">
        <f t="shared" si="6"/>
        <v>3</v>
      </c>
      <c r="H77">
        <f t="shared" si="7"/>
        <v>8</v>
      </c>
      <c r="I77">
        <f t="shared" si="8"/>
        <v>1</v>
      </c>
      <c r="J77" t="str">
        <f t="shared" si="5"/>
        <v>HYD_TOT.POM C</v>
      </c>
      <c r="L77" t="s">
        <v>24</v>
      </c>
      <c r="M77" t="str">
        <f t="shared" si="21"/>
        <v>WAS_ELC.POM C</v>
      </c>
      <c r="N77" t="s">
        <v>110</v>
      </c>
      <c r="O77" t="s">
        <v>142</v>
      </c>
      <c r="P77" s="27">
        <f t="shared" si="22"/>
        <v>253.40399929632227</v>
      </c>
      <c r="Q77" s="27">
        <f t="shared" si="22"/>
        <v>321.78285624929816</v>
      </c>
      <c r="R77" s="27">
        <f t="shared" si="22"/>
        <v>370.05028468669281</v>
      </c>
      <c r="S77" s="27">
        <f t="shared" si="22"/>
        <v>378.09485609292523</v>
      </c>
      <c r="T77" s="27">
        <f t="shared" si="22"/>
        <v>378.09485609292523</v>
      </c>
      <c r="U77" s="27">
        <f t="shared" si="22"/>
        <v>390.16171320227392</v>
      </c>
      <c r="V77" s="27">
        <f t="shared" si="22"/>
        <v>394.18399890539013</v>
      </c>
      <c r="W77" s="27">
        <f t="shared" si="22"/>
        <v>394.18399890539013</v>
      </c>
      <c r="X77" s="27">
        <f t="shared" si="22"/>
        <v>398.20628460850639</v>
      </c>
      <c r="Y77" s="27">
        <f t="shared" si="22"/>
        <v>398.20628460850639</v>
      </c>
      <c r="Z77" s="27">
        <f t="shared" si="22"/>
        <v>398.20628460850639</v>
      </c>
    </row>
    <row r="78" spans="2:26">
      <c r="B78">
        <f t="shared" si="17"/>
        <v>2030</v>
      </c>
      <c r="C78" t="str">
        <f t="shared" si="18"/>
        <v>HYD_TOT</v>
      </c>
      <c r="D78" t="str">
        <f t="shared" si="19"/>
        <v>POM C</v>
      </c>
      <c r="E78" s="27" t="e">
        <f t="shared" si="3"/>
        <v>#N/A</v>
      </c>
      <c r="F78">
        <f t="shared" si="20"/>
        <v>36.75</v>
      </c>
      <c r="G78">
        <f t="shared" si="6"/>
        <v>4</v>
      </c>
      <c r="H78">
        <f t="shared" si="7"/>
        <v>8</v>
      </c>
      <c r="I78">
        <f t="shared" si="8"/>
        <v>1</v>
      </c>
      <c r="J78" t="str">
        <f t="shared" si="5"/>
        <v>HYD_TOT.POM C</v>
      </c>
      <c r="L78" t="s">
        <v>24</v>
      </c>
      <c r="M78" t="str">
        <f t="shared" si="21"/>
        <v>WAS_ELC.POM C&amp;E</v>
      </c>
      <c r="N78" t="s">
        <v>110</v>
      </c>
      <c r="O78" t="s">
        <v>296</v>
      </c>
      <c r="P78" s="27">
        <f t="shared" si="22"/>
        <v>253.40399929632227</v>
      </c>
      <c r="Q78" s="27">
        <f t="shared" si="22"/>
        <v>321.78285624929816</v>
      </c>
      <c r="R78" s="27">
        <f t="shared" si="22"/>
        <v>370.05028468669281</v>
      </c>
      <c r="S78" s="27">
        <f t="shared" si="22"/>
        <v>398.20628460850639</v>
      </c>
      <c r="T78" s="27">
        <f t="shared" si="22"/>
        <v>442.45142734278494</v>
      </c>
      <c r="U78" s="27">
        <f t="shared" si="22"/>
        <v>494.74114148329585</v>
      </c>
      <c r="V78" s="27">
        <f t="shared" si="22"/>
        <v>530.94171281134186</v>
      </c>
      <c r="W78" s="27">
        <f t="shared" si="22"/>
        <v>530.94171281134186</v>
      </c>
      <c r="X78" s="27">
        <f t="shared" si="22"/>
        <v>534.96399851445813</v>
      </c>
      <c r="Y78" s="27">
        <f t="shared" si="22"/>
        <v>534.96399851445813</v>
      </c>
      <c r="Z78" s="27">
        <f t="shared" si="22"/>
        <v>534.96399851445813</v>
      </c>
    </row>
    <row r="79" spans="2:26">
      <c r="B79">
        <f t="shared" si="17"/>
        <v>2035</v>
      </c>
      <c r="C79" t="str">
        <f t="shared" si="18"/>
        <v>HYD_TOT</v>
      </c>
      <c r="D79" t="str">
        <f t="shared" si="19"/>
        <v>POM C</v>
      </c>
      <c r="E79" s="27" t="e">
        <f t="shared" si="3"/>
        <v>#N/A</v>
      </c>
      <c r="F79">
        <f t="shared" si="20"/>
        <v>36.54</v>
      </c>
      <c r="G79">
        <f t="shared" si="6"/>
        <v>5</v>
      </c>
      <c r="H79">
        <f t="shared" si="7"/>
        <v>8</v>
      </c>
      <c r="I79">
        <f t="shared" si="8"/>
        <v>1</v>
      </c>
      <c r="J79" t="str">
        <f t="shared" si="5"/>
        <v>HYD_TOT.POM C</v>
      </c>
      <c r="L79" t="s">
        <v>24</v>
      </c>
      <c r="M79" t="str">
        <f t="shared" si="21"/>
        <v>WAS_ELC.POM E</v>
      </c>
      <c r="N79" t="s">
        <v>110</v>
      </c>
      <c r="O79" t="s">
        <v>143</v>
      </c>
      <c r="P79" s="27">
        <f t="shared" si="22"/>
        <v>253.40399929632227</v>
      </c>
      <c r="Q79" s="27">
        <f t="shared" si="22"/>
        <v>321.78285624929816</v>
      </c>
      <c r="R79" s="27">
        <f t="shared" si="22"/>
        <v>370.05028468669281</v>
      </c>
      <c r="S79" s="27">
        <f t="shared" si="22"/>
        <v>398.20628460850639</v>
      </c>
      <c r="T79" s="27">
        <f t="shared" si="22"/>
        <v>442.45142734278494</v>
      </c>
      <c r="U79" s="27">
        <f t="shared" si="22"/>
        <v>494.74114148329585</v>
      </c>
      <c r="V79" s="27">
        <f t="shared" si="22"/>
        <v>530.94171281134186</v>
      </c>
      <c r="W79" s="27">
        <f t="shared" si="22"/>
        <v>530.94171281134186</v>
      </c>
      <c r="X79" s="27">
        <f t="shared" si="22"/>
        <v>534.96399851445813</v>
      </c>
      <c r="Y79" s="27">
        <f t="shared" si="22"/>
        <v>534.96399851445813</v>
      </c>
      <c r="Z79" s="27">
        <f t="shared" si="22"/>
        <v>534.96399851445813</v>
      </c>
    </row>
    <row r="80" spans="2:26">
      <c r="B80">
        <f t="shared" si="17"/>
        <v>2040</v>
      </c>
      <c r="C80" t="str">
        <f t="shared" si="18"/>
        <v>HYD_TOT</v>
      </c>
      <c r="D80" t="str">
        <f t="shared" si="19"/>
        <v>POM C</v>
      </c>
      <c r="E80" s="27" t="e">
        <f t="shared" si="3"/>
        <v>#N/A</v>
      </c>
      <c r="F80">
        <f t="shared" si="20"/>
        <v>36.409999999999997</v>
      </c>
      <c r="G80">
        <f t="shared" si="6"/>
        <v>6</v>
      </c>
      <c r="H80">
        <f t="shared" si="7"/>
        <v>8</v>
      </c>
      <c r="I80">
        <f t="shared" si="8"/>
        <v>1</v>
      </c>
      <c r="J80" t="str">
        <f t="shared" si="5"/>
        <v>HYD_TOT.POM C</v>
      </c>
      <c r="L80" t="s">
        <v>11</v>
      </c>
      <c r="M80" t="str">
        <f t="shared" si="21"/>
        <v>BAL_ELC.POM C</v>
      </c>
      <c r="N80" t="s">
        <v>55</v>
      </c>
      <c r="O80" t="s">
        <v>142</v>
      </c>
      <c r="P80" s="27">
        <f t="shared" si="22"/>
        <v>32.442684123233875</v>
      </c>
      <c r="Q80" s="27">
        <f t="shared" si="22"/>
        <v>38.931220947880647</v>
      </c>
      <c r="R80" s="27">
        <f t="shared" si="22"/>
        <v>73.536750679330126</v>
      </c>
      <c r="S80" s="27">
        <f t="shared" si="22"/>
        <v>123.28219966828871</v>
      </c>
      <c r="T80" s="27">
        <f t="shared" si="22"/>
        <v>181.6790310901097</v>
      </c>
      <c r="U80" s="27">
        <f t="shared" si="22"/>
        <v>253.05293616122421</v>
      </c>
      <c r="V80" s="27">
        <f t="shared" si="22"/>
        <v>311.44976758304517</v>
      </c>
      <c r="W80" s="27">
        <f t="shared" si="22"/>
        <v>313.61261319126083</v>
      </c>
      <c r="X80" s="27">
        <f t="shared" si="22"/>
        <v>320.10115001590759</v>
      </c>
      <c r="Y80" s="27">
        <f t="shared" si="22"/>
        <v>326.58968684055435</v>
      </c>
      <c r="Z80" s="27">
        <f t="shared" si="22"/>
        <v>326.58968684055435</v>
      </c>
    </row>
    <row r="81" spans="2:26">
      <c r="B81">
        <f t="shared" si="17"/>
        <v>2045</v>
      </c>
      <c r="C81" t="str">
        <f t="shared" si="18"/>
        <v>HYD_TOT</v>
      </c>
      <c r="D81" t="str">
        <f t="shared" si="19"/>
        <v>POM C</v>
      </c>
      <c r="E81" s="27" t="e">
        <f t="shared" si="3"/>
        <v>#N/A</v>
      </c>
      <c r="F81">
        <f t="shared" si="20"/>
        <v>35.85</v>
      </c>
      <c r="G81">
        <f t="shared" si="6"/>
        <v>7</v>
      </c>
      <c r="H81">
        <f t="shared" si="7"/>
        <v>8</v>
      </c>
      <c r="I81">
        <f t="shared" si="8"/>
        <v>1</v>
      </c>
      <c r="J81" t="str">
        <f t="shared" si="5"/>
        <v>HYD_TOT.POM C</v>
      </c>
      <c r="L81" t="s">
        <v>11</v>
      </c>
      <c r="M81" t="str">
        <f t="shared" si="21"/>
        <v>BAL_ELC.POM C&amp;E</v>
      </c>
      <c r="N81" t="s">
        <v>55</v>
      </c>
      <c r="O81" t="s">
        <v>296</v>
      </c>
      <c r="P81" s="27">
        <f t="shared" ref="P81:Z90" si="23">SUMIFS(P$127:P$177,$O$127:$O$177,$O81,$N$127:$N$177,$N81)/INDEX($Q$4:$Q$8,MATCH($L81,$M$4:$M$8,0))*1000000</f>
        <v>32.442684123233875</v>
      </c>
      <c r="Q81" s="27">
        <f t="shared" si="23"/>
        <v>38.931220947880647</v>
      </c>
      <c r="R81" s="27">
        <f t="shared" si="23"/>
        <v>73.536750679330126</v>
      </c>
      <c r="S81" s="27">
        <f t="shared" si="23"/>
        <v>140.58496453401347</v>
      </c>
      <c r="T81" s="27">
        <f t="shared" si="23"/>
        <v>263.86716420230221</v>
      </c>
      <c r="U81" s="27">
        <f t="shared" si="23"/>
        <v>447.70904090062754</v>
      </c>
      <c r="V81" s="27">
        <f t="shared" si="23"/>
        <v>599.10823347571886</v>
      </c>
      <c r="W81" s="27">
        <f t="shared" si="23"/>
        <v>644.52799124824639</v>
      </c>
      <c r="X81" s="27">
        <f t="shared" si="23"/>
        <v>663.99360172218667</v>
      </c>
      <c r="Y81" s="27">
        <f t="shared" si="23"/>
        <v>672.64498415504909</v>
      </c>
      <c r="Z81" s="27">
        <f t="shared" si="23"/>
        <v>674.80782976326464</v>
      </c>
    </row>
    <row r="82" spans="2:26">
      <c r="B82">
        <f t="shared" si="17"/>
        <v>2050</v>
      </c>
      <c r="C82" t="str">
        <f t="shared" si="18"/>
        <v>HYD_TOT</v>
      </c>
      <c r="D82" t="str">
        <f t="shared" si="19"/>
        <v>POM C</v>
      </c>
      <c r="E82" s="27" t="e">
        <f t="shared" si="3"/>
        <v>#N/A</v>
      </c>
      <c r="F82">
        <f t="shared" si="20"/>
        <v>35.57</v>
      </c>
      <c r="G82">
        <f t="shared" si="6"/>
        <v>8</v>
      </c>
      <c r="H82">
        <f t="shared" si="7"/>
        <v>8</v>
      </c>
      <c r="I82">
        <f t="shared" si="8"/>
        <v>1</v>
      </c>
      <c r="J82" t="str">
        <f t="shared" si="5"/>
        <v>HYD_TOT.POM C</v>
      </c>
      <c r="L82" t="s">
        <v>11</v>
      </c>
      <c r="M82" t="str">
        <f t="shared" si="21"/>
        <v>BAL_ELC.POM E</v>
      </c>
      <c r="N82" t="s">
        <v>55</v>
      </c>
      <c r="O82" t="s">
        <v>143</v>
      </c>
      <c r="P82" s="27">
        <f t="shared" si="23"/>
        <v>32.442684123233875</v>
      </c>
      <c r="Q82" s="27">
        <f t="shared" si="23"/>
        <v>38.931220947880647</v>
      </c>
      <c r="R82" s="27">
        <f t="shared" si="23"/>
        <v>73.536750679330126</v>
      </c>
      <c r="S82" s="27">
        <f t="shared" si="23"/>
        <v>140.58496453401347</v>
      </c>
      <c r="T82" s="27">
        <f t="shared" si="23"/>
        <v>263.86716420230221</v>
      </c>
      <c r="U82" s="27">
        <f t="shared" si="23"/>
        <v>447.70904090062754</v>
      </c>
      <c r="V82" s="27">
        <f t="shared" si="23"/>
        <v>599.10823347571886</v>
      </c>
      <c r="W82" s="27">
        <f t="shared" si="23"/>
        <v>644.52799124824639</v>
      </c>
      <c r="X82" s="27">
        <f t="shared" si="23"/>
        <v>663.99360172218667</v>
      </c>
      <c r="Y82" s="27">
        <f t="shared" si="23"/>
        <v>672.64498415504909</v>
      </c>
      <c r="Z82" s="27">
        <f t="shared" si="23"/>
        <v>674.80782976326464</v>
      </c>
    </row>
    <row r="83" spans="2:26">
      <c r="B83">
        <f t="shared" ref="B83:B114" si="24">INDEX(G$4:G$17,G83)</f>
        <v>2015</v>
      </c>
      <c r="C83" t="str">
        <f t="shared" ref="C83:C114" si="25">INDEX(H$4:H$17,H83)</f>
        <v>GAS_OIL</v>
      </c>
      <c r="D83" t="str">
        <f t="shared" ref="D83:D114" si="26">INDEX(I$4:I$17,I83)</f>
        <v>POM C</v>
      </c>
      <c r="E83" s="27" t="e">
        <f t="shared" ref="E83:E114" si="27">INDEX($S$20:$Z$64,MATCH(J83,$M$20:$M$64,0),MATCH(B83,$S$19:$Z$19,0))</f>
        <v>#N/A</v>
      </c>
      <c r="F83">
        <f t="shared" ref="F83:F114" si="28">INDEX(P$127:Z$204,MATCH(J83,AB$127:AB$204,0),MATCH(B83,P$126:Z$126,0))</f>
        <v>1.76</v>
      </c>
      <c r="G83">
        <f t="shared" si="6"/>
        <v>1</v>
      </c>
      <c r="H83">
        <f t="shared" si="7"/>
        <v>9</v>
      </c>
      <c r="I83">
        <f t="shared" si="8"/>
        <v>1</v>
      </c>
      <c r="J83" t="str">
        <f t="shared" ref="J83:J138" si="29">C83&amp;"."&amp;D83</f>
        <v>GAS_OIL.POM C</v>
      </c>
      <c r="L83" t="s">
        <v>23</v>
      </c>
      <c r="M83" t="str">
        <f t="shared" si="21"/>
        <v>GEO_ELC.POM C</v>
      </c>
      <c r="N83" t="s">
        <v>65</v>
      </c>
      <c r="O83" t="s">
        <v>142</v>
      </c>
      <c r="P83" s="27">
        <f t="shared" si="23"/>
        <v>0</v>
      </c>
      <c r="Q83" s="27">
        <f t="shared" si="23"/>
        <v>0</v>
      </c>
      <c r="R83" s="27">
        <f t="shared" si="23"/>
        <v>0</v>
      </c>
      <c r="S83" s="27">
        <f t="shared" si="23"/>
        <v>3.8051750380517504</v>
      </c>
      <c r="T83" s="27">
        <f t="shared" si="23"/>
        <v>12.683916793505835</v>
      </c>
      <c r="U83" s="27">
        <f t="shared" si="23"/>
        <v>25.36783358701167</v>
      </c>
      <c r="V83" s="27">
        <f t="shared" si="23"/>
        <v>41.856925418569254</v>
      </c>
      <c r="W83" s="27">
        <f t="shared" si="23"/>
        <v>49.467275494672755</v>
      </c>
      <c r="X83" s="27">
        <f t="shared" si="23"/>
        <v>49.467275494672755</v>
      </c>
      <c r="Y83" s="27">
        <f t="shared" si="23"/>
        <v>53.272450532724505</v>
      </c>
      <c r="Z83" s="27">
        <f t="shared" si="23"/>
        <v>53.272450532724505</v>
      </c>
    </row>
    <row r="84" spans="2:26">
      <c r="B84">
        <f t="shared" si="24"/>
        <v>2020</v>
      </c>
      <c r="C84" t="str">
        <f t="shared" si="25"/>
        <v>GAS_OIL</v>
      </c>
      <c r="D84" t="str">
        <f t="shared" si="26"/>
        <v>POM C</v>
      </c>
      <c r="E84" s="27" t="e">
        <f t="shared" si="27"/>
        <v>#N/A</v>
      </c>
      <c r="F84">
        <f t="shared" si="28"/>
        <v>1.48</v>
      </c>
      <c r="G84">
        <f t="shared" ref="G84:G147" si="30">IF(G83=$G$3,1,G83+1)</f>
        <v>2</v>
      </c>
      <c r="H84">
        <f t="shared" ref="H84:H138" si="31">IF(G84=1,IF(H83=$H$3,1,H83+1),H83)</f>
        <v>9</v>
      </c>
      <c r="I84">
        <f t="shared" ref="I84:I138" si="32">IF(AND(H84=1,H83&gt;1),IF(I83=$I$3,1,I83+1),I83)</f>
        <v>1</v>
      </c>
      <c r="J84" t="str">
        <f t="shared" si="29"/>
        <v>GAS_OIL.POM C</v>
      </c>
      <c r="L84" t="s">
        <v>23</v>
      </c>
      <c r="M84" t="str">
        <f t="shared" si="21"/>
        <v>GEO_ELC.POM C&amp;E</v>
      </c>
      <c r="N84" t="s">
        <v>65</v>
      </c>
      <c r="O84" t="s">
        <v>296</v>
      </c>
      <c r="P84" s="27">
        <f t="shared" si="23"/>
        <v>0</v>
      </c>
      <c r="Q84" s="27">
        <f t="shared" si="23"/>
        <v>0</v>
      </c>
      <c r="R84" s="27">
        <f t="shared" si="23"/>
        <v>0</v>
      </c>
      <c r="S84" s="27">
        <f t="shared" si="23"/>
        <v>12.683916793505835</v>
      </c>
      <c r="T84" s="27">
        <f t="shared" si="23"/>
        <v>25.36783358701167</v>
      </c>
      <c r="U84" s="27">
        <f t="shared" si="23"/>
        <v>49.467275494672755</v>
      </c>
      <c r="V84" s="27">
        <f t="shared" si="23"/>
        <v>98.93455098934551</v>
      </c>
      <c r="W84" s="27">
        <f t="shared" si="23"/>
        <v>181.38001014713345</v>
      </c>
      <c r="X84" s="27">
        <f t="shared" si="23"/>
        <v>305.68239472349063</v>
      </c>
      <c r="Y84" s="27">
        <f t="shared" si="23"/>
        <v>441.40030441400307</v>
      </c>
      <c r="Z84" s="27">
        <f t="shared" si="23"/>
        <v>556.82394723490609</v>
      </c>
    </row>
    <row r="85" spans="2:26">
      <c r="B85">
        <f t="shared" si="24"/>
        <v>2025</v>
      </c>
      <c r="C85" t="str">
        <f t="shared" si="25"/>
        <v>GAS_OIL</v>
      </c>
      <c r="D85" t="str">
        <f t="shared" si="26"/>
        <v>POM C</v>
      </c>
      <c r="E85" s="27" t="e">
        <f t="shared" si="27"/>
        <v>#N/A</v>
      </c>
      <c r="F85">
        <f t="shared" si="28"/>
        <v>0.92</v>
      </c>
      <c r="G85">
        <f t="shared" si="30"/>
        <v>3</v>
      </c>
      <c r="H85">
        <f t="shared" si="31"/>
        <v>9</v>
      </c>
      <c r="I85">
        <f t="shared" si="32"/>
        <v>1</v>
      </c>
      <c r="J85" t="str">
        <f t="shared" si="29"/>
        <v>GAS_OIL.POM C</v>
      </c>
      <c r="L85" t="s">
        <v>23</v>
      </c>
      <c r="M85" t="str">
        <f t="shared" si="21"/>
        <v>GEO_ELC.POM E</v>
      </c>
      <c r="N85" t="s">
        <v>65</v>
      </c>
      <c r="O85" t="s">
        <v>143</v>
      </c>
      <c r="P85" s="27">
        <f t="shared" si="23"/>
        <v>0</v>
      </c>
      <c r="Q85" s="27">
        <f t="shared" si="23"/>
        <v>0</v>
      </c>
      <c r="R85" s="27">
        <f t="shared" si="23"/>
        <v>0</v>
      </c>
      <c r="S85" s="27">
        <f t="shared" si="23"/>
        <v>12.683916793505835</v>
      </c>
      <c r="T85" s="27">
        <f t="shared" si="23"/>
        <v>25.36783358701167</v>
      </c>
      <c r="U85" s="27">
        <f t="shared" si="23"/>
        <v>49.467275494672755</v>
      </c>
      <c r="V85" s="27">
        <f t="shared" si="23"/>
        <v>98.93455098934551</v>
      </c>
      <c r="W85" s="27">
        <f t="shared" si="23"/>
        <v>181.38001014713345</v>
      </c>
      <c r="X85" s="27">
        <f t="shared" si="23"/>
        <v>305.68239472349063</v>
      </c>
      <c r="Y85" s="27">
        <f t="shared" si="23"/>
        <v>441.40030441400307</v>
      </c>
      <c r="Z85" s="27">
        <f t="shared" si="23"/>
        <v>556.82394723490609</v>
      </c>
    </row>
    <row r="86" spans="2:26">
      <c r="B86">
        <f t="shared" si="24"/>
        <v>2030</v>
      </c>
      <c r="C86" t="str">
        <f t="shared" si="25"/>
        <v>GAS_OIL</v>
      </c>
      <c r="D86" t="str">
        <f t="shared" si="26"/>
        <v>POM C</v>
      </c>
      <c r="E86" s="27" t="e">
        <f t="shared" si="27"/>
        <v>#N/A</v>
      </c>
      <c r="F86">
        <f t="shared" si="28"/>
        <v>0.57999999999999996</v>
      </c>
      <c r="G86">
        <f t="shared" si="30"/>
        <v>4</v>
      </c>
      <c r="H86">
        <f t="shared" si="31"/>
        <v>9</v>
      </c>
      <c r="I86">
        <f t="shared" si="32"/>
        <v>1</v>
      </c>
      <c r="J86" t="str">
        <f t="shared" si="29"/>
        <v>GAS_OIL.POM C</v>
      </c>
      <c r="L86" t="s">
        <v>131</v>
      </c>
      <c r="M86" t="str">
        <f t="shared" si="21"/>
        <v>SOL_PHO.WWB C</v>
      </c>
      <c r="N86" t="s">
        <v>105</v>
      </c>
      <c r="O86" t="s">
        <v>310</v>
      </c>
      <c r="P86" s="27">
        <f t="shared" si="23"/>
        <v>12.42769657145411</v>
      </c>
      <c r="Q86" s="27">
        <f t="shared" si="23"/>
        <v>24.85539314290822</v>
      </c>
      <c r="R86" s="27">
        <f t="shared" si="23"/>
        <v>99.421572571632879</v>
      </c>
      <c r="S86" s="27">
        <f t="shared" si="23"/>
        <v>260.98162800053632</v>
      </c>
      <c r="T86" s="27">
        <f t="shared" si="23"/>
        <v>422.54168342943979</v>
      </c>
      <c r="U86" s="27">
        <f t="shared" si="23"/>
        <v>683.52331142997616</v>
      </c>
      <c r="V86" s="27">
        <f t="shared" si="23"/>
        <v>1193.0588708595947</v>
      </c>
      <c r="W86" s="27">
        <f t="shared" si="23"/>
        <v>3131.7795360064356</v>
      </c>
      <c r="X86" s="27">
        <f t="shared" si="23"/>
        <v>4324.8384068660307</v>
      </c>
      <c r="Y86" s="27">
        <f t="shared" si="23"/>
        <v>5878.3004782977951</v>
      </c>
      <c r="Z86" s="27">
        <f t="shared" si="23"/>
        <v>7357.1963703008332</v>
      </c>
    </row>
    <row r="87" spans="2:26">
      <c r="B87">
        <f t="shared" si="24"/>
        <v>2035</v>
      </c>
      <c r="C87" t="str">
        <f t="shared" si="25"/>
        <v>GAS_OIL</v>
      </c>
      <c r="D87" t="str">
        <f t="shared" si="26"/>
        <v>POM C</v>
      </c>
      <c r="E87" s="27" t="e">
        <f t="shared" si="27"/>
        <v>#N/A</v>
      </c>
      <c r="F87">
        <f t="shared" si="28"/>
        <v>0.32</v>
      </c>
      <c r="G87">
        <f t="shared" si="30"/>
        <v>5</v>
      </c>
      <c r="H87">
        <f t="shared" si="31"/>
        <v>9</v>
      </c>
      <c r="I87">
        <f t="shared" si="32"/>
        <v>1</v>
      </c>
      <c r="J87" t="str">
        <f t="shared" si="29"/>
        <v>GAS_OIL.POM C</v>
      </c>
      <c r="L87" t="s">
        <v>131</v>
      </c>
      <c r="M87" t="str">
        <f t="shared" si="21"/>
        <v>SOL_PHO.WWB C&amp;E</v>
      </c>
      <c r="N87" t="s">
        <v>105</v>
      </c>
      <c r="O87" t="s">
        <v>311</v>
      </c>
      <c r="P87" s="27">
        <f t="shared" si="23"/>
        <v>12.42769657145411</v>
      </c>
      <c r="Q87" s="27">
        <f t="shared" si="23"/>
        <v>24.85539314290822</v>
      </c>
      <c r="R87" s="27">
        <f t="shared" si="23"/>
        <v>99.421572571632879</v>
      </c>
      <c r="S87" s="27">
        <f t="shared" si="23"/>
        <v>347.97550400071515</v>
      </c>
      <c r="T87" s="27">
        <f t="shared" si="23"/>
        <v>646.24022171561376</v>
      </c>
      <c r="U87" s="27">
        <f t="shared" si="23"/>
        <v>1217.9142640025029</v>
      </c>
      <c r="V87" s="27">
        <f t="shared" si="23"/>
        <v>2373.690045147735</v>
      </c>
      <c r="W87" s="27">
        <f t="shared" si="23"/>
        <v>5517.8972777256258</v>
      </c>
      <c r="X87" s="27">
        <f t="shared" si="23"/>
        <v>8376.2674891600691</v>
      </c>
      <c r="Y87" s="27">
        <f t="shared" si="23"/>
        <v>11470.763935452145</v>
      </c>
      <c r="Z87" s="27">
        <f t="shared" si="23"/>
        <v>13819.598587456969</v>
      </c>
    </row>
    <row r="88" spans="2:26">
      <c r="B88">
        <f t="shared" si="24"/>
        <v>2040</v>
      </c>
      <c r="C88" t="str">
        <f t="shared" si="25"/>
        <v>GAS_OIL</v>
      </c>
      <c r="D88" t="str">
        <f t="shared" si="26"/>
        <v>POM C</v>
      </c>
      <c r="E88" s="27" t="e">
        <f t="shared" si="27"/>
        <v>#N/A</v>
      </c>
      <c r="F88">
        <f t="shared" si="28"/>
        <v>0</v>
      </c>
      <c r="G88">
        <f t="shared" si="30"/>
        <v>6</v>
      </c>
      <c r="H88">
        <f t="shared" si="31"/>
        <v>9</v>
      </c>
      <c r="I88">
        <f t="shared" si="32"/>
        <v>1</v>
      </c>
      <c r="J88" t="str">
        <f t="shared" si="29"/>
        <v>GAS_OIL.POM C</v>
      </c>
      <c r="L88" t="s">
        <v>131</v>
      </c>
      <c r="M88" t="str">
        <f t="shared" si="21"/>
        <v>SOL_PHO.WWB E</v>
      </c>
      <c r="N88" t="s">
        <v>105</v>
      </c>
      <c r="O88" t="s">
        <v>361</v>
      </c>
      <c r="P88" s="27">
        <f t="shared" si="23"/>
        <v>0</v>
      </c>
      <c r="Q88" s="27">
        <f t="shared" si="23"/>
        <v>0</v>
      </c>
      <c r="R88" s="27">
        <f t="shared" si="23"/>
        <v>0</v>
      </c>
      <c r="S88" s="27">
        <f t="shared" si="23"/>
        <v>0</v>
      </c>
      <c r="T88" s="27">
        <f t="shared" si="23"/>
        <v>0</v>
      </c>
      <c r="U88" s="27">
        <f t="shared" si="23"/>
        <v>0</v>
      </c>
      <c r="V88" s="27">
        <f t="shared" si="23"/>
        <v>0</v>
      </c>
      <c r="W88" s="27">
        <f t="shared" si="23"/>
        <v>0</v>
      </c>
      <c r="X88" s="27">
        <f t="shared" si="23"/>
        <v>0</v>
      </c>
      <c r="Y88" s="27">
        <f t="shared" si="23"/>
        <v>0</v>
      </c>
      <c r="Z88" s="27">
        <f t="shared" si="23"/>
        <v>0</v>
      </c>
    </row>
    <row r="89" spans="2:26">
      <c r="B89">
        <f t="shared" si="24"/>
        <v>2045</v>
      </c>
      <c r="C89" t="str">
        <f t="shared" si="25"/>
        <v>GAS_OIL</v>
      </c>
      <c r="D89" t="str">
        <f t="shared" si="26"/>
        <v>POM C</v>
      </c>
      <c r="E89" s="27" t="e">
        <f t="shared" si="27"/>
        <v>#N/A</v>
      </c>
      <c r="F89">
        <f t="shared" si="28"/>
        <v>0</v>
      </c>
      <c r="G89">
        <f t="shared" si="30"/>
        <v>7</v>
      </c>
      <c r="H89">
        <f t="shared" si="31"/>
        <v>9</v>
      </c>
      <c r="I89">
        <f t="shared" si="32"/>
        <v>1</v>
      </c>
      <c r="J89" t="str">
        <f t="shared" si="29"/>
        <v>GAS_OIL.POM C</v>
      </c>
      <c r="L89" t="s">
        <v>141</v>
      </c>
      <c r="M89" t="str">
        <f t="shared" si="21"/>
        <v>WIN_ONS.WWB C</v>
      </c>
      <c r="N89" t="s">
        <v>120</v>
      </c>
      <c r="O89" t="s">
        <v>310</v>
      </c>
      <c r="P89" s="27">
        <f t="shared" si="23"/>
        <v>0</v>
      </c>
      <c r="Q89" s="27">
        <f t="shared" si="23"/>
        <v>5.4792329364718766</v>
      </c>
      <c r="R89" s="27">
        <f t="shared" si="23"/>
        <v>21.916931745887506</v>
      </c>
      <c r="S89" s="27">
        <f t="shared" si="23"/>
        <v>49.313096428246894</v>
      </c>
      <c r="T89" s="27">
        <f t="shared" si="23"/>
        <v>76.709261110606292</v>
      </c>
      <c r="U89" s="27">
        <f t="shared" si="23"/>
        <v>136.98082341179693</v>
      </c>
      <c r="V89" s="27">
        <f t="shared" si="23"/>
        <v>312.31627737889698</v>
      </c>
      <c r="W89" s="27">
        <f t="shared" si="23"/>
        <v>421.90093610833458</v>
      </c>
      <c r="X89" s="27">
        <f t="shared" si="23"/>
        <v>558.88175952013148</v>
      </c>
      <c r="Y89" s="27">
        <f t="shared" si="23"/>
        <v>684.90411705898464</v>
      </c>
      <c r="Z89" s="27">
        <f t="shared" si="23"/>
        <v>772.57184404253462</v>
      </c>
    </row>
    <row r="90" spans="2:26">
      <c r="B90">
        <f t="shared" si="24"/>
        <v>2050</v>
      </c>
      <c r="C90" t="str">
        <f t="shared" si="25"/>
        <v>GAS_OIL</v>
      </c>
      <c r="D90" t="str">
        <f t="shared" si="26"/>
        <v>POM C</v>
      </c>
      <c r="E90" s="27" t="e">
        <f t="shared" si="27"/>
        <v>#N/A</v>
      </c>
      <c r="F90">
        <f t="shared" si="28"/>
        <v>0</v>
      </c>
      <c r="G90">
        <f t="shared" si="30"/>
        <v>8</v>
      </c>
      <c r="H90">
        <f t="shared" si="31"/>
        <v>9</v>
      </c>
      <c r="I90">
        <f t="shared" si="32"/>
        <v>1</v>
      </c>
      <c r="J90" t="str">
        <f t="shared" si="29"/>
        <v>GAS_OIL.POM C</v>
      </c>
      <c r="L90" t="s">
        <v>141</v>
      </c>
      <c r="M90" t="str">
        <f t="shared" si="21"/>
        <v>WIN_ONS.WWB C&amp;E</v>
      </c>
      <c r="N90" t="s">
        <v>120</v>
      </c>
      <c r="O90" t="s">
        <v>311</v>
      </c>
      <c r="P90" s="27">
        <f t="shared" si="23"/>
        <v>0</v>
      </c>
      <c r="Q90" s="27">
        <f t="shared" si="23"/>
        <v>5.4792329364718766</v>
      </c>
      <c r="R90" s="27">
        <f t="shared" si="23"/>
        <v>21.916931745887506</v>
      </c>
      <c r="S90" s="27">
        <f t="shared" si="23"/>
        <v>191.7731527765157</v>
      </c>
      <c r="T90" s="27">
        <f t="shared" si="23"/>
        <v>361.62937380714391</v>
      </c>
      <c r="U90" s="27">
        <f t="shared" si="23"/>
        <v>542.4440607107158</v>
      </c>
      <c r="V90" s="27">
        <f t="shared" si="23"/>
        <v>799.96800872489405</v>
      </c>
      <c r="W90" s="27">
        <f t="shared" si="23"/>
        <v>964.34499681905038</v>
      </c>
      <c r="X90" s="27">
        <f t="shared" si="23"/>
        <v>1419.1213305462161</v>
      </c>
      <c r="Y90" s="27">
        <f t="shared" si="23"/>
        <v>1879.376897209854</v>
      </c>
      <c r="Z90" s="27">
        <f t="shared" si="23"/>
        <v>2334.15323093702</v>
      </c>
    </row>
    <row r="91" spans="2:26">
      <c r="B91">
        <f t="shared" si="24"/>
        <v>2015</v>
      </c>
      <c r="C91" t="str">
        <f t="shared" si="25"/>
        <v>GAS_NEW</v>
      </c>
      <c r="D91" t="str">
        <f t="shared" si="26"/>
        <v>POM C</v>
      </c>
      <c r="E91" s="27" t="e">
        <f t="shared" si="27"/>
        <v>#N/A</v>
      </c>
      <c r="F91">
        <f t="shared" si="28"/>
        <v>0.89</v>
      </c>
      <c r="G91">
        <f t="shared" si="30"/>
        <v>1</v>
      </c>
      <c r="H91">
        <f t="shared" si="31"/>
        <v>10</v>
      </c>
      <c r="I91">
        <f t="shared" si="32"/>
        <v>1</v>
      </c>
      <c r="J91" t="str">
        <f t="shared" si="29"/>
        <v>GAS_NEW.POM C</v>
      </c>
      <c r="L91" t="s">
        <v>141</v>
      </c>
      <c r="M91" t="str">
        <f t="shared" si="21"/>
        <v>WIN_ONS.WWB E</v>
      </c>
      <c r="N91" t="s">
        <v>120</v>
      </c>
      <c r="O91" t="s">
        <v>361</v>
      </c>
      <c r="P91" s="27">
        <f t="shared" ref="P91:Z100" si="33">SUMIFS(P$127:P$177,$O$127:$O$177,$O91,$N$127:$N$177,$N91)/INDEX($Q$4:$Q$8,MATCH($L91,$M$4:$M$8,0))*1000000</f>
        <v>0</v>
      </c>
      <c r="Q91" s="27">
        <f t="shared" si="33"/>
        <v>0</v>
      </c>
      <c r="R91" s="27">
        <f t="shared" si="33"/>
        <v>0</v>
      </c>
      <c r="S91" s="27">
        <f t="shared" si="33"/>
        <v>0</v>
      </c>
      <c r="T91" s="27">
        <f t="shared" si="33"/>
        <v>0</v>
      </c>
      <c r="U91" s="27">
        <f t="shared" si="33"/>
        <v>0</v>
      </c>
      <c r="V91" s="27">
        <f t="shared" si="33"/>
        <v>0</v>
      </c>
      <c r="W91" s="27">
        <f t="shared" si="33"/>
        <v>0</v>
      </c>
      <c r="X91" s="27">
        <f t="shared" si="33"/>
        <v>0</v>
      </c>
      <c r="Y91" s="27">
        <f t="shared" si="33"/>
        <v>0</v>
      </c>
      <c r="Z91" s="27">
        <f t="shared" si="33"/>
        <v>0</v>
      </c>
    </row>
    <row r="92" spans="2:26">
      <c r="B92">
        <f t="shared" si="24"/>
        <v>2020</v>
      </c>
      <c r="C92" t="str">
        <f t="shared" si="25"/>
        <v>GAS_NEW</v>
      </c>
      <c r="D92" t="str">
        <f t="shared" si="26"/>
        <v>POM C</v>
      </c>
      <c r="E92" s="27" t="e">
        <f t="shared" si="27"/>
        <v>#N/A</v>
      </c>
      <c r="F92">
        <f t="shared" si="28"/>
        <v>2.46</v>
      </c>
      <c r="G92">
        <f t="shared" si="30"/>
        <v>2</v>
      </c>
      <c r="H92">
        <f t="shared" si="31"/>
        <v>10</v>
      </c>
      <c r="I92">
        <f t="shared" si="32"/>
        <v>1</v>
      </c>
      <c r="J92" t="str">
        <f t="shared" si="29"/>
        <v>GAS_NEW.POM C</v>
      </c>
      <c r="L92" t="s">
        <v>24</v>
      </c>
      <c r="M92" t="str">
        <f t="shared" si="21"/>
        <v>WAS_ELC.WWB C</v>
      </c>
      <c r="N92" t="s">
        <v>110</v>
      </c>
      <c r="O92" t="s">
        <v>310</v>
      </c>
      <c r="P92" s="27">
        <f t="shared" si="33"/>
        <v>253.40399929632227</v>
      </c>
      <c r="Q92" s="27">
        <f t="shared" si="33"/>
        <v>321.78285624929816</v>
      </c>
      <c r="R92" s="27">
        <f t="shared" si="33"/>
        <v>370.05028468669281</v>
      </c>
      <c r="S92" s="27">
        <f t="shared" si="33"/>
        <v>378.09485609292523</v>
      </c>
      <c r="T92" s="27">
        <f t="shared" si="33"/>
        <v>378.09485609292523</v>
      </c>
      <c r="U92" s="27">
        <f t="shared" si="33"/>
        <v>390.16171320227392</v>
      </c>
      <c r="V92" s="27">
        <f t="shared" si="33"/>
        <v>394.18399890539013</v>
      </c>
      <c r="W92" s="27">
        <f t="shared" si="33"/>
        <v>394.18399890539013</v>
      </c>
      <c r="X92" s="27">
        <f t="shared" si="33"/>
        <v>398.20628460850639</v>
      </c>
      <c r="Y92" s="27">
        <f t="shared" si="33"/>
        <v>398.20628460850639</v>
      </c>
      <c r="Z92" s="27">
        <f t="shared" si="33"/>
        <v>398.20628460850639</v>
      </c>
    </row>
    <row r="93" spans="2:26">
      <c r="B93">
        <f t="shared" si="24"/>
        <v>2025</v>
      </c>
      <c r="C93" t="str">
        <f t="shared" si="25"/>
        <v>GAS_NEW</v>
      </c>
      <c r="D93" t="str">
        <f t="shared" si="26"/>
        <v>POM C</v>
      </c>
      <c r="E93" s="27" t="e">
        <f t="shared" si="27"/>
        <v>#N/A</v>
      </c>
      <c r="F93">
        <f t="shared" si="28"/>
        <v>5.98</v>
      </c>
      <c r="G93">
        <f t="shared" si="30"/>
        <v>3</v>
      </c>
      <c r="H93">
        <f t="shared" si="31"/>
        <v>10</v>
      </c>
      <c r="I93">
        <f t="shared" si="32"/>
        <v>1</v>
      </c>
      <c r="J93" t="str">
        <f t="shared" si="29"/>
        <v>GAS_NEW.POM C</v>
      </c>
      <c r="L93" t="s">
        <v>24</v>
      </c>
      <c r="M93" t="str">
        <f t="shared" si="21"/>
        <v>WAS_ELC.WWB C&amp;E</v>
      </c>
      <c r="N93" t="s">
        <v>110</v>
      </c>
      <c r="O93" t="s">
        <v>311</v>
      </c>
      <c r="P93" s="27">
        <f t="shared" si="33"/>
        <v>253.40399929632227</v>
      </c>
      <c r="Q93" s="27">
        <f t="shared" si="33"/>
        <v>321.78285624929816</v>
      </c>
      <c r="R93" s="27">
        <f t="shared" si="33"/>
        <v>370.05028468669281</v>
      </c>
      <c r="S93" s="27">
        <f t="shared" si="33"/>
        <v>398.20628460850639</v>
      </c>
      <c r="T93" s="27">
        <f t="shared" si="33"/>
        <v>442.45142734278494</v>
      </c>
      <c r="U93" s="27">
        <f t="shared" si="33"/>
        <v>494.74114148329585</v>
      </c>
      <c r="V93" s="27">
        <f t="shared" si="33"/>
        <v>530.94171281134186</v>
      </c>
      <c r="W93" s="27">
        <f t="shared" si="33"/>
        <v>530.94171281134186</v>
      </c>
      <c r="X93" s="27">
        <f t="shared" si="33"/>
        <v>534.96399851445813</v>
      </c>
      <c r="Y93" s="27">
        <f t="shared" si="33"/>
        <v>534.96399851445813</v>
      </c>
      <c r="Z93" s="27">
        <f t="shared" si="33"/>
        <v>534.96399851445813</v>
      </c>
    </row>
    <row r="94" spans="2:26">
      <c r="B94">
        <f t="shared" si="24"/>
        <v>2030</v>
      </c>
      <c r="C94" t="str">
        <f t="shared" si="25"/>
        <v>GAS_NEW</v>
      </c>
      <c r="D94" t="str">
        <f t="shared" si="26"/>
        <v>POM C</v>
      </c>
      <c r="E94" s="27" t="e">
        <f t="shared" si="27"/>
        <v>#N/A</v>
      </c>
      <c r="F94">
        <f t="shared" si="28"/>
        <v>9.4400000000000013</v>
      </c>
      <c r="G94">
        <f t="shared" si="30"/>
        <v>4</v>
      </c>
      <c r="H94">
        <f t="shared" si="31"/>
        <v>10</v>
      </c>
      <c r="I94">
        <f t="shared" si="32"/>
        <v>1</v>
      </c>
      <c r="J94" t="str">
        <f t="shared" si="29"/>
        <v>GAS_NEW.POM C</v>
      </c>
      <c r="L94" t="s">
        <v>24</v>
      </c>
      <c r="M94" t="str">
        <f t="shared" si="21"/>
        <v>WAS_ELC.WWB E</v>
      </c>
      <c r="N94" t="s">
        <v>110</v>
      </c>
      <c r="O94" t="s">
        <v>361</v>
      </c>
      <c r="P94" s="27">
        <f t="shared" si="33"/>
        <v>0</v>
      </c>
      <c r="Q94" s="27">
        <f t="shared" si="33"/>
        <v>0</v>
      </c>
      <c r="R94" s="27">
        <f t="shared" si="33"/>
        <v>0</v>
      </c>
      <c r="S94" s="27">
        <f t="shared" si="33"/>
        <v>0</v>
      </c>
      <c r="T94" s="27">
        <f t="shared" si="33"/>
        <v>0</v>
      </c>
      <c r="U94" s="27">
        <f t="shared" si="33"/>
        <v>0</v>
      </c>
      <c r="V94" s="27">
        <f t="shared" si="33"/>
        <v>0</v>
      </c>
      <c r="W94" s="27">
        <f t="shared" si="33"/>
        <v>0</v>
      </c>
      <c r="X94" s="27">
        <f t="shared" si="33"/>
        <v>0</v>
      </c>
      <c r="Y94" s="27">
        <f t="shared" si="33"/>
        <v>0</v>
      </c>
      <c r="Z94" s="27">
        <f t="shared" si="33"/>
        <v>0</v>
      </c>
    </row>
    <row r="95" spans="2:26">
      <c r="B95">
        <f t="shared" si="24"/>
        <v>2035</v>
      </c>
      <c r="C95" t="str">
        <f t="shared" si="25"/>
        <v>GAS_NEW</v>
      </c>
      <c r="D95" t="str">
        <f t="shared" si="26"/>
        <v>POM C</v>
      </c>
      <c r="E95" s="27" t="e">
        <f t="shared" si="27"/>
        <v>#N/A</v>
      </c>
      <c r="F95">
        <f t="shared" si="28"/>
        <v>21.97</v>
      </c>
      <c r="G95">
        <f t="shared" si="30"/>
        <v>5</v>
      </c>
      <c r="H95">
        <f t="shared" si="31"/>
        <v>10</v>
      </c>
      <c r="I95">
        <f t="shared" si="32"/>
        <v>1</v>
      </c>
      <c r="J95" t="str">
        <f t="shared" si="29"/>
        <v>GAS_NEW.POM C</v>
      </c>
      <c r="L95" t="s">
        <v>11</v>
      </c>
      <c r="M95" t="str">
        <f t="shared" si="21"/>
        <v>BAL_ELC.WWB C</v>
      </c>
      <c r="N95" t="s">
        <v>55</v>
      </c>
      <c r="O95" t="s">
        <v>310</v>
      </c>
      <c r="P95" s="27">
        <f t="shared" si="33"/>
        <v>32.442684123233875</v>
      </c>
      <c r="Q95" s="27">
        <f t="shared" si="33"/>
        <v>38.931220947880647</v>
      </c>
      <c r="R95" s="27">
        <f t="shared" si="33"/>
        <v>73.536750679330126</v>
      </c>
      <c r="S95" s="27">
        <f t="shared" si="33"/>
        <v>123.28219966828871</v>
      </c>
      <c r="T95" s="27">
        <f t="shared" si="33"/>
        <v>181.6790310901097</v>
      </c>
      <c r="U95" s="27">
        <f t="shared" si="33"/>
        <v>253.05293616122421</v>
      </c>
      <c r="V95" s="27">
        <f t="shared" si="33"/>
        <v>311.44976758304517</v>
      </c>
      <c r="W95" s="27">
        <f t="shared" si="33"/>
        <v>313.61261319126083</v>
      </c>
      <c r="X95" s="27">
        <f t="shared" si="33"/>
        <v>320.10115001590759</v>
      </c>
      <c r="Y95" s="27">
        <f t="shared" si="33"/>
        <v>326.58968684055435</v>
      </c>
      <c r="Z95" s="27">
        <f t="shared" si="33"/>
        <v>326.58968684055435</v>
      </c>
    </row>
    <row r="96" spans="2:26">
      <c r="B96">
        <f t="shared" si="24"/>
        <v>2040</v>
      </c>
      <c r="C96" t="str">
        <f t="shared" si="25"/>
        <v>GAS_NEW</v>
      </c>
      <c r="D96" t="str">
        <f t="shared" si="26"/>
        <v>POM C</v>
      </c>
      <c r="E96" s="27" t="e">
        <f t="shared" si="27"/>
        <v>#N/A</v>
      </c>
      <c r="F96">
        <f t="shared" si="28"/>
        <v>21.6</v>
      </c>
      <c r="G96">
        <f t="shared" si="30"/>
        <v>6</v>
      </c>
      <c r="H96">
        <f t="shared" si="31"/>
        <v>10</v>
      </c>
      <c r="I96">
        <f t="shared" si="32"/>
        <v>1</v>
      </c>
      <c r="J96" t="str">
        <f t="shared" si="29"/>
        <v>GAS_NEW.POM C</v>
      </c>
      <c r="L96" t="s">
        <v>11</v>
      </c>
      <c r="M96" t="str">
        <f t="shared" si="21"/>
        <v>BAL_ELC.WWB C&amp;E</v>
      </c>
      <c r="N96" t="s">
        <v>55</v>
      </c>
      <c r="O96" t="s">
        <v>311</v>
      </c>
      <c r="P96" s="27">
        <f t="shared" si="33"/>
        <v>32.442684123233875</v>
      </c>
      <c r="Q96" s="27">
        <f t="shared" si="33"/>
        <v>38.931220947880647</v>
      </c>
      <c r="R96" s="27">
        <f t="shared" si="33"/>
        <v>73.536750679330126</v>
      </c>
      <c r="S96" s="27">
        <f t="shared" si="33"/>
        <v>140.58496453401347</v>
      </c>
      <c r="T96" s="27">
        <f t="shared" si="33"/>
        <v>263.86716420230221</v>
      </c>
      <c r="U96" s="27">
        <f t="shared" si="33"/>
        <v>447.70904090062754</v>
      </c>
      <c r="V96" s="27">
        <f t="shared" si="33"/>
        <v>599.10823347571886</v>
      </c>
      <c r="W96" s="27">
        <f t="shared" si="33"/>
        <v>644.52799124824639</v>
      </c>
      <c r="X96" s="27">
        <f t="shared" si="33"/>
        <v>663.99360172218667</v>
      </c>
      <c r="Y96" s="27">
        <f t="shared" si="33"/>
        <v>672.64498415504909</v>
      </c>
      <c r="Z96" s="27">
        <f t="shared" si="33"/>
        <v>674.80782976326464</v>
      </c>
    </row>
    <row r="97" spans="2:26">
      <c r="B97">
        <f t="shared" si="24"/>
        <v>2045</v>
      </c>
      <c r="C97" t="str">
        <f t="shared" si="25"/>
        <v>GAS_NEW</v>
      </c>
      <c r="D97" t="str">
        <f t="shared" si="26"/>
        <v>POM C</v>
      </c>
      <c r="E97" s="27" t="e">
        <f t="shared" si="27"/>
        <v>#N/A</v>
      </c>
      <c r="F97">
        <f t="shared" si="28"/>
        <v>21.98</v>
      </c>
      <c r="G97">
        <f t="shared" si="30"/>
        <v>7</v>
      </c>
      <c r="H97">
        <f t="shared" si="31"/>
        <v>10</v>
      </c>
      <c r="I97">
        <f t="shared" si="32"/>
        <v>1</v>
      </c>
      <c r="J97" t="str">
        <f t="shared" si="29"/>
        <v>GAS_NEW.POM C</v>
      </c>
      <c r="L97" t="s">
        <v>11</v>
      </c>
      <c r="M97" t="str">
        <f t="shared" si="21"/>
        <v>BAL_ELC.WWB E</v>
      </c>
      <c r="N97" t="s">
        <v>55</v>
      </c>
      <c r="O97" t="s">
        <v>361</v>
      </c>
      <c r="P97" s="27">
        <f t="shared" si="33"/>
        <v>0</v>
      </c>
      <c r="Q97" s="27">
        <f t="shared" si="33"/>
        <v>0</v>
      </c>
      <c r="R97" s="27">
        <f t="shared" si="33"/>
        <v>0</v>
      </c>
      <c r="S97" s="27">
        <f t="shared" si="33"/>
        <v>0</v>
      </c>
      <c r="T97" s="27">
        <f t="shared" si="33"/>
        <v>0</v>
      </c>
      <c r="U97" s="27">
        <f t="shared" si="33"/>
        <v>0</v>
      </c>
      <c r="V97" s="27">
        <f t="shared" si="33"/>
        <v>0</v>
      </c>
      <c r="W97" s="27">
        <f t="shared" si="33"/>
        <v>0</v>
      </c>
      <c r="X97" s="27">
        <f t="shared" si="33"/>
        <v>0</v>
      </c>
      <c r="Y97" s="27">
        <f t="shared" si="33"/>
        <v>0</v>
      </c>
      <c r="Z97" s="27">
        <f t="shared" si="33"/>
        <v>0</v>
      </c>
    </row>
    <row r="98" spans="2:26">
      <c r="B98">
        <f t="shared" si="24"/>
        <v>2050</v>
      </c>
      <c r="C98" t="str">
        <f t="shared" si="25"/>
        <v>GAS_NEW</v>
      </c>
      <c r="D98" t="str">
        <f t="shared" si="26"/>
        <v>POM C</v>
      </c>
      <c r="E98" s="27" t="e">
        <f t="shared" si="27"/>
        <v>#N/A</v>
      </c>
      <c r="F98">
        <f t="shared" si="28"/>
        <v>21.65</v>
      </c>
      <c r="G98">
        <f t="shared" si="30"/>
        <v>8</v>
      </c>
      <c r="H98">
        <f t="shared" si="31"/>
        <v>10</v>
      </c>
      <c r="I98">
        <f t="shared" si="32"/>
        <v>1</v>
      </c>
      <c r="J98" t="str">
        <f t="shared" si="29"/>
        <v>GAS_NEW.POM C</v>
      </c>
      <c r="L98" t="s">
        <v>23</v>
      </c>
      <c r="M98" t="str">
        <f t="shared" si="21"/>
        <v>GEO_ELC.WWB C</v>
      </c>
      <c r="N98" t="s">
        <v>65</v>
      </c>
      <c r="O98" t="s">
        <v>310</v>
      </c>
      <c r="P98" s="27">
        <f t="shared" si="33"/>
        <v>0</v>
      </c>
      <c r="Q98" s="27">
        <f t="shared" si="33"/>
        <v>0</v>
      </c>
      <c r="R98" s="27">
        <f t="shared" si="33"/>
        <v>0</v>
      </c>
      <c r="S98" s="27">
        <f t="shared" si="33"/>
        <v>3.8051750380517504</v>
      </c>
      <c r="T98" s="27">
        <f t="shared" si="33"/>
        <v>12.683916793505835</v>
      </c>
      <c r="U98" s="27">
        <f t="shared" si="33"/>
        <v>25.36783358701167</v>
      </c>
      <c r="V98" s="27">
        <f t="shared" si="33"/>
        <v>41.856925418569254</v>
      </c>
      <c r="W98" s="27">
        <f t="shared" si="33"/>
        <v>49.467275494672755</v>
      </c>
      <c r="X98" s="27">
        <f t="shared" si="33"/>
        <v>49.467275494672755</v>
      </c>
      <c r="Y98" s="27">
        <f t="shared" si="33"/>
        <v>53.272450532724505</v>
      </c>
      <c r="Z98" s="27">
        <f t="shared" si="33"/>
        <v>53.272450532724505</v>
      </c>
    </row>
    <row r="99" spans="2:26">
      <c r="B99">
        <f t="shared" si="24"/>
        <v>2015</v>
      </c>
      <c r="C99" t="str">
        <f t="shared" si="25"/>
        <v>SOL_PHO</v>
      </c>
      <c r="D99" t="str">
        <f t="shared" si="26"/>
        <v>POM C&amp;E</v>
      </c>
      <c r="E99" s="27">
        <f t="shared" si="27"/>
        <v>1390.1</v>
      </c>
      <c r="F99">
        <f t="shared" si="28"/>
        <v>0.28000000000000003</v>
      </c>
      <c r="G99">
        <f t="shared" si="30"/>
        <v>1</v>
      </c>
      <c r="H99">
        <f t="shared" si="31"/>
        <v>1</v>
      </c>
      <c r="I99">
        <f t="shared" si="32"/>
        <v>2</v>
      </c>
      <c r="J99" t="str">
        <f t="shared" si="29"/>
        <v>SOL_PHO.POM C&amp;E</v>
      </c>
      <c r="L99" t="s">
        <v>23</v>
      </c>
      <c r="M99" t="str">
        <f t="shared" si="21"/>
        <v>GEO_ELC.WWB C&amp;E</v>
      </c>
      <c r="N99" t="s">
        <v>65</v>
      </c>
      <c r="O99" t="s">
        <v>311</v>
      </c>
      <c r="P99" s="27">
        <f t="shared" si="33"/>
        <v>0</v>
      </c>
      <c r="Q99" s="27">
        <f t="shared" si="33"/>
        <v>0</v>
      </c>
      <c r="R99" s="27">
        <f t="shared" si="33"/>
        <v>0</v>
      </c>
      <c r="S99" s="27">
        <f t="shared" si="33"/>
        <v>12.683916793505835</v>
      </c>
      <c r="T99" s="27">
        <f t="shared" si="33"/>
        <v>25.36783358701167</v>
      </c>
      <c r="U99" s="27">
        <f t="shared" si="33"/>
        <v>49.467275494672755</v>
      </c>
      <c r="V99" s="27">
        <f t="shared" si="33"/>
        <v>98.93455098934551</v>
      </c>
      <c r="W99" s="27">
        <f t="shared" si="33"/>
        <v>181.38001014713345</v>
      </c>
      <c r="X99" s="27">
        <f t="shared" si="33"/>
        <v>305.68239472349063</v>
      </c>
      <c r="Y99" s="27">
        <f t="shared" si="33"/>
        <v>441.40030441400307</v>
      </c>
      <c r="Z99" s="27">
        <f t="shared" si="33"/>
        <v>556.82394723490609</v>
      </c>
    </row>
    <row r="100" spans="2:26">
      <c r="B100">
        <f t="shared" si="24"/>
        <v>2020</v>
      </c>
      <c r="C100" t="str">
        <f t="shared" si="25"/>
        <v>SOL_PHO</v>
      </c>
      <c r="D100" t="str">
        <f t="shared" si="26"/>
        <v>POM C&amp;E</v>
      </c>
      <c r="E100" s="27">
        <f t="shared" si="27"/>
        <v>1665.2918506448036</v>
      </c>
      <c r="F100">
        <f t="shared" si="28"/>
        <v>0.52</v>
      </c>
      <c r="G100">
        <f t="shared" si="30"/>
        <v>2</v>
      </c>
      <c r="H100">
        <f t="shared" si="31"/>
        <v>1</v>
      </c>
      <c r="I100">
        <f t="shared" si="32"/>
        <v>2</v>
      </c>
      <c r="J100" t="str">
        <f t="shared" si="29"/>
        <v>SOL_PHO.POM C&amp;E</v>
      </c>
      <c r="L100" t="s">
        <v>23</v>
      </c>
      <c r="M100" t="str">
        <f t="shared" si="21"/>
        <v>GEO_ELC.WWB E</v>
      </c>
      <c r="N100" t="s">
        <v>65</v>
      </c>
      <c r="O100" t="s">
        <v>361</v>
      </c>
      <c r="P100" s="27">
        <f t="shared" si="33"/>
        <v>0</v>
      </c>
      <c r="Q100" s="27">
        <f t="shared" si="33"/>
        <v>0</v>
      </c>
      <c r="R100" s="27">
        <f t="shared" si="33"/>
        <v>0</v>
      </c>
      <c r="S100" s="27">
        <f t="shared" si="33"/>
        <v>0</v>
      </c>
      <c r="T100" s="27">
        <f t="shared" si="33"/>
        <v>0</v>
      </c>
      <c r="U100" s="27">
        <f t="shared" si="33"/>
        <v>0</v>
      </c>
      <c r="V100" s="27">
        <f t="shared" si="33"/>
        <v>0</v>
      </c>
      <c r="W100" s="27">
        <f t="shared" si="33"/>
        <v>0</v>
      </c>
      <c r="X100" s="27">
        <f t="shared" si="33"/>
        <v>0</v>
      </c>
      <c r="Y100" s="27">
        <f t="shared" si="33"/>
        <v>0</v>
      </c>
      <c r="Z100" s="27">
        <f t="shared" si="33"/>
        <v>0</v>
      </c>
    </row>
    <row r="101" spans="2:26">
      <c r="B101">
        <f t="shared" si="24"/>
        <v>2025</v>
      </c>
      <c r="C101" t="str">
        <f t="shared" si="25"/>
        <v>SOL_PHO</v>
      </c>
      <c r="D101" t="str">
        <f t="shared" si="26"/>
        <v>POM C&amp;E</v>
      </c>
      <c r="E101" s="27">
        <f t="shared" si="27"/>
        <v>2192.7428977140107</v>
      </c>
      <c r="F101">
        <f t="shared" si="28"/>
        <v>0.98</v>
      </c>
      <c r="G101">
        <f t="shared" si="30"/>
        <v>3</v>
      </c>
      <c r="H101">
        <f t="shared" si="31"/>
        <v>1</v>
      </c>
      <c r="I101">
        <f t="shared" si="32"/>
        <v>2</v>
      </c>
      <c r="J101" t="str">
        <f t="shared" si="29"/>
        <v>SOL_PHO.POM C&amp;E</v>
      </c>
      <c r="L101" t="s">
        <v>131</v>
      </c>
      <c r="M101" t="str">
        <f t="shared" si="21"/>
        <v>SOL_PHO.NEP C</v>
      </c>
      <c r="N101" t="s">
        <v>105</v>
      </c>
      <c r="O101" t="s">
        <v>307</v>
      </c>
      <c r="P101" s="27">
        <f t="shared" ref="P101:Z115" si="34">SUMIFS(P$127:P$177,$O$127:$O$177,$O101,$N$127:$N$177,$N101)/INDEX($Q$4:$Q$8,MATCH($L101,$M$4:$M$8,0))*1000000</f>
        <v>12.42769657145411</v>
      </c>
      <c r="Q101" s="27">
        <f t="shared" si="34"/>
        <v>24.85539314290822</v>
      </c>
      <c r="R101" s="27">
        <f t="shared" si="34"/>
        <v>99.421572571632879</v>
      </c>
      <c r="S101" s="27">
        <f t="shared" si="34"/>
        <v>260.98162800053632</v>
      </c>
      <c r="T101" s="27">
        <f t="shared" si="34"/>
        <v>422.54168342943979</v>
      </c>
      <c r="U101" s="27">
        <f t="shared" si="34"/>
        <v>683.52331142997616</v>
      </c>
      <c r="V101" s="27">
        <f t="shared" si="34"/>
        <v>1193.0588708595947</v>
      </c>
      <c r="W101" s="27">
        <f t="shared" si="34"/>
        <v>3131.7795360064356</v>
      </c>
      <c r="X101" s="27">
        <f t="shared" si="34"/>
        <v>4324.8384068660307</v>
      </c>
      <c r="Y101" s="27">
        <f t="shared" si="34"/>
        <v>5878.3004782977951</v>
      </c>
      <c r="Z101" s="27">
        <f t="shared" si="34"/>
        <v>7357.1963703008332</v>
      </c>
    </row>
    <row r="102" spans="2:26">
      <c r="B102">
        <f t="shared" si="24"/>
        <v>2030</v>
      </c>
      <c r="C102" t="str">
        <f t="shared" si="25"/>
        <v>SOL_PHO</v>
      </c>
      <c r="D102" t="str">
        <f t="shared" si="26"/>
        <v>POM C&amp;E</v>
      </c>
      <c r="E102" s="27">
        <f t="shared" si="27"/>
        <v>3259.1113189626258</v>
      </c>
      <c r="F102">
        <f t="shared" si="28"/>
        <v>1.91</v>
      </c>
      <c r="G102">
        <f t="shared" si="30"/>
        <v>4</v>
      </c>
      <c r="H102">
        <f t="shared" si="31"/>
        <v>1</v>
      </c>
      <c r="I102">
        <f t="shared" si="32"/>
        <v>2</v>
      </c>
      <c r="J102" t="str">
        <f t="shared" si="29"/>
        <v>SOL_PHO.POM C&amp;E</v>
      </c>
      <c r="L102" t="s">
        <v>131</v>
      </c>
      <c r="M102" t="str">
        <f t="shared" si="21"/>
        <v>SOL_PHO.NEP C&amp;E</v>
      </c>
      <c r="N102" t="s">
        <v>105</v>
      </c>
      <c r="O102" t="s">
        <v>308</v>
      </c>
      <c r="P102" s="27">
        <f t="shared" si="34"/>
        <v>12.42769657145411</v>
      </c>
      <c r="Q102" s="27">
        <f t="shared" si="34"/>
        <v>24.85539314290822</v>
      </c>
      <c r="R102" s="27">
        <f t="shared" si="34"/>
        <v>99.421572571632879</v>
      </c>
      <c r="S102" s="27">
        <f t="shared" si="34"/>
        <v>347.97550400071515</v>
      </c>
      <c r="T102" s="27">
        <f t="shared" si="34"/>
        <v>646.24022171561376</v>
      </c>
      <c r="U102" s="27">
        <f t="shared" si="34"/>
        <v>1217.9142640025029</v>
      </c>
      <c r="V102" s="27">
        <f t="shared" si="34"/>
        <v>2373.690045147735</v>
      </c>
      <c r="W102" s="27">
        <f t="shared" si="34"/>
        <v>5517.8972777256258</v>
      </c>
      <c r="X102" s="27">
        <f t="shared" si="34"/>
        <v>8376.2674891600691</v>
      </c>
      <c r="Y102" s="27">
        <f t="shared" si="34"/>
        <v>11470.763935452145</v>
      </c>
      <c r="Z102" s="27">
        <f t="shared" si="34"/>
        <v>13819.598587456969</v>
      </c>
    </row>
    <row r="103" spans="2:26">
      <c r="B103">
        <f t="shared" si="24"/>
        <v>2035</v>
      </c>
      <c r="C103" t="str">
        <f t="shared" si="25"/>
        <v>SOL_PHO</v>
      </c>
      <c r="D103" t="str">
        <f t="shared" si="26"/>
        <v>POM C&amp;E</v>
      </c>
      <c r="E103" s="27">
        <f t="shared" si="27"/>
        <v>6160.0920778432665</v>
      </c>
      <c r="F103">
        <f t="shared" si="28"/>
        <v>4.4400000000000004</v>
      </c>
      <c r="G103">
        <f t="shared" si="30"/>
        <v>5</v>
      </c>
      <c r="H103">
        <f t="shared" si="31"/>
        <v>1</v>
      </c>
      <c r="I103">
        <f t="shared" si="32"/>
        <v>2</v>
      </c>
      <c r="J103" t="str">
        <f t="shared" si="29"/>
        <v>SOL_PHO.POM C&amp;E</v>
      </c>
      <c r="L103" t="s">
        <v>131</v>
      </c>
      <c r="M103" t="str">
        <f t="shared" si="21"/>
        <v>SOL_PHO.NEP E</v>
      </c>
      <c r="N103" t="s">
        <v>105</v>
      </c>
      <c r="O103" t="s">
        <v>309</v>
      </c>
      <c r="P103" s="27">
        <f t="shared" si="34"/>
        <v>12.42769657145411</v>
      </c>
      <c r="Q103" s="27">
        <f t="shared" si="34"/>
        <v>24.85539314290822</v>
      </c>
      <c r="R103" s="27">
        <f t="shared" si="34"/>
        <v>99.421572571632879</v>
      </c>
      <c r="S103" s="27">
        <f t="shared" si="34"/>
        <v>347.97550400071515</v>
      </c>
      <c r="T103" s="27">
        <f t="shared" si="34"/>
        <v>646.24022171561376</v>
      </c>
      <c r="U103" s="27">
        <f t="shared" si="34"/>
        <v>1217.9142640025029</v>
      </c>
      <c r="V103" s="27">
        <f t="shared" si="34"/>
        <v>2373.690045147735</v>
      </c>
      <c r="W103" s="27">
        <f t="shared" si="34"/>
        <v>5517.8972777256258</v>
      </c>
      <c r="X103" s="27">
        <f t="shared" si="34"/>
        <v>8376.2674891600691</v>
      </c>
      <c r="Y103" s="27">
        <f t="shared" si="34"/>
        <v>11470.763935452145</v>
      </c>
      <c r="Z103" s="27">
        <f t="shared" si="34"/>
        <v>13819.598587456969</v>
      </c>
    </row>
    <row r="104" spans="2:26">
      <c r="B104">
        <f t="shared" si="24"/>
        <v>2040</v>
      </c>
      <c r="C104" t="str">
        <f t="shared" si="25"/>
        <v>SOL_PHO</v>
      </c>
      <c r="D104" t="str">
        <f t="shared" si="26"/>
        <v>POM C&amp;E</v>
      </c>
      <c r="E104" s="27">
        <f t="shared" si="27"/>
        <v>8797.3473131893006</v>
      </c>
      <c r="F104">
        <f t="shared" si="28"/>
        <v>6.74</v>
      </c>
      <c r="G104">
        <f t="shared" si="30"/>
        <v>6</v>
      </c>
      <c r="H104">
        <f t="shared" si="31"/>
        <v>1</v>
      </c>
      <c r="I104">
        <f t="shared" si="32"/>
        <v>2</v>
      </c>
      <c r="J104" t="str">
        <f t="shared" si="29"/>
        <v>SOL_PHO.POM C&amp;E</v>
      </c>
      <c r="L104" t="s">
        <v>141</v>
      </c>
      <c r="M104" t="str">
        <f t="shared" si="21"/>
        <v>WIN_ONS.NEP C</v>
      </c>
      <c r="N104" t="s">
        <v>120</v>
      </c>
      <c r="O104" t="s">
        <v>307</v>
      </c>
      <c r="P104" s="27">
        <f t="shared" si="34"/>
        <v>0</v>
      </c>
      <c r="Q104" s="27">
        <f t="shared" si="34"/>
        <v>5.4792329364718766</v>
      </c>
      <c r="R104" s="27">
        <f t="shared" si="34"/>
        <v>21.916931745887506</v>
      </c>
      <c r="S104" s="27">
        <f t="shared" si="34"/>
        <v>49.313096428246894</v>
      </c>
      <c r="T104" s="27">
        <f t="shared" si="34"/>
        <v>76.709261110606292</v>
      </c>
      <c r="U104" s="27">
        <f t="shared" si="34"/>
        <v>136.98082341179693</v>
      </c>
      <c r="V104" s="27">
        <f t="shared" si="34"/>
        <v>312.31627737889698</v>
      </c>
      <c r="W104" s="27">
        <f t="shared" si="34"/>
        <v>421.90093610833458</v>
      </c>
      <c r="X104" s="27">
        <f t="shared" si="34"/>
        <v>558.88175952013148</v>
      </c>
      <c r="Y104" s="27">
        <f t="shared" si="34"/>
        <v>684.90411705898464</v>
      </c>
      <c r="Z104" s="27">
        <f t="shared" si="34"/>
        <v>772.57184404253462</v>
      </c>
    </row>
    <row r="105" spans="2:26">
      <c r="B105">
        <f t="shared" si="24"/>
        <v>2045</v>
      </c>
      <c r="C105" t="str">
        <f t="shared" si="25"/>
        <v>SOL_PHO</v>
      </c>
      <c r="D105" t="str">
        <f t="shared" si="26"/>
        <v>POM C&amp;E</v>
      </c>
      <c r="E105" s="27">
        <f t="shared" si="27"/>
        <v>11652.462763629143</v>
      </c>
      <c r="F105">
        <f t="shared" si="28"/>
        <v>9.23</v>
      </c>
      <c r="G105">
        <f t="shared" si="30"/>
        <v>7</v>
      </c>
      <c r="H105">
        <f t="shared" si="31"/>
        <v>1</v>
      </c>
      <c r="I105">
        <f t="shared" si="32"/>
        <v>2</v>
      </c>
      <c r="J105" t="str">
        <f t="shared" si="29"/>
        <v>SOL_PHO.POM C&amp;E</v>
      </c>
      <c r="L105" t="s">
        <v>141</v>
      </c>
      <c r="M105" t="str">
        <f t="shared" si="21"/>
        <v>WIN_ONS.NEP C&amp;E</v>
      </c>
      <c r="N105" t="s">
        <v>120</v>
      </c>
      <c r="O105" t="s">
        <v>308</v>
      </c>
      <c r="P105" s="27">
        <f t="shared" si="34"/>
        <v>0</v>
      </c>
      <c r="Q105" s="27">
        <f t="shared" si="34"/>
        <v>5.4792329364718766</v>
      </c>
      <c r="R105" s="27">
        <f t="shared" si="34"/>
        <v>21.916931745887506</v>
      </c>
      <c r="S105" s="27">
        <f t="shared" si="34"/>
        <v>191.7731527765157</v>
      </c>
      <c r="T105" s="27">
        <f t="shared" si="34"/>
        <v>361.62937380714391</v>
      </c>
      <c r="U105" s="27">
        <f t="shared" si="34"/>
        <v>542.4440607107158</v>
      </c>
      <c r="V105" s="27">
        <f t="shared" si="34"/>
        <v>799.96800872489405</v>
      </c>
      <c r="W105" s="27">
        <f t="shared" si="34"/>
        <v>964.34499681905038</v>
      </c>
      <c r="X105" s="27">
        <f t="shared" si="34"/>
        <v>1419.1213305462161</v>
      </c>
      <c r="Y105" s="27">
        <f t="shared" si="34"/>
        <v>1879.376897209854</v>
      </c>
      <c r="Z105" s="27">
        <f t="shared" si="34"/>
        <v>2334.15323093702</v>
      </c>
    </row>
    <row r="106" spans="2:26">
      <c r="B106">
        <f t="shared" si="24"/>
        <v>2050</v>
      </c>
      <c r="C106" t="str">
        <f t="shared" si="25"/>
        <v>SOL_PHO</v>
      </c>
      <c r="D106" t="str">
        <f t="shared" si="26"/>
        <v>POM C&amp;E</v>
      </c>
      <c r="E106" s="27">
        <f t="shared" si="27"/>
        <v>13819.598587456969</v>
      </c>
      <c r="F106">
        <f t="shared" si="28"/>
        <v>11.12</v>
      </c>
      <c r="G106">
        <f t="shared" si="30"/>
        <v>8</v>
      </c>
      <c r="H106">
        <f t="shared" si="31"/>
        <v>1</v>
      </c>
      <c r="I106">
        <f t="shared" si="32"/>
        <v>2</v>
      </c>
      <c r="J106" t="str">
        <f t="shared" si="29"/>
        <v>SOL_PHO.POM C&amp;E</v>
      </c>
      <c r="L106" t="s">
        <v>141</v>
      </c>
      <c r="M106" t="str">
        <f t="shared" si="21"/>
        <v>WIN_ONS.NEP E</v>
      </c>
      <c r="N106" t="s">
        <v>120</v>
      </c>
      <c r="O106" t="s">
        <v>309</v>
      </c>
      <c r="P106" s="27">
        <f t="shared" si="34"/>
        <v>0</v>
      </c>
      <c r="Q106" s="27">
        <f t="shared" si="34"/>
        <v>5.4792329364718766</v>
      </c>
      <c r="R106" s="27">
        <f t="shared" si="34"/>
        <v>21.916931745887506</v>
      </c>
      <c r="S106" s="27">
        <f t="shared" si="34"/>
        <v>191.7731527765157</v>
      </c>
      <c r="T106" s="27">
        <f t="shared" si="34"/>
        <v>361.62937380714391</v>
      </c>
      <c r="U106" s="27">
        <f t="shared" si="34"/>
        <v>542.4440607107158</v>
      </c>
      <c r="V106" s="27">
        <f t="shared" si="34"/>
        <v>799.96800872489405</v>
      </c>
      <c r="W106" s="27">
        <f t="shared" si="34"/>
        <v>964.34499681905038</v>
      </c>
      <c r="X106" s="27">
        <f t="shared" si="34"/>
        <v>1419.1213305462161</v>
      </c>
      <c r="Y106" s="27">
        <f t="shared" si="34"/>
        <v>1879.376897209854</v>
      </c>
      <c r="Z106" s="27">
        <f t="shared" si="34"/>
        <v>2334.15323093702</v>
      </c>
    </row>
    <row r="107" spans="2:26">
      <c r="B107">
        <f t="shared" si="24"/>
        <v>2015</v>
      </c>
      <c r="C107" t="str">
        <f t="shared" si="25"/>
        <v>WIN_ONS</v>
      </c>
      <c r="D107" t="str">
        <f t="shared" si="26"/>
        <v>POM C&amp;E</v>
      </c>
      <c r="E107" s="27">
        <f t="shared" si="27"/>
        <v>60.287999999999997</v>
      </c>
      <c r="F107">
        <f t="shared" si="28"/>
        <v>0.35</v>
      </c>
      <c r="G107">
        <f t="shared" si="30"/>
        <v>1</v>
      </c>
      <c r="H107">
        <f t="shared" si="31"/>
        <v>2</v>
      </c>
      <c r="I107">
        <f t="shared" si="32"/>
        <v>2</v>
      </c>
      <c r="J107" t="str">
        <f t="shared" si="29"/>
        <v>WIN_ONS.POM C&amp;E</v>
      </c>
      <c r="L107" t="s">
        <v>24</v>
      </c>
      <c r="M107" t="str">
        <f t="shared" si="21"/>
        <v>WAS_ELC.NEP C</v>
      </c>
      <c r="N107" t="s">
        <v>110</v>
      </c>
      <c r="O107" t="s">
        <v>307</v>
      </c>
      <c r="P107" s="27">
        <f t="shared" si="34"/>
        <v>253.40399929632227</v>
      </c>
      <c r="Q107" s="27">
        <f t="shared" si="34"/>
        <v>321.78285624929816</v>
      </c>
      <c r="R107" s="27">
        <f t="shared" si="34"/>
        <v>370.05028468669281</v>
      </c>
      <c r="S107" s="27">
        <f t="shared" si="34"/>
        <v>378.09485609292523</v>
      </c>
      <c r="T107" s="27">
        <f t="shared" si="34"/>
        <v>378.09485609292523</v>
      </c>
      <c r="U107" s="27">
        <f t="shared" si="34"/>
        <v>390.16171320227392</v>
      </c>
      <c r="V107" s="27">
        <f t="shared" si="34"/>
        <v>394.18399890539013</v>
      </c>
      <c r="W107" s="27">
        <f t="shared" si="34"/>
        <v>394.18399890539013</v>
      </c>
      <c r="X107" s="27">
        <f t="shared" si="34"/>
        <v>398.20628460850639</v>
      </c>
      <c r="Y107" s="27">
        <f t="shared" si="34"/>
        <v>398.20628460850639</v>
      </c>
      <c r="Z107" s="27">
        <f t="shared" si="34"/>
        <v>398.20628460850639</v>
      </c>
    </row>
    <row r="108" spans="2:26">
      <c r="B108">
        <f t="shared" si="24"/>
        <v>2020</v>
      </c>
      <c r="C108" t="str">
        <f t="shared" si="25"/>
        <v>WIN_ONS</v>
      </c>
      <c r="D108" t="str">
        <f t="shared" si="26"/>
        <v>POM C&amp;E</v>
      </c>
      <c r="E108" s="27">
        <f t="shared" si="27"/>
        <v>240.56887508707831</v>
      </c>
      <c r="F108">
        <f t="shared" si="28"/>
        <v>0.66</v>
      </c>
      <c r="G108">
        <f t="shared" si="30"/>
        <v>2</v>
      </c>
      <c r="H108">
        <f t="shared" si="31"/>
        <v>2</v>
      </c>
      <c r="I108">
        <f t="shared" si="32"/>
        <v>2</v>
      </c>
      <c r="J108" t="str">
        <f t="shared" si="29"/>
        <v>WIN_ONS.POM C&amp;E</v>
      </c>
      <c r="L108" t="s">
        <v>24</v>
      </c>
      <c r="M108" t="str">
        <f t="shared" si="21"/>
        <v>WAS_ELC.NEP C&amp;E</v>
      </c>
      <c r="N108" t="s">
        <v>110</v>
      </c>
      <c r="O108" t="s">
        <v>308</v>
      </c>
      <c r="P108" s="27">
        <f t="shared" si="34"/>
        <v>253.40399929632227</v>
      </c>
      <c r="Q108" s="27">
        <f t="shared" si="34"/>
        <v>321.78285624929816</v>
      </c>
      <c r="R108" s="27">
        <f t="shared" si="34"/>
        <v>370.05028468669281</v>
      </c>
      <c r="S108" s="27">
        <f t="shared" si="34"/>
        <v>398.20628460850639</v>
      </c>
      <c r="T108" s="27">
        <f t="shared" si="34"/>
        <v>442.45142734278494</v>
      </c>
      <c r="U108" s="27">
        <f t="shared" si="34"/>
        <v>494.74114148329585</v>
      </c>
      <c r="V108" s="27">
        <f t="shared" si="34"/>
        <v>530.94171281134186</v>
      </c>
      <c r="W108" s="27">
        <f t="shared" si="34"/>
        <v>530.94171281134186</v>
      </c>
      <c r="X108" s="27">
        <f t="shared" si="34"/>
        <v>534.96399851445813</v>
      </c>
      <c r="Y108" s="27">
        <f t="shared" si="34"/>
        <v>534.96399851445813</v>
      </c>
      <c r="Z108" s="27">
        <f t="shared" si="34"/>
        <v>534.96399851445813</v>
      </c>
    </row>
    <row r="109" spans="2:26">
      <c r="B109">
        <f t="shared" si="24"/>
        <v>2025</v>
      </c>
      <c r="C109" t="str">
        <f t="shared" si="25"/>
        <v>WIN_ONS</v>
      </c>
      <c r="D109" t="str">
        <f t="shared" si="26"/>
        <v>POM C&amp;E</v>
      </c>
      <c r="E109" s="27">
        <f t="shared" si="27"/>
        <v>432.4807743733229</v>
      </c>
      <c r="F109">
        <f t="shared" si="28"/>
        <v>0.99</v>
      </c>
      <c r="G109">
        <f t="shared" si="30"/>
        <v>3</v>
      </c>
      <c r="H109">
        <f t="shared" si="31"/>
        <v>2</v>
      </c>
      <c r="I109">
        <f t="shared" si="32"/>
        <v>2</v>
      </c>
      <c r="J109" t="str">
        <f t="shared" si="29"/>
        <v>WIN_ONS.POM C&amp;E</v>
      </c>
      <c r="L109" t="s">
        <v>24</v>
      </c>
      <c r="M109" t="str">
        <f t="shared" si="21"/>
        <v>WAS_ELC.NEP E</v>
      </c>
      <c r="N109" t="s">
        <v>110</v>
      </c>
      <c r="O109" t="s">
        <v>309</v>
      </c>
      <c r="P109" s="27">
        <f t="shared" si="34"/>
        <v>253.40399929632227</v>
      </c>
      <c r="Q109" s="27">
        <f t="shared" si="34"/>
        <v>321.78285624929816</v>
      </c>
      <c r="R109" s="27">
        <f t="shared" si="34"/>
        <v>370.05028468669281</v>
      </c>
      <c r="S109" s="27">
        <f t="shared" si="34"/>
        <v>398.20628460850639</v>
      </c>
      <c r="T109" s="27">
        <f t="shared" si="34"/>
        <v>442.45142734278494</v>
      </c>
      <c r="U109" s="27">
        <f t="shared" si="34"/>
        <v>494.74114148329585</v>
      </c>
      <c r="V109" s="27">
        <f t="shared" si="34"/>
        <v>530.94171281134186</v>
      </c>
      <c r="W109" s="27">
        <f t="shared" si="34"/>
        <v>530.94171281134186</v>
      </c>
      <c r="X109" s="27">
        <f t="shared" si="34"/>
        <v>534.96399851445813</v>
      </c>
      <c r="Y109" s="27">
        <f t="shared" si="34"/>
        <v>534.96399851445813</v>
      </c>
      <c r="Z109" s="27">
        <f t="shared" si="34"/>
        <v>534.96399851445813</v>
      </c>
    </row>
    <row r="110" spans="2:26">
      <c r="B110">
        <f t="shared" si="24"/>
        <v>2030</v>
      </c>
      <c r="C110" t="str">
        <f t="shared" si="25"/>
        <v>WIN_ONS</v>
      </c>
      <c r="D110" t="str">
        <f t="shared" si="26"/>
        <v>POM C&amp;E</v>
      </c>
      <c r="E110" s="27">
        <f t="shared" si="27"/>
        <v>705.80984305373192</v>
      </c>
      <c r="F110">
        <f t="shared" si="28"/>
        <v>1.46</v>
      </c>
      <c r="G110">
        <f t="shared" si="30"/>
        <v>4</v>
      </c>
      <c r="H110">
        <f t="shared" si="31"/>
        <v>2</v>
      </c>
      <c r="I110">
        <f t="shared" si="32"/>
        <v>2</v>
      </c>
      <c r="J110" t="str">
        <f t="shared" si="29"/>
        <v>WIN_ONS.POM C&amp;E</v>
      </c>
      <c r="L110" t="s">
        <v>11</v>
      </c>
      <c r="M110" t="str">
        <f t="shared" si="21"/>
        <v>BAL_ELC.NEP C</v>
      </c>
      <c r="N110" t="s">
        <v>55</v>
      </c>
      <c r="O110" t="s">
        <v>307</v>
      </c>
      <c r="P110" s="27">
        <f t="shared" si="34"/>
        <v>32.442684123233875</v>
      </c>
      <c r="Q110" s="27">
        <f t="shared" si="34"/>
        <v>38.931220947880647</v>
      </c>
      <c r="R110" s="27">
        <f t="shared" si="34"/>
        <v>73.536750679330126</v>
      </c>
      <c r="S110" s="27">
        <f t="shared" si="34"/>
        <v>123.28219966828871</v>
      </c>
      <c r="T110" s="27">
        <f t="shared" si="34"/>
        <v>181.6790310901097</v>
      </c>
      <c r="U110" s="27">
        <f t="shared" si="34"/>
        <v>253.05293616122421</v>
      </c>
      <c r="V110" s="27">
        <f t="shared" si="34"/>
        <v>311.44976758304517</v>
      </c>
      <c r="W110" s="27">
        <f t="shared" si="34"/>
        <v>313.61261319126083</v>
      </c>
      <c r="X110" s="27">
        <f t="shared" si="34"/>
        <v>320.10115001590759</v>
      </c>
      <c r="Y110" s="27">
        <f t="shared" si="34"/>
        <v>326.58968684055435</v>
      </c>
      <c r="Z110" s="27">
        <f t="shared" si="34"/>
        <v>326.58968684055435</v>
      </c>
    </row>
    <row r="111" spans="2:26">
      <c r="B111">
        <f t="shared" si="24"/>
        <v>2035</v>
      </c>
      <c r="C111" t="str">
        <f t="shared" si="25"/>
        <v>WIN_ONS</v>
      </c>
      <c r="D111" t="str">
        <f t="shared" si="26"/>
        <v>POM C&amp;E</v>
      </c>
      <c r="E111" s="27">
        <f t="shared" si="27"/>
        <v>880.27520604122697</v>
      </c>
      <c r="F111">
        <f t="shared" si="28"/>
        <v>1.76</v>
      </c>
      <c r="G111">
        <f t="shared" si="30"/>
        <v>5</v>
      </c>
      <c r="H111">
        <f t="shared" si="31"/>
        <v>2</v>
      </c>
      <c r="I111">
        <f t="shared" si="32"/>
        <v>2</v>
      </c>
      <c r="J111" t="str">
        <f t="shared" si="29"/>
        <v>WIN_ONS.POM C&amp;E</v>
      </c>
      <c r="L111" t="s">
        <v>11</v>
      </c>
      <c r="M111" t="str">
        <f t="shared" si="21"/>
        <v>BAL_ELC.NEP C&amp;E</v>
      </c>
      <c r="N111" t="s">
        <v>55</v>
      </c>
      <c r="O111" t="s">
        <v>308</v>
      </c>
      <c r="P111" s="27">
        <f t="shared" si="34"/>
        <v>32.442684123233875</v>
      </c>
      <c r="Q111" s="27">
        <f t="shared" si="34"/>
        <v>38.931220947880647</v>
      </c>
      <c r="R111" s="27">
        <f t="shared" si="34"/>
        <v>73.536750679330126</v>
      </c>
      <c r="S111" s="27">
        <f t="shared" si="34"/>
        <v>140.58496453401347</v>
      </c>
      <c r="T111" s="27">
        <f t="shared" si="34"/>
        <v>263.86716420230221</v>
      </c>
      <c r="U111" s="27">
        <f t="shared" si="34"/>
        <v>447.70904090062754</v>
      </c>
      <c r="V111" s="27">
        <f t="shared" si="34"/>
        <v>599.10823347571886</v>
      </c>
      <c r="W111" s="27">
        <f t="shared" si="34"/>
        <v>644.52799124824639</v>
      </c>
      <c r="X111" s="27">
        <f t="shared" si="34"/>
        <v>663.99360172218667</v>
      </c>
      <c r="Y111" s="27">
        <f t="shared" si="34"/>
        <v>672.64498415504909</v>
      </c>
      <c r="Z111" s="27">
        <f t="shared" si="34"/>
        <v>674.80782976326464</v>
      </c>
    </row>
    <row r="112" spans="2:26">
      <c r="B112">
        <f t="shared" si="24"/>
        <v>2040</v>
      </c>
      <c r="C112" t="str">
        <f t="shared" si="25"/>
        <v>WIN_ONS</v>
      </c>
      <c r="D112" t="str">
        <f t="shared" si="26"/>
        <v>POM C&amp;E</v>
      </c>
      <c r="E112" s="27">
        <f t="shared" si="27"/>
        <v>1362.9627103066302</v>
      </c>
      <c r="F112">
        <f t="shared" si="28"/>
        <v>2.59</v>
      </c>
      <c r="G112">
        <f t="shared" si="30"/>
        <v>6</v>
      </c>
      <c r="H112">
        <f t="shared" si="31"/>
        <v>2</v>
      </c>
      <c r="I112">
        <f t="shared" si="32"/>
        <v>2</v>
      </c>
      <c r="J112" t="str">
        <f t="shared" si="29"/>
        <v>WIN_ONS.POM C&amp;E</v>
      </c>
      <c r="L112" t="s">
        <v>11</v>
      </c>
      <c r="M112" t="str">
        <f t="shared" si="21"/>
        <v>BAL_ELC.NEP E</v>
      </c>
      <c r="N112" t="s">
        <v>55</v>
      </c>
      <c r="O112" t="s">
        <v>309</v>
      </c>
      <c r="P112" s="27">
        <f t="shared" si="34"/>
        <v>32.442684123233875</v>
      </c>
      <c r="Q112" s="27">
        <f t="shared" si="34"/>
        <v>38.931220947880647</v>
      </c>
      <c r="R112" s="27">
        <f t="shared" si="34"/>
        <v>73.536750679330126</v>
      </c>
      <c r="S112" s="27">
        <f t="shared" si="34"/>
        <v>140.58496453401347</v>
      </c>
      <c r="T112" s="27">
        <f t="shared" si="34"/>
        <v>263.86716420230221</v>
      </c>
      <c r="U112" s="27">
        <f t="shared" si="34"/>
        <v>447.70904090062754</v>
      </c>
      <c r="V112" s="27">
        <f t="shared" si="34"/>
        <v>599.10823347571886</v>
      </c>
      <c r="W112" s="27">
        <f t="shared" si="34"/>
        <v>644.52799124824639</v>
      </c>
      <c r="X112" s="27">
        <f t="shared" si="34"/>
        <v>663.99360172218667</v>
      </c>
      <c r="Y112" s="27">
        <f t="shared" si="34"/>
        <v>672.64498415504909</v>
      </c>
      <c r="Z112" s="27">
        <f t="shared" si="34"/>
        <v>674.80782976326464</v>
      </c>
    </row>
    <row r="113" spans="2:28">
      <c r="B113">
        <f t="shared" si="24"/>
        <v>2045</v>
      </c>
      <c r="C113" t="str">
        <f t="shared" si="25"/>
        <v>WIN_ONS</v>
      </c>
      <c r="D113" t="str">
        <f t="shared" si="26"/>
        <v>POM C&amp;E</v>
      </c>
      <c r="E113" s="27">
        <f t="shared" si="27"/>
        <v>1851.4657266716167</v>
      </c>
      <c r="F113">
        <f t="shared" si="28"/>
        <v>3.43</v>
      </c>
      <c r="G113">
        <f t="shared" si="30"/>
        <v>7</v>
      </c>
      <c r="H113">
        <f t="shared" si="31"/>
        <v>2</v>
      </c>
      <c r="I113">
        <f t="shared" si="32"/>
        <v>2</v>
      </c>
      <c r="J113" t="str">
        <f t="shared" si="29"/>
        <v>WIN_ONS.POM C&amp;E</v>
      </c>
      <c r="L113" t="s">
        <v>23</v>
      </c>
      <c r="M113" t="str">
        <f t="shared" si="21"/>
        <v>GEO_ELC.NEP C</v>
      </c>
      <c r="N113" t="s">
        <v>65</v>
      </c>
      <c r="O113" t="s">
        <v>307</v>
      </c>
      <c r="P113" s="27">
        <f t="shared" si="34"/>
        <v>0</v>
      </c>
      <c r="Q113" s="27">
        <f t="shared" si="34"/>
        <v>0</v>
      </c>
      <c r="R113" s="27">
        <f t="shared" si="34"/>
        <v>0</v>
      </c>
      <c r="S113" s="27">
        <f t="shared" si="34"/>
        <v>3.8051750380517504</v>
      </c>
      <c r="T113" s="27">
        <f t="shared" si="34"/>
        <v>12.683916793505835</v>
      </c>
      <c r="U113" s="27">
        <f t="shared" si="34"/>
        <v>25.36783358701167</v>
      </c>
      <c r="V113" s="27">
        <f t="shared" si="34"/>
        <v>41.856925418569254</v>
      </c>
      <c r="W113" s="27">
        <f t="shared" si="34"/>
        <v>49.467275494672755</v>
      </c>
      <c r="X113" s="27">
        <f t="shared" si="34"/>
        <v>49.467275494672755</v>
      </c>
      <c r="Y113" s="27">
        <f t="shared" si="34"/>
        <v>53.272450532724505</v>
      </c>
      <c r="Z113" s="27">
        <f t="shared" si="34"/>
        <v>53.272450532724505</v>
      </c>
    </row>
    <row r="114" spans="2:28">
      <c r="B114">
        <f t="shared" si="24"/>
        <v>2050</v>
      </c>
      <c r="C114" t="str">
        <f t="shared" si="25"/>
        <v>WIN_ONS</v>
      </c>
      <c r="D114" t="str">
        <f t="shared" si="26"/>
        <v>POM C&amp;E</v>
      </c>
      <c r="E114" s="27">
        <f t="shared" si="27"/>
        <v>2334.15323093702</v>
      </c>
      <c r="F114">
        <f t="shared" si="28"/>
        <v>4.26</v>
      </c>
      <c r="G114">
        <f t="shared" si="30"/>
        <v>8</v>
      </c>
      <c r="H114">
        <f t="shared" si="31"/>
        <v>2</v>
      </c>
      <c r="I114">
        <f t="shared" si="32"/>
        <v>2</v>
      </c>
      <c r="J114" t="str">
        <f t="shared" si="29"/>
        <v>WIN_ONS.POM C&amp;E</v>
      </c>
      <c r="L114" t="s">
        <v>23</v>
      </c>
      <c r="M114" t="str">
        <f t="shared" si="21"/>
        <v>GEO_ELC.NEP C&amp;E</v>
      </c>
      <c r="N114" t="s">
        <v>65</v>
      </c>
      <c r="O114" t="s">
        <v>308</v>
      </c>
      <c r="P114" s="27">
        <f t="shared" si="34"/>
        <v>0</v>
      </c>
      <c r="Q114" s="27">
        <f t="shared" si="34"/>
        <v>0</v>
      </c>
      <c r="R114" s="27">
        <f t="shared" si="34"/>
        <v>0</v>
      </c>
      <c r="S114" s="27">
        <f t="shared" si="34"/>
        <v>12.683916793505835</v>
      </c>
      <c r="T114" s="27">
        <f t="shared" si="34"/>
        <v>25.36783358701167</v>
      </c>
      <c r="U114" s="27">
        <f t="shared" si="34"/>
        <v>49.467275494672755</v>
      </c>
      <c r="V114" s="27">
        <f t="shared" si="34"/>
        <v>98.93455098934551</v>
      </c>
      <c r="W114" s="27">
        <f t="shared" si="34"/>
        <v>181.38001014713345</v>
      </c>
      <c r="X114" s="27">
        <f t="shared" si="34"/>
        <v>305.68239472349063</v>
      </c>
      <c r="Y114" s="27">
        <f t="shared" si="34"/>
        <v>441.40030441400307</v>
      </c>
      <c r="Z114" s="27">
        <f t="shared" si="34"/>
        <v>556.82394723490609</v>
      </c>
    </row>
    <row r="115" spans="2:28">
      <c r="B115">
        <f t="shared" ref="B115:B138" si="35">INDEX(G$4:G$17,G115)</f>
        <v>2015</v>
      </c>
      <c r="C115" t="str">
        <f t="shared" ref="C115:C138" si="36">INDEX(H$4:H$17,H115)</f>
        <v>WAS_ELC</v>
      </c>
      <c r="D115" t="str">
        <f t="shared" ref="D115:D138" si="37">INDEX(I$4:I$17,I115)</f>
        <v>POM C&amp;E</v>
      </c>
      <c r="E115" s="27">
        <f t="shared" ref="E115:E138" si="38">INDEX($S$20:$Z$64,MATCH(J115,$M$20:$M$64,0),MATCH(B115,$S$19:$Z$19,0))</f>
        <v>439.268492108766</v>
      </c>
      <c r="F115">
        <f t="shared" ref="F115:F138" si="39">INDEX(P$127:Z$204,MATCH(J115,AB$127:AB$204,0),MATCH(B115,P$126:Z$126,0))</f>
        <v>1.98</v>
      </c>
      <c r="G115">
        <f t="shared" si="30"/>
        <v>1</v>
      </c>
      <c r="H115">
        <f t="shared" si="31"/>
        <v>3</v>
      </c>
      <c r="I115">
        <f t="shared" si="32"/>
        <v>2</v>
      </c>
      <c r="J115" t="str">
        <f t="shared" si="29"/>
        <v>WAS_ELC.POM C&amp;E</v>
      </c>
      <c r="L115" t="s">
        <v>23</v>
      </c>
      <c r="M115" t="str">
        <f t="shared" si="21"/>
        <v>GEO_ELC.NEP E</v>
      </c>
      <c r="N115" t="s">
        <v>65</v>
      </c>
      <c r="O115" t="s">
        <v>309</v>
      </c>
      <c r="P115" s="27">
        <f t="shared" si="34"/>
        <v>0</v>
      </c>
      <c r="Q115" s="27">
        <f t="shared" si="34"/>
        <v>0</v>
      </c>
      <c r="R115" s="27">
        <f t="shared" si="34"/>
        <v>0</v>
      </c>
      <c r="S115" s="27">
        <f t="shared" si="34"/>
        <v>12.683916793505835</v>
      </c>
      <c r="T115" s="27">
        <f t="shared" si="34"/>
        <v>25.36783358701167</v>
      </c>
      <c r="U115" s="27">
        <f t="shared" si="34"/>
        <v>49.467275494672755</v>
      </c>
      <c r="V115" s="27">
        <f t="shared" si="34"/>
        <v>98.93455098934551</v>
      </c>
      <c r="W115" s="27">
        <f t="shared" si="34"/>
        <v>181.38001014713345</v>
      </c>
      <c r="X115" s="27">
        <f t="shared" si="34"/>
        <v>305.68239472349063</v>
      </c>
      <c r="Y115" s="27">
        <f t="shared" si="34"/>
        <v>441.40030441400307</v>
      </c>
      <c r="Z115" s="27">
        <f t="shared" si="34"/>
        <v>556.82394723490609</v>
      </c>
    </row>
    <row r="116" spans="2:28">
      <c r="B116">
        <f t="shared" si="35"/>
        <v>2020</v>
      </c>
      <c r="C116" t="str">
        <f t="shared" si="36"/>
        <v>WAS_ELC</v>
      </c>
      <c r="D116" t="str">
        <f t="shared" si="37"/>
        <v>POM C&amp;E</v>
      </c>
      <c r="E116" s="27">
        <f t="shared" si="38"/>
        <v>470.22880300472525</v>
      </c>
      <c r="F116">
        <f t="shared" si="39"/>
        <v>2.2000000000000002</v>
      </c>
      <c r="G116">
        <f t="shared" si="30"/>
        <v>2</v>
      </c>
      <c r="H116">
        <f t="shared" si="31"/>
        <v>3</v>
      </c>
      <c r="I116">
        <f t="shared" si="32"/>
        <v>2</v>
      </c>
      <c r="J116" t="str">
        <f t="shared" si="29"/>
        <v>WAS_ELC.POM C&amp;E</v>
      </c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2:28">
      <c r="B117">
        <f t="shared" si="35"/>
        <v>2025</v>
      </c>
      <c r="C117" t="str">
        <f t="shared" si="36"/>
        <v>WAS_ELC</v>
      </c>
      <c r="D117" t="str">
        <f t="shared" si="37"/>
        <v>POM C&amp;E</v>
      </c>
      <c r="E117" s="27">
        <f t="shared" si="38"/>
        <v>506.81826133631336</v>
      </c>
      <c r="F117">
        <f t="shared" si="39"/>
        <v>2.46</v>
      </c>
      <c r="G117">
        <f t="shared" si="30"/>
        <v>3</v>
      </c>
      <c r="H117">
        <f t="shared" si="31"/>
        <v>3</v>
      </c>
      <c r="I117">
        <f t="shared" si="32"/>
        <v>2</v>
      </c>
      <c r="J117" t="str">
        <f t="shared" si="29"/>
        <v>WAS_ELC.POM C&amp;E</v>
      </c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2:28">
      <c r="B118">
        <f t="shared" si="35"/>
        <v>2030</v>
      </c>
      <c r="C118" t="str">
        <f t="shared" si="36"/>
        <v>WAS_ELC</v>
      </c>
      <c r="D118" t="str">
        <f t="shared" si="37"/>
        <v>POM C&amp;E</v>
      </c>
      <c r="E118" s="27">
        <f t="shared" si="38"/>
        <v>532.14942479664364</v>
      </c>
      <c r="F118">
        <f t="shared" si="39"/>
        <v>2.64</v>
      </c>
      <c r="G118">
        <f t="shared" si="30"/>
        <v>4</v>
      </c>
      <c r="H118">
        <f t="shared" si="31"/>
        <v>3</v>
      </c>
      <c r="I118">
        <f t="shared" si="32"/>
        <v>2</v>
      </c>
      <c r="J118" t="str">
        <f t="shared" si="29"/>
        <v>WAS_ELC.POM C&amp;E</v>
      </c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2:28">
      <c r="B119">
        <f t="shared" si="35"/>
        <v>2035</v>
      </c>
      <c r="C119" t="str">
        <f t="shared" si="36"/>
        <v>WAS_ELC</v>
      </c>
      <c r="D119" t="str">
        <f t="shared" si="37"/>
        <v>POM C&amp;E</v>
      </c>
      <c r="E119" s="27">
        <f t="shared" si="38"/>
        <v>532.14942479664364</v>
      </c>
      <c r="F119">
        <f t="shared" si="39"/>
        <v>2.64</v>
      </c>
      <c r="G119">
        <f t="shared" si="30"/>
        <v>5</v>
      </c>
      <c r="H119">
        <f t="shared" si="31"/>
        <v>3</v>
      </c>
      <c r="I119">
        <f t="shared" si="32"/>
        <v>2</v>
      </c>
      <c r="J119" t="str">
        <f t="shared" si="29"/>
        <v>WAS_ELC.POM C&amp;E</v>
      </c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8">
      <c r="B120">
        <f t="shared" si="35"/>
        <v>2040</v>
      </c>
      <c r="C120" t="str">
        <f t="shared" si="36"/>
        <v>WAS_ELC</v>
      </c>
      <c r="D120" t="str">
        <f t="shared" si="37"/>
        <v>POM C&amp;E</v>
      </c>
      <c r="E120" s="27">
        <f t="shared" si="38"/>
        <v>534.96399851445813</v>
      </c>
      <c r="F120">
        <f t="shared" si="39"/>
        <v>2.66</v>
      </c>
      <c r="G120">
        <f t="shared" si="30"/>
        <v>6</v>
      </c>
      <c r="H120">
        <f t="shared" si="31"/>
        <v>3</v>
      </c>
      <c r="I120">
        <f t="shared" si="32"/>
        <v>2</v>
      </c>
      <c r="J120" t="str">
        <f t="shared" si="29"/>
        <v>WAS_ELC.POM C&amp;E</v>
      </c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2:28">
      <c r="B121">
        <f t="shared" si="35"/>
        <v>2045</v>
      </c>
      <c r="C121" t="str">
        <f t="shared" si="36"/>
        <v>WAS_ELC</v>
      </c>
      <c r="D121" t="str">
        <f t="shared" si="37"/>
        <v>POM C&amp;E</v>
      </c>
      <c r="E121" s="27">
        <f t="shared" si="38"/>
        <v>534.96399851445813</v>
      </c>
      <c r="F121">
        <f t="shared" si="39"/>
        <v>2.66</v>
      </c>
      <c r="G121">
        <f t="shared" si="30"/>
        <v>7</v>
      </c>
      <c r="H121">
        <f t="shared" si="31"/>
        <v>3</v>
      </c>
      <c r="I121">
        <f t="shared" si="32"/>
        <v>2</v>
      </c>
      <c r="J121" t="str">
        <f t="shared" si="29"/>
        <v>WAS_ELC.POM C&amp;E</v>
      </c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2:28">
      <c r="B122">
        <f t="shared" si="35"/>
        <v>2050</v>
      </c>
      <c r="C122" t="str">
        <f t="shared" si="36"/>
        <v>WAS_ELC</v>
      </c>
      <c r="D122" t="str">
        <f t="shared" si="37"/>
        <v>POM C&amp;E</v>
      </c>
      <c r="E122" s="27">
        <f t="shared" si="38"/>
        <v>534.96399851445813</v>
      </c>
      <c r="F122">
        <f t="shared" si="39"/>
        <v>2.66</v>
      </c>
      <c r="G122">
        <f t="shared" si="30"/>
        <v>8</v>
      </c>
      <c r="H122">
        <f t="shared" si="31"/>
        <v>3</v>
      </c>
      <c r="I122">
        <f t="shared" si="32"/>
        <v>2</v>
      </c>
      <c r="J122" t="str">
        <f t="shared" si="29"/>
        <v>WAS_ELC.POM C&amp;E</v>
      </c>
    </row>
    <row r="123" spans="2:28">
      <c r="B123">
        <f t="shared" si="35"/>
        <v>2015</v>
      </c>
      <c r="C123" t="str">
        <f t="shared" si="36"/>
        <v>BAL_ELC</v>
      </c>
      <c r="D123" t="str">
        <f t="shared" si="37"/>
        <v>POM C&amp;E</v>
      </c>
      <c r="E123" s="27">
        <f t="shared" si="38"/>
        <v>46.2</v>
      </c>
      <c r="F123">
        <f t="shared" si="39"/>
        <v>0.65</v>
      </c>
      <c r="G123">
        <f t="shared" si="30"/>
        <v>1</v>
      </c>
      <c r="H123">
        <f t="shared" si="31"/>
        <v>4</v>
      </c>
      <c r="I123">
        <f t="shared" si="32"/>
        <v>2</v>
      </c>
      <c r="J123" t="str">
        <f t="shared" si="29"/>
        <v>BAL_ELC.POM C&amp;E</v>
      </c>
    </row>
    <row r="124" spans="2:28">
      <c r="B124">
        <f t="shared" si="35"/>
        <v>2020</v>
      </c>
      <c r="C124" t="str">
        <f t="shared" si="36"/>
        <v>BAL_ELC</v>
      </c>
      <c r="D124" t="str">
        <f t="shared" si="37"/>
        <v>POM C&amp;E</v>
      </c>
      <c r="E124" s="27">
        <f t="shared" si="38"/>
        <v>191.26334532998413</v>
      </c>
      <c r="F124">
        <f t="shared" si="39"/>
        <v>1.22</v>
      </c>
      <c r="G124">
        <f t="shared" si="30"/>
        <v>2</v>
      </c>
      <c r="H124">
        <f t="shared" si="31"/>
        <v>4</v>
      </c>
      <c r="I124">
        <f t="shared" si="32"/>
        <v>2</v>
      </c>
      <c r="J124" t="str">
        <f t="shared" si="29"/>
        <v>BAL_ELC.POM C&amp;E</v>
      </c>
    </row>
    <row r="125" spans="2:28">
      <c r="B125">
        <f t="shared" si="35"/>
        <v>2025</v>
      </c>
      <c r="C125" t="str">
        <f t="shared" si="36"/>
        <v>BAL_ELC</v>
      </c>
      <c r="D125" t="str">
        <f t="shared" si="37"/>
        <v>POM C&amp;E</v>
      </c>
      <c r="E125" s="27">
        <f t="shared" si="38"/>
        <v>407.58587783960968</v>
      </c>
      <c r="F125">
        <f t="shared" si="39"/>
        <v>2.0700000000000003</v>
      </c>
      <c r="G125">
        <f t="shared" si="30"/>
        <v>3</v>
      </c>
      <c r="H125">
        <f t="shared" si="31"/>
        <v>4</v>
      </c>
      <c r="I125">
        <f t="shared" si="32"/>
        <v>2</v>
      </c>
      <c r="J125" t="str">
        <f t="shared" si="29"/>
        <v>BAL_ELC.POM C&amp;E</v>
      </c>
    </row>
    <row r="126" spans="2:28" ht="15">
      <c r="B126">
        <f t="shared" si="35"/>
        <v>2030</v>
      </c>
      <c r="C126" t="str">
        <f t="shared" si="36"/>
        <v>BAL_ELC</v>
      </c>
      <c r="D126" t="str">
        <f t="shared" si="37"/>
        <v>POM C&amp;E</v>
      </c>
      <c r="E126" s="27">
        <f t="shared" si="38"/>
        <v>585.73384578871287</v>
      </c>
      <c r="F126">
        <f t="shared" si="39"/>
        <v>2.77</v>
      </c>
      <c r="G126">
        <f t="shared" si="30"/>
        <v>4</v>
      </c>
      <c r="H126">
        <f t="shared" si="31"/>
        <v>4</v>
      </c>
      <c r="I126">
        <f t="shared" si="32"/>
        <v>2</v>
      </c>
      <c r="J126" t="str">
        <f t="shared" si="29"/>
        <v>BAL_ELC.POM C&amp;E</v>
      </c>
      <c r="O126" s="126" t="s">
        <v>37</v>
      </c>
      <c r="P126">
        <v>2000</v>
      </c>
      <c r="Q126">
        <v>2005</v>
      </c>
      <c r="R126">
        <v>2010</v>
      </c>
      <c r="S126">
        <v>2015</v>
      </c>
      <c r="T126">
        <v>2020</v>
      </c>
      <c r="U126">
        <v>2025</v>
      </c>
      <c r="V126">
        <v>2030</v>
      </c>
      <c r="W126">
        <v>2035</v>
      </c>
      <c r="X126">
        <v>2040</v>
      </c>
      <c r="Y126">
        <v>2045</v>
      </c>
      <c r="Z126">
        <v>2050</v>
      </c>
    </row>
    <row r="127" spans="2:28">
      <c r="B127">
        <f t="shared" si="35"/>
        <v>2035</v>
      </c>
      <c r="C127" t="str">
        <f t="shared" si="36"/>
        <v>BAL_ELC</v>
      </c>
      <c r="D127" t="str">
        <f t="shared" si="37"/>
        <v>POM C&amp;E</v>
      </c>
      <c r="E127" s="27">
        <f t="shared" si="38"/>
        <v>639.17823617344402</v>
      </c>
      <c r="F127">
        <f t="shared" si="39"/>
        <v>2.98</v>
      </c>
      <c r="G127">
        <f t="shared" si="30"/>
        <v>5</v>
      </c>
      <c r="H127">
        <f t="shared" si="31"/>
        <v>4</v>
      </c>
      <c r="I127">
        <f t="shared" si="32"/>
        <v>2</v>
      </c>
      <c r="J127" t="str">
        <f t="shared" si="29"/>
        <v>BAL_ELC.POM C&amp;E</v>
      </c>
      <c r="L127" s="214" t="s">
        <v>362</v>
      </c>
      <c r="M127" t="s">
        <v>201</v>
      </c>
      <c r="N127" t="s">
        <v>105</v>
      </c>
      <c r="O127" t="s">
        <v>142</v>
      </c>
      <c r="P127">
        <f t="shared" ref="P127:Z134" si="40">SUMIFS(P$212:P$327,$O$212:$O$327,$M127,$N$212:$N$327,$O127)</f>
        <v>0.01</v>
      </c>
      <c r="Q127">
        <f t="shared" si="40"/>
        <v>0.02</v>
      </c>
      <c r="R127">
        <f t="shared" si="40"/>
        <v>0.08</v>
      </c>
      <c r="S127">
        <f t="shared" si="40"/>
        <v>0.21</v>
      </c>
      <c r="T127">
        <f t="shared" si="40"/>
        <v>0.34</v>
      </c>
      <c r="U127">
        <f t="shared" si="40"/>
        <v>0.55000000000000004</v>
      </c>
      <c r="V127">
        <f t="shared" si="40"/>
        <v>0.96</v>
      </c>
      <c r="W127">
        <f t="shared" si="40"/>
        <v>2.52</v>
      </c>
      <c r="X127">
        <f t="shared" si="40"/>
        <v>3.48</v>
      </c>
      <c r="Y127">
        <f t="shared" si="40"/>
        <v>4.7300000000000004</v>
      </c>
      <c r="Z127">
        <f t="shared" si="40"/>
        <v>5.92</v>
      </c>
      <c r="AB127" t="str">
        <f t="shared" ref="AB127:AB192" si="41">N127&amp;"."&amp;O127</f>
        <v>SOL_PHO.POM C</v>
      </c>
    </row>
    <row r="128" spans="2:28">
      <c r="B128">
        <f t="shared" si="35"/>
        <v>2040</v>
      </c>
      <c r="C128" t="str">
        <f t="shared" si="36"/>
        <v>BAL_ELC</v>
      </c>
      <c r="D128" t="str">
        <f t="shared" si="37"/>
        <v>POM C&amp;E</v>
      </c>
      <c r="E128" s="27">
        <f t="shared" si="38"/>
        <v>662.08297490975724</v>
      </c>
      <c r="F128">
        <f t="shared" si="39"/>
        <v>3.0700000000000003</v>
      </c>
      <c r="G128">
        <f t="shared" si="30"/>
        <v>6</v>
      </c>
      <c r="H128">
        <f t="shared" si="31"/>
        <v>4</v>
      </c>
      <c r="I128">
        <f t="shared" si="32"/>
        <v>2</v>
      </c>
      <c r="J128" t="str">
        <f t="shared" si="29"/>
        <v>BAL_ELC.POM C&amp;E</v>
      </c>
      <c r="L128" s="214"/>
      <c r="M128" t="s">
        <v>201</v>
      </c>
      <c r="N128" t="s">
        <v>105</v>
      </c>
      <c r="O128" t="s">
        <v>296</v>
      </c>
      <c r="P128">
        <f t="shared" si="40"/>
        <v>0.01</v>
      </c>
      <c r="Q128">
        <f t="shared" si="40"/>
        <v>0.02</v>
      </c>
      <c r="R128">
        <f t="shared" si="40"/>
        <v>0.08</v>
      </c>
      <c r="S128">
        <f t="shared" si="40"/>
        <v>0.28000000000000003</v>
      </c>
      <c r="T128">
        <f t="shared" si="40"/>
        <v>0.52</v>
      </c>
      <c r="U128">
        <f t="shared" si="40"/>
        <v>0.98</v>
      </c>
      <c r="V128">
        <f t="shared" si="40"/>
        <v>1.91</v>
      </c>
      <c r="W128">
        <f t="shared" si="40"/>
        <v>4.4400000000000004</v>
      </c>
      <c r="X128">
        <f t="shared" si="40"/>
        <v>6.74</v>
      </c>
      <c r="Y128">
        <f t="shared" si="40"/>
        <v>9.23</v>
      </c>
      <c r="Z128">
        <f t="shared" si="40"/>
        <v>11.12</v>
      </c>
      <c r="AB128" t="str">
        <f t="shared" si="41"/>
        <v>SOL_PHO.POM C&amp;E</v>
      </c>
    </row>
    <row r="129" spans="2:28">
      <c r="B129">
        <f t="shared" si="35"/>
        <v>2045</v>
      </c>
      <c r="C129" t="str">
        <f t="shared" si="36"/>
        <v>BAL_ELC</v>
      </c>
      <c r="D129" t="str">
        <f t="shared" si="37"/>
        <v>POM C&amp;E</v>
      </c>
      <c r="E129" s="27">
        <f t="shared" si="38"/>
        <v>672.26285879256318</v>
      </c>
      <c r="F129">
        <f t="shared" si="39"/>
        <v>3.11</v>
      </c>
      <c r="G129">
        <f t="shared" si="30"/>
        <v>7</v>
      </c>
      <c r="H129">
        <f t="shared" si="31"/>
        <v>4</v>
      </c>
      <c r="I129">
        <f t="shared" si="32"/>
        <v>2</v>
      </c>
      <c r="J129" t="str">
        <f t="shared" si="29"/>
        <v>BAL_ELC.POM C&amp;E</v>
      </c>
      <c r="L129" s="214"/>
      <c r="M129" t="s">
        <v>201</v>
      </c>
      <c r="N129" t="s">
        <v>105</v>
      </c>
      <c r="O129" t="s">
        <v>143</v>
      </c>
      <c r="P129">
        <f t="shared" si="40"/>
        <v>0.01</v>
      </c>
      <c r="Q129">
        <f t="shared" si="40"/>
        <v>0.02</v>
      </c>
      <c r="R129">
        <f t="shared" si="40"/>
        <v>0.08</v>
      </c>
      <c r="S129">
        <f t="shared" si="40"/>
        <v>0.28000000000000003</v>
      </c>
      <c r="T129">
        <f t="shared" si="40"/>
        <v>0.52</v>
      </c>
      <c r="U129">
        <f t="shared" si="40"/>
        <v>0.98</v>
      </c>
      <c r="V129">
        <f t="shared" si="40"/>
        <v>1.91</v>
      </c>
      <c r="W129">
        <f t="shared" si="40"/>
        <v>4.4400000000000004</v>
      </c>
      <c r="X129">
        <f t="shared" si="40"/>
        <v>6.74</v>
      </c>
      <c r="Y129">
        <f t="shared" si="40"/>
        <v>9.23</v>
      </c>
      <c r="Z129">
        <f t="shared" si="40"/>
        <v>11.12</v>
      </c>
      <c r="AB129" t="str">
        <f t="shared" si="41"/>
        <v>SOL_PHO.POM E</v>
      </c>
    </row>
    <row r="130" spans="2:28">
      <c r="B130">
        <f t="shared" si="35"/>
        <v>2050</v>
      </c>
      <c r="C130" t="str">
        <f t="shared" si="36"/>
        <v>BAL_ELC</v>
      </c>
      <c r="D130" t="str">
        <f t="shared" si="37"/>
        <v>POM C&amp;E</v>
      </c>
      <c r="E130" s="27">
        <f t="shared" si="38"/>
        <v>674.80782976326464</v>
      </c>
      <c r="F130">
        <f t="shared" si="39"/>
        <v>3.12</v>
      </c>
      <c r="G130">
        <f t="shared" si="30"/>
        <v>8</v>
      </c>
      <c r="H130">
        <f t="shared" si="31"/>
        <v>4</v>
      </c>
      <c r="I130">
        <f t="shared" si="32"/>
        <v>2</v>
      </c>
      <c r="J130" t="str">
        <f t="shared" si="29"/>
        <v>BAL_ELC.POM C&amp;E</v>
      </c>
      <c r="L130" s="214"/>
      <c r="M130" t="s">
        <v>201</v>
      </c>
      <c r="N130" t="s">
        <v>105</v>
      </c>
      <c r="O130" t="s">
        <v>307</v>
      </c>
      <c r="P130">
        <f t="shared" si="40"/>
        <v>0.01</v>
      </c>
      <c r="Q130">
        <f t="shared" si="40"/>
        <v>0.02</v>
      </c>
      <c r="R130">
        <f t="shared" si="40"/>
        <v>0.08</v>
      </c>
      <c r="S130">
        <f t="shared" si="40"/>
        <v>0.21</v>
      </c>
      <c r="T130">
        <f t="shared" si="40"/>
        <v>0.34</v>
      </c>
      <c r="U130">
        <f t="shared" si="40"/>
        <v>0.55000000000000004</v>
      </c>
      <c r="V130">
        <f t="shared" si="40"/>
        <v>0.96</v>
      </c>
      <c r="W130">
        <f t="shared" si="40"/>
        <v>2.52</v>
      </c>
      <c r="X130">
        <f t="shared" si="40"/>
        <v>3.48</v>
      </c>
      <c r="Y130">
        <f t="shared" si="40"/>
        <v>4.7300000000000004</v>
      </c>
      <c r="Z130">
        <f t="shared" si="40"/>
        <v>5.92</v>
      </c>
      <c r="AB130" t="str">
        <f t="shared" si="41"/>
        <v>SOL_PHO.NEP C</v>
      </c>
    </row>
    <row r="131" spans="2:28">
      <c r="B131">
        <f t="shared" si="35"/>
        <v>2015</v>
      </c>
      <c r="C131" t="str">
        <f t="shared" si="36"/>
        <v>GEO_ELC</v>
      </c>
      <c r="D131" t="str">
        <f t="shared" si="37"/>
        <v>POM C&amp;E</v>
      </c>
      <c r="E131" s="27">
        <f t="shared" si="38"/>
        <v>0</v>
      </c>
      <c r="F131">
        <f t="shared" si="39"/>
        <v>0.1</v>
      </c>
      <c r="G131">
        <f t="shared" si="30"/>
        <v>1</v>
      </c>
      <c r="H131">
        <f t="shared" si="31"/>
        <v>5</v>
      </c>
      <c r="I131">
        <f t="shared" si="32"/>
        <v>2</v>
      </c>
      <c r="J131" t="str">
        <f t="shared" si="29"/>
        <v>GEO_ELC.POM C&amp;E</v>
      </c>
      <c r="L131" s="214"/>
      <c r="M131" t="s">
        <v>201</v>
      </c>
      <c r="N131" t="s">
        <v>105</v>
      </c>
      <c r="O131" t="s">
        <v>308</v>
      </c>
      <c r="P131">
        <f t="shared" si="40"/>
        <v>0.01</v>
      </c>
      <c r="Q131">
        <f t="shared" si="40"/>
        <v>0.02</v>
      </c>
      <c r="R131">
        <f t="shared" si="40"/>
        <v>0.08</v>
      </c>
      <c r="S131">
        <f t="shared" si="40"/>
        <v>0.28000000000000003</v>
      </c>
      <c r="T131">
        <f t="shared" si="40"/>
        <v>0.52</v>
      </c>
      <c r="U131">
        <f t="shared" si="40"/>
        <v>0.98</v>
      </c>
      <c r="V131">
        <f t="shared" si="40"/>
        <v>1.91</v>
      </c>
      <c r="W131">
        <f t="shared" si="40"/>
        <v>4.4400000000000004</v>
      </c>
      <c r="X131">
        <f t="shared" si="40"/>
        <v>6.74</v>
      </c>
      <c r="Y131">
        <f t="shared" si="40"/>
        <v>9.23</v>
      </c>
      <c r="Z131">
        <f t="shared" si="40"/>
        <v>11.12</v>
      </c>
      <c r="AB131" t="str">
        <f t="shared" si="41"/>
        <v>SOL_PHO.NEP C&amp;E</v>
      </c>
    </row>
    <row r="132" spans="2:28">
      <c r="B132">
        <f t="shared" si="35"/>
        <v>2020</v>
      </c>
      <c r="C132" t="str">
        <f t="shared" si="36"/>
        <v>GEO_ELC</v>
      </c>
      <c r="D132" t="str">
        <f t="shared" si="37"/>
        <v>POM C&amp;E</v>
      </c>
      <c r="E132" s="27">
        <f t="shared" si="38"/>
        <v>12.979579189624854</v>
      </c>
      <c r="F132">
        <f t="shared" si="39"/>
        <v>0.2</v>
      </c>
      <c r="G132">
        <f t="shared" si="30"/>
        <v>2</v>
      </c>
      <c r="H132">
        <f t="shared" si="31"/>
        <v>5</v>
      </c>
      <c r="I132">
        <f t="shared" si="32"/>
        <v>2</v>
      </c>
      <c r="J132" t="str">
        <f t="shared" si="29"/>
        <v>GEO_ELC.POM C&amp;E</v>
      </c>
      <c r="L132" s="214"/>
      <c r="M132" t="s">
        <v>201</v>
      </c>
      <c r="N132" t="s">
        <v>105</v>
      </c>
      <c r="O132" t="s">
        <v>309</v>
      </c>
      <c r="P132">
        <f t="shared" si="40"/>
        <v>0.01</v>
      </c>
      <c r="Q132">
        <f t="shared" si="40"/>
        <v>0.02</v>
      </c>
      <c r="R132">
        <f t="shared" si="40"/>
        <v>0.08</v>
      </c>
      <c r="S132">
        <f t="shared" si="40"/>
        <v>0.28000000000000003</v>
      </c>
      <c r="T132">
        <f t="shared" si="40"/>
        <v>0.52</v>
      </c>
      <c r="U132">
        <f t="shared" si="40"/>
        <v>0.98</v>
      </c>
      <c r="V132">
        <f t="shared" si="40"/>
        <v>1.91</v>
      </c>
      <c r="W132">
        <f t="shared" si="40"/>
        <v>4.4400000000000004</v>
      </c>
      <c r="X132">
        <f t="shared" si="40"/>
        <v>6.74</v>
      </c>
      <c r="Y132">
        <f t="shared" si="40"/>
        <v>9.23</v>
      </c>
      <c r="Z132">
        <f t="shared" si="40"/>
        <v>11.12</v>
      </c>
      <c r="AB132" t="str">
        <f t="shared" si="41"/>
        <v>SOL_PHO.NEP E</v>
      </c>
    </row>
    <row r="133" spans="2:28">
      <c r="B133">
        <f t="shared" si="35"/>
        <v>2025</v>
      </c>
      <c r="C133" t="str">
        <f t="shared" si="36"/>
        <v>GEO_ELC</v>
      </c>
      <c r="D133" t="str">
        <f t="shared" si="37"/>
        <v>POM C&amp;E</v>
      </c>
      <c r="E133" s="27">
        <f t="shared" si="38"/>
        <v>37.640779649912076</v>
      </c>
      <c r="F133">
        <f t="shared" si="39"/>
        <v>0.39</v>
      </c>
      <c r="G133">
        <f t="shared" si="30"/>
        <v>3</v>
      </c>
      <c r="H133">
        <f t="shared" si="31"/>
        <v>5</v>
      </c>
      <c r="I133">
        <f t="shared" si="32"/>
        <v>2</v>
      </c>
      <c r="J133" t="str">
        <f t="shared" si="29"/>
        <v>GEO_ELC.POM C&amp;E</v>
      </c>
      <c r="L133" s="214"/>
      <c r="M133" t="s">
        <v>201</v>
      </c>
      <c r="N133" t="s">
        <v>105</v>
      </c>
      <c r="O133" t="s">
        <v>310</v>
      </c>
      <c r="P133">
        <f t="shared" si="40"/>
        <v>0.01</v>
      </c>
      <c r="Q133">
        <f t="shared" si="40"/>
        <v>0.02</v>
      </c>
      <c r="R133">
        <f t="shared" si="40"/>
        <v>0.08</v>
      </c>
      <c r="S133">
        <f t="shared" si="40"/>
        <v>0.21</v>
      </c>
      <c r="T133">
        <f t="shared" si="40"/>
        <v>0.34</v>
      </c>
      <c r="U133">
        <f t="shared" si="40"/>
        <v>0.55000000000000004</v>
      </c>
      <c r="V133">
        <f t="shared" si="40"/>
        <v>0.96</v>
      </c>
      <c r="W133">
        <f t="shared" si="40"/>
        <v>2.52</v>
      </c>
      <c r="X133">
        <f t="shared" si="40"/>
        <v>3.48</v>
      </c>
      <c r="Y133">
        <f t="shared" si="40"/>
        <v>4.7300000000000004</v>
      </c>
      <c r="Z133">
        <f t="shared" si="40"/>
        <v>5.92</v>
      </c>
      <c r="AB133" t="str">
        <f t="shared" si="41"/>
        <v>SOL_PHO.WWB C</v>
      </c>
    </row>
    <row r="134" spans="2:28">
      <c r="B134">
        <f t="shared" si="35"/>
        <v>2030</v>
      </c>
      <c r="C134" t="str">
        <f t="shared" si="36"/>
        <v>GEO_ELC</v>
      </c>
      <c r="D134" t="str">
        <f t="shared" si="37"/>
        <v>POM C&amp;E</v>
      </c>
      <c r="E134" s="27">
        <f t="shared" si="38"/>
        <v>88.26113848944901</v>
      </c>
      <c r="F134">
        <f t="shared" si="39"/>
        <v>0.78</v>
      </c>
      <c r="G134">
        <f t="shared" si="30"/>
        <v>4</v>
      </c>
      <c r="H134">
        <f t="shared" si="31"/>
        <v>5</v>
      </c>
      <c r="I134">
        <f t="shared" si="32"/>
        <v>2</v>
      </c>
      <c r="J134" t="str">
        <f t="shared" si="29"/>
        <v>GEO_ELC.POM C&amp;E</v>
      </c>
      <c r="L134" s="214"/>
      <c r="M134" t="s">
        <v>201</v>
      </c>
      <c r="N134" t="s">
        <v>105</v>
      </c>
      <c r="O134" t="s">
        <v>311</v>
      </c>
      <c r="P134">
        <f t="shared" si="40"/>
        <v>0.01</v>
      </c>
      <c r="Q134">
        <f t="shared" si="40"/>
        <v>0.02</v>
      </c>
      <c r="R134">
        <f t="shared" si="40"/>
        <v>0.08</v>
      </c>
      <c r="S134">
        <f t="shared" si="40"/>
        <v>0.28000000000000003</v>
      </c>
      <c r="T134">
        <f t="shared" si="40"/>
        <v>0.52</v>
      </c>
      <c r="U134">
        <f t="shared" si="40"/>
        <v>0.98</v>
      </c>
      <c r="V134">
        <f t="shared" si="40"/>
        <v>1.91</v>
      </c>
      <c r="W134">
        <f t="shared" si="40"/>
        <v>4.4400000000000004</v>
      </c>
      <c r="X134">
        <f t="shared" si="40"/>
        <v>6.74</v>
      </c>
      <c r="Y134">
        <f t="shared" si="40"/>
        <v>9.23</v>
      </c>
      <c r="Z134">
        <f t="shared" si="40"/>
        <v>11.12</v>
      </c>
      <c r="AB134" t="str">
        <f t="shared" si="41"/>
        <v>SOL_PHO.WWB C&amp;E</v>
      </c>
    </row>
    <row r="135" spans="2:28">
      <c r="B135">
        <f t="shared" si="35"/>
        <v>2035</v>
      </c>
      <c r="C135" t="str">
        <f t="shared" si="36"/>
        <v>GEO_ELC</v>
      </c>
      <c r="D135" t="str">
        <f t="shared" si="37"/>
        <v>POM C&amp;E</v>
      </c>
      <c r="E135" s="27">
        <f t="shared" si="38"/>
        <v>172.62840322201058</v>
      </c>
      <c r="F135">
        <f t="shared" si="39"/>
        <v>1.43</v>
      </c>
      <c r="G135">
        <f t="shared" si="30"/>
        <v>5</v>
      </c>
      <c r="H135">
        <f t="shared" si="31"/>
        <v>5</v>
      </c>
      <c r="I135">
        <f t="shared" si="32"/>
        <v>2</v>
      </c>
      <c r="J135" t="str">
        <f t="shared" si="29"/>
        <v>GEO_ELC.POM C&amp;E</v>
      </c>
      <c r="L135" s="214"/>
      <c r="M135" t="s">
        <v>201</v>
      </c>
      <c r="N135" t="s">
        <v>105</v>
      </c>
      <c r="O135" t="s">
        <v>361</v>
      </c>
      <c r="AB135" t="str">
        <f t="shared" si="41"/>
        <v>SOL_PHO.WWB E</v>
      </c>
    </row>
    <row r="136" spans="2:28">
      <c r="B136">
        <f t="shared" si="35"/>
        <v>2040</v>
      </c>
      <c r="C136" t="str">
        <f t="shared" si="36"/>
        <v>GEO_ELC</v>
      </c>
      <c r="D136" t="str">
        <f t="shared" si="37"/>
        <v>POM C&amp;E</v>
      </c>
      <c r="E136" s="27">
        <f t="shared" si="38"/>
        <v>299.82827928033413</v>
      </c>
      <c r="F136">
        <f t="shared" si="39"/>
        <v>2.41</v>
      </c>
      <c r="G136">
        <f t="shared" si="30"/>
        <v>6</v>
      </c>
      <c r="H136">
        <f t="shared" si="31"/>
        <v>5</v>
      </c>
      <c r="I136">
        <f t="shared" si="32"/>
        <v>2</v>
      </c>
      <c r="J136" t="str">
        <f t="shared" si="29"/>
        <v>GEO_ELC.POM C&amp;E</v>
      </c>
      <c r="L136" s="214"/>
      <c r="AB136" t="str">
        <f t="shared" si="41"/>
        <v>.</v>
      </c>
    </row>
    <row r="137" spans="2:28">
      <c r="B137">
        <f t="shared" si="35"/>
        <v>2045</v>
      </c>
      <c r="C137" t="str">
        <f t="shared" si="36"/>
        <v>GEO_ELC</v>
      </c>
      <c r="D137" t="str">
        <f t="shared" si="37"/>
        <v>POM C&amp;E</v>
      </c>
      <c r="E137" s="27">
        <f t="shared" si="38"/>
        <v>438.70977660932004</v>
      </c>
      <c r="F137">
        <f t="shared" si="39"/>
        <v>3.48</v>
      </c>
      <c r="G137">
        <f t="shared" si="30"/>
        <v>7</v>
      </c>
      <c r="H137">
        <f t="shared" si="31"/>
        <v>5</v>
      </c>
      <c r="I137">
        <f t="shared" si="32"/>
        <v>2</v>
      </c>
      <c r="J137" t="str">
        <f t="shared" si="29"/>
        <v>GEO_ELC.POM C&amp;E</v>
      </c>
      <c r="L137" s="214"/>
      <c r="M137" t="s">
        <v>363</v>
      </c>
      <c r="N137" t="s">
        <v>120</v>
      </c>
      <c r="O137" t="s">
        <v>142</v>
      </c>
      <c r="P137">
        <f t="shared" ref="P137:Z144" si="42">SUMIFS(P$212:P$327,$O$212:$O$327,$M137,$N$212:$N$327,$O137)</f>
        <v>0</v>
      </c>
      <c r="Q137">
        <f t="shared" si="42"/>
        <v>0.01</v>
      </c>
      <c r="R137">
        <f t="shared" si="42"/>
        <v>0.04</v>
      </c>
      <c r="S137">
        <f t="shared" si="42"/>
        <v>0.09</v>
      </c>
      <c r="T137">
        <f t="shared" si="42"/>
        <v>0.14000000000000001</v>
      </c>
      <c r="U137">
        <f t="shared" si="42"/>
        <v>0.25</v>
      </c>
      <c r="V137">
        <f t="shared" si="42"/>
        <v>0.56999999999999995</v>
      </c>
      <c r="W137">
        <f t="shared" si="42"/>
        <v>0.77</v>
      </c>
      <c r="X137">
        <f t="shared" si="42"/>
        <v>1.02</v>
      </c>
      <c r="Y137">
        <f t="shared" si="42"/>
        <v>1.25</v>
      </c>
      <c r="Z137">
        <f t="shared" si="42"/>
        <v>1.41</v>
      </c>
      <c r="AB137" t="str">
        <f t="shared" si="41"/>
        <v>WIN_ONS.POM C</v>
      </c>
    </row>
    <row r="138" spans="2:28">
      <c r="B138">
        <f t="shared" si="35"/>
        <v>2050</v>
      </c>
      <c r="C138" t="str">
        <f t="shared" si="36"/>
        <v>GEO_ELC</v>
      </c>
      <c r="D138" t="str">
        <f t="shared" si="37"/>
        <v>POM C&amp;E</v>
      </c>
      <c r="E138" s="27">
        <f t="shared" si="38"/>
        <v>556.82394723490609</v>
      </c>
      <c r="F138">
        <f t="shared" si="39"/>
        <v>4.3899999999999997</v>
      </c>
      <c r="G138">
        <f t="shared" si="30"/>
        <v>8</v>
      </c>
      <c r="H138">
        <f t="shared" si="31"/>
        <v>5</v>
      </c>
      <c r="I138">
        <f t="shared" si="32"/>
        <v>2</v>
      </c>
      <c r="J138" t="str">
        <f t="shared" si="29"/>
        <v>GEO_ELC.POM C&amp;E</v>
      </c>
      <c r="L138" s="214"/>
      <c r="M138" t="s">
        <v>363</v>
      </c>
      <c r="N138" t="s">
        <v>120</v>
      </c>
      <c r="O138" t="s">
        <v>296</v>
      </c>
      <c r="P138">
        <f t="shared" si="42"/>
        <v>0</v>
      </c>
      <c r="Q138">
        <f t="shared" si="42"/>
        <v>0.01</v>
      </c>
      <c r="R138">
        <f t="shared" si="42"/>
        <v>0.04</v>
      </c>
      <c r="S138">
        <f t="shared" si="42"/>
        <v>0.35</v>
      </c>
      <c r="T138">
        <f t="shared" si="42"/>
        <v>0.66</v>
      </c>
      <c r="U138">
        <f t="shared" si="42"/>
        <v>0.99</v>
      </c>
      <c r="V138">
        <f t="shared" si="42"/>
        <v>1.46</v>
      </c>
      <c r="W138">
        <f t="shared" si="42"/>
        <v>1.76</v>
      </c>
      <c r="X138">
        <f t="shared" si="42"/>
        <v>2.59</v>
      </c>
      <c r="Y138">
        <f t="shared" si="42"/>
        <v>3.43</v>
      </c>
      <c r="Z138">
        <f t="shared" si="42"/>
        <v>4.26</v>
      </c>
      <c r="AB138" t="str">
        <f t="shared" si="41"/>
        <v>WIN_ONS.POM C&amp;E</v>
      </c>
    </row>
    <row r="139" spans="2:28">
      <c r="B139">
        <f t="shared" ref="B139:B202" si="43">INDEX(G$4:G$17,G139)</f>
        <v>2015</v>
      </c>
      <c r="C139" t="str">
        <f t="shared" ref="C139:C202" si="44">INDEX(H$4:H$17,H139)</f>
        <v>NUC_ELC</v>
      </c>
      <c r="D139" t="str">
        <f t="shared" ref="D139:D202" si="45">INDEX(I$4:I$17,I139)</f>
        <v>POM C&amp;E</v>
      </c>
      <c r="E139" s="27" t="e">
        <f t="shared" ref="E139:E202" si="46">INDEX($S$20:$Z$64,MATCH(J139,$M$20:$M$64,0),MATCH(B139,$S$19:$Z$19,0))</f>
        <v>#N/A</v>
      </c>
      <c r="F139">
        <f t="shared" ref="F139:F202" si="47">INDEX(P$127:Z$204,MATCH(J139,AB$127:AB$204,0),MATCH(B139,P$126:Z$126,0))</f>
        <v>24.58</v>
      </c>
      <c r="G139">
        <f t="shared" si="30"/>
        <v>1</v>
      </c>
      <c r="H139">
        <f t="shared" ref="H139:H202" si="48">IF(G139=1,IF(H138=$H$3,1,H138+1),H138)</f>
        <v>6</v>
      </c>
      <c r="I139">
        <f t="shared" ref="I139:I202" si="49">IF(AND(H139=1,H138&gt;1),IF(I138=$I$3,1,I138+1),I138)</f>
        <v>2</v>
      </c>
      <c r="J139" t="str">
        <f t="shared" ref="J139:J202" si="50">C139&amp;"."&amp;D139</f>
        <v>NUC_ELC.POM C&amp;E</v>
      </c>
      <c r="L139" s="214"/>
      <c r="M139" t="s">
        <v>363</v>
      </c>
      <c r="N139" t="s">
        <v>120</v>
      </c>
      <c r="O139" t="s">
        <v>143</v>
      </c>
      <c r="P139">
        <f t="shared" si="42"/>
        <v>0</v>
      </c>
      <c r="Q139">
        <f t="shared" si="42"/>
        <v>0.01</v>
      </c>
      <c r="R139">
        <f t="shared" si="42"/>
        <v>0.04</v>
      </c>
      <c r="S139">
        <f t="shared" si="42"/>
        <v>0.35</v>
      </c>
      <c r="T139">
        <f t="shared" si="42"/>
        <v>0.66</v>
      </c>
      <c r="U139">
        <f t="shared" si="42"/>
        <v>0.99</v>
      </c>
      <c r="V139">
        <f t="shared" si="42"/>
        <v>1.46</v>
      </c>
      <c r="W139">
        <f t="shared" si="42"/>
        <v>1.76</v>
      </c>
      <c r="X139">
        <f t="shared" si="42"/>
        <v>2.59</v>
      </c>
      <c r="Y139">
        <f t="shared" si="42"/>
        <v>3.43</v>
      </c>
      <c r="Z139">
        <f t="shared" si="42"/>
        <v>4.26</v>
      </c>
      <c r="AB139" t="str">
        <f t="shared" si="41"/>
        <v>WIN_ONS.POM E</v>
      </c>
    </row>
    <row r="140" spans="2:28">
      <c r="B140">
        <f t="shared" si="43"/>
        <v>2020</v>
      </c>
      <c r="C140" t="str">
        <f t="shared" si="44"/>
        <v>NUC_ELC</v>
      </c>
      <c r="D140" t="str">
        <f t="shared" si="45"/>
        <v>POM C&amp;E</v>
      </c>
      <c r="E140" s="27" t="e">
        <f t="shared" si="46"/>
        <v>#N/A</v>
      </c>
      <c r="F140">
        <f t="shared" si="47"/>
        <v>21.68</v>
      </c>
      <c r="G140">
        <f t="shared" si="30"/>
        <v>2</v>
      </c>
      <c r="H140">
        <f t="shared" si="48"/>
        <v>6</v>
      </c>
      <c r="I140">
        <f t="shared" si="49"/>
        <v>2</v>
      </c>
      <c r="J140" t="str">
        <f t="shared" si="50"/>
        <v>NUC_ELC.POM C&amp;E</v>
      </c>
      <c r="L140" s="214"/>
      <c r="M140" t="s">
        <v>363</v>
      </c>
      <c r="N140" t="s">
        <v>120</v>
      </c>
      <c r="O140" t="s">
        <v>307</v>
      </c>
      <c r="P140">
        <f t="shared" si="42"/>
        <v>0</v>
      </c>
      <c r="Q140">
        <f t="shared" si="42"/>
        <v>0.01</v>
      </c>
      <c r="R140">
        <f t="shared" si="42"/>
        <v>0.04</v>
      </c>
      <c r="S140">
        <f t="shared" si="42"/>
        <v>0.09</v>
      </c>
      <c r="T140">
        <f t="shared" si="42"/>
        <v>0.14000000000000001</v>
      </c>
      <c r="U140">
        <f t="shared" si="42"/>
        <v>0.25</v>
      </c>
      <c r="V140">
        <f t="shared" si="42"/>
        <v>0.56999999999999995</v>
      </c>
      <c r="W140">
        <f t="shared" si="42"/>
        <v>0.77</v>
      </c>
      <c r="X140">
        <f t="shared" si="42"/>
        <v>1.02</v>
      </c>
      <c r="Y140">
        <f t="shared" si="42"/>
        <v>1.25</v>
      </c>
      <c r="Z140">
        <f t="shared" si="42"/>
        <v>1.41</v>
      </c>
      <c r="AB140" t="str">
        <f t="shared" si="41"/>
        <v>WIN_ONS.NEP C</v>
      </c>
    </row>
    <row r="141" spans="2:28">
      <c r="B141">
        <f t="shared" si="43"/>
        <v>2025</v>
      </c>
      <c r="C141" t="str">
        <f t="shared" si="44"/>
        <v>NUC_ELC</v>
      </c>
      <c r="D141" t="str">
        <f t="shared" si="45"/>
        <v>POM C&amp;E</v>
      </c>
      <c r="E141" s="27" t="e">
        <f t="shared" si="46"/>
        <v>#N/A</v>
      </c>
      <c r="F141">
        <f t="shared" si="47"/>
        <v>15.98</v>
      </c>
      <c r="G141">
        <f t="shared" si="30"/>
        <v>3</v>
      </c>
      <c r="H141">
        <f t="shared" si="48"/>
        <v>6</v>
      </c>
      <c r="I141">
        <f t="shared" si="49"/>
        <v>2</v>
      </c>
      <c r="J141" t="str">
        <f t="shared" si="50"/>
        <v>NUC_ELC.POM C&amp;E</v>
      </c>
      <c r="L141" s="214"/>
      <c r="M141" t="s">
        <v>363</v>
      </c>
      <c r="N141" t="s">
        <v>120</v>
      </c>
      <c r="O141" t="s">
        <v>308</v>
      </c>
      <c r="P141">
        <f t="shared" si="42"/>
        <v>0</v>
      </c>
      <c r="Q141">
        <f t="shared" si="42"/>
        <v>0.01</v>
      </c>
      <c r="R141">
        <f t="shared" si="42"/>
        <v>0.04</v>
      </c>
      <c r="S141">
        <f t="shared" si="42"/>
        <v>0.35</v>
      </c>
      <c r="T141">
        <f t="shared" si="42"/>
        <v>0.66</v>
      </c>
      <c r="U141">
        <f t="shared" si="42"/>
        <v>0.99</v>
      </c>
      <c r="V141">
        <f t="shared" si="42"/>
        <v>1.46</v>
      </c>
      <c r="W141">
        <f t="shared" si="42"/>
        <v>1.76</v>
      </c>
      <c r="X141">
        <f t="shared" si="42"/>
        <v>2.59</v>
      </c>
      <c r="Y141">
        <f t="shared" si="42"/>
        <v>3.43</v>
      </c>
      <c r="Z141">
        <f t="shared" si="42"/>
        <v>4.26</v>
      </c>
      <c r="AB141" t="str">
        <f t="shared" si="41"/>
        <v>WIN_ONS.NEP C&amp;E</v>
      </c>
    </row>
    <row r="142" spans="2:28">
      <c r="B142">
        <f t="shared" si="43"/>
        <v>2030</v>
      </c>
      <c r="C142" t="str">
        <f t="shared" si="44"/>
        <v>NUC_ELC</v>
      </c>
      <c r="D142" t="str">
        <f t="shared" si="45"/>
        <v>POM C&amp;E</v>
      </c>
      <c r="E142" s="27" t="e">
        <f t="shared" si="46"/>
        <v>#N/A</v>
      </c>
      <c r="F142">
        <f t="shared" si="47"/>
        <v>8.81</v>
      </c>
      <c r="G142">
        <f t="shared" si="30"/>
        <v>4</v>
      </c>
      <c r="H142">
        <f t="shared" si="48"/>
        <v>6</v>
      </c>
      <c r="I142">
        <f t="shared" si="49"/>
        <v>2</v>
      </c>
      <c r="J142" t="str">
        <f t="shared" si="50"/>
        <v>NUC_ELC.POM C&amp;E</v>
      </c>
      <c r="L142" s="214"/>
      <c r="M142" t="s">
        <v>363</v>
      </c>
      <c r="N142" t="s">
        <v>120</v>
      </c>
      <c r="O142" t="s">
        <v>309</v>
      </c>
      <c r="P142">
        <f t="shared" si="42"/>
        <v>0</v>
      </c>
      <c r="Q142">
        <f t="shared" si="42"/>
        <v>0.01</v>
      </c>
      <c r="R142">
        <f t="shared" si="42"/>
        <v>0.04</v>
      </c>
      <c r="S142">
        <f t="shared" si="42"/>
        <v>0.35</v>
      </c>
      <c r="T142">
        <f t="shared" si="42"/>
        <v>0.66</v>
      </c>
      <c r="U142">
        <f t="shared" si="42"/>
        <v>0.99</v>
      </c>
      <c r="V142">
        <f t="shared" si="42"/>
        <v>1.46</v>
      </c>
      <c r="W142">
        <f t="shared" si="42"/>
        <v>1.76</v>
      </c>
      <c r="X142">
        <f t="shared" si="42"/>
        <v>2.59</v>
      </c>
      <c r="Y142">
        <f t="shared" si="42"/>
        <v>3.43</v>
      </c>
      <c r="Z142">
        <f t="shared" si="42"/>
        <v>4.26</v>
      </c>
      <c r="AB142" t="str">
        <f t="shared" si="41"/>
        <v>WIN_ONS.NEP E</v>
      </c>
    </row>
    <row r="143" spans="2:28">
      <c r="B143">
        <f t="shared" si="43"/>
        <v>2035</v>
      </c>
      <c r="C143" t="str">
        <f t="shared" si="44"/>
        <v>NUC_ELC</v>
      </c>
      <c r="D143" t="str">
        <f t="shared" si="45"/>
        <v>POM C&amp;E</v>
      </c>
      <c r="E143" s="27" t="e">
        <f t="shared" si="46"/>
        <v>#N/A</v>
      </c>
      <c r="F143">
        <f t="shared" si="47"/>
        <v>0</v>
      </c>
      <c r="G143">
        <f t="shared" si="30"/>
        <v>5</v>
      </c>
      <c r="H143">
        <f t="shared" si="48"/>
        <v>6</v>
      </c>
      <c r="I143">
        <f t="shared" si="49"/>
        <v>2</v>
      </c>
      <c r="J143" t="str">
        <f t="shared" si="50"/>
        <v>NUC_ELC.POM C&amp;E</v>
      </c>
      <c r="L143" s="214"/>
      <c r="M143" t="s">
        <v>363</v>
      </c>
      <c r="N143" t="s">
        <v>120</v>
      </c>
      <c r="O143" t="s">
        <v>310</v>
      </c>
      <c r="P143">
        <f t="shared" si="42"/>
        <v>0</v>
      </c>
      <c r="Q143">
        <f t="shared" si="42"/>
        <v>0.01</v>
      </c>
      <c r="R143">
        <f t="shared" si="42"/>
        <v>0.04</v>
      </c>
      <c r="S143">
        <f t="shared" si="42"/>
        <v>0.09</v>
      </c>
      <c r="T143">
        <f t="shared" si="42"/>
        <v>0.14000000000000001</v>
      </c>
      <c r="U143">
        <f t="shared" si="42"/>
        <v>0.25</v>
      </c>
      <c r="V143">
        <f t="shared" si="42"/>
        <v>0.56999999999999995</v>
      </c>
      <c r="W143">
        <f t="shared" si="42"/>
        <v>0.77</v>
      </c>
      <c r="X143">
        <f t="shared" si="42"/>
        <v>1.02</v>
      </c>
      <c r="Y143">
        <f t="shared" si="42"/>
        <v>1.25</v>
      </c>
      <c r="Z143">
        <f t="shared" si="42"/>
        <v>1.41</v>
      </c>
      <c r="AB143" t="str">
        <f t="shared" si="41"/>
        <v>WIN_ONS.WWB C</v>
      </c>
    </row>
    <row r="144" spans="2:28">
      <c r="B144">
        <f t="shared" si="43"/>
        <v>2040</v>
      </c>
      <c r="C144" t="str">
        <f t="shared" si="44"/>
        <v>NUC_ELC</v>
      </c>
      <c r="D144" t="str">
        <f t="shared" si="45"/>
        <v>POM C&amp;E</v>
      </c>
      <c r="E144" s="27" t="e">
        <f t="shared" si="46"/>
        <v>#N/A</v>
      </c>
      <c r="F144">
        <f t="shared" si="47"/>
        <v>0</v>
      </c>
      <c r="G144">
        <f t="shared" si="30"/>
        <v>6</v>
      </c>
      <c r="H144">
        <f t="shared" si="48"/>
        <v>6</v>
      </c>
      <c r="I144">
        <f t="shared" si="49"/>
        <v>2</v>
      </c>
      <c r="J144" t="str">
        <f t="shared" si="50"/>
        <v>NUC_ELC.POM C&amp;E</v>
      </c>
      <c r="L144" s="214"/>
      <c r="M144" t="s">
        <v>363</v>
      </c>
      <c r="N144" t="s">
        <v>120</v>
      </c>
      <c r="O144" t="s">
        <v>311</v>
      </c>
      <c r="P144">
        <f t="shared" si="42"/>
        <v>0</v>
      </c>
      <c r="Q144">
        <f t="shared" si="42"/>
        <v>0.01</v>
      </c>
      <c r="R144">
        <f t="shared" si="42"/>
        <v>0.04</v>
      </c>
      <c r="S144">
        <f t="shared" si="42"/>
        <v>0.35</v>
      </c>
      <c r="T144">
        <f t="shared" si="42"/>
        <v>0.66</v>
      </c>
      <c r="U144">
        <f t="shared" si="42"/>
        <v>0.99</v>
      </c>
      <c r="V144">
        <f t="shared" si="42"/>
        <v>1.46</v>
      </c>
      <c r="W144">
        <f t="shared" si="42"/>
        <v>1.76</v>
      </c>
      <c r="X144">
        <f t="shared" si="42"/>
        <v>2.59</v>
      </c>
      <c r="Y144">
        <f t="shared" si="42"/>
        <v>3.43</v>
      </c>
      <c r="Z144">
        <f t="shared" si="42"/>
        <v>4.26</v>
      </c>
      <c r="AB144" t="str">
        <f t="shared" si="41"/>
        <v>WIN_ONS.WWB C&amp;E</v>
      </c>
    </row>
    <row r="145" spans="2:28">
      <c r="B145">
        <f t="shared" si="43"/>
        <v>2045</v>
      </c>
      <c r="C145" t="str">
        <f t="shared" si="44"/>
        <v>NUC_ELC</v>
      </c>
      <c r="D145" t="str">
        <f t="shared" si="45"/>
        <v>POM C&amp;E</v>
      </c>
      <c r="E145" s="27" t="e">
        <f t="shared" si="46"/>
        <v>#N/A</v>
      </c>
      <c r="F145">
        <f t="shared" si="47"/>
        <v>0</v>
      </c>
      <c r="G145">
        <f t="shared" si="30"/>
        <v>7</v>
      </c>
      <c r="H145">
        <f t="shared" si="48"/>
        <v>6</v>
      </c>
      <c r="I145">
        <f t="shared" si="49"/>
        <v>2</v>
      </c>
      <c r="J145" t="str">
        <f t="shared" si="50"/>
        <v>NUC_ELC.POM C&amp;E</v>
      </c>
      <c r="L145" s="214"/>
      <c r="M145" t="s">
        <v>363</v>
      </c>
      <c r="N145" t="s">
        <v>120</v>
      </c>
      <c r="O145" t="s">
        <v>361</v>
      </c>
      <c r="AB145" t="str">
        <f t="shared" si="41"/>
        <v>WIN_ONS.WWB E</v>
      </c>
    </row>
    <row r="146" spans="2:28">
      <c r="B146">
        <f t="shared" si="43"/>
        <v>2050</v>
      </c>
      <c r="C146" t="str">
        <f t="shared" si="44"/>
        <v>NUC_ELC</v>
      </c>
      <c r="D146" t="str">
        <f t="shared" si="45"/>
        <v>POM C&amp;E</v>
      </c>
      <c r="E146" s="27" t="e">
        <f t="shared" si="46"/>
        <v>#N/A</v>
      </c>
      <c r="F146">
        <f t="shared" si="47"/>
        <v>0</v>
      </c>
      <c r="G146">
        <f t="shared" si="30"/>
        <v>8</v>
      </c>
      <c r="H146">
        <f t="shared" si="48"/>
        <v>6</v>
      </c>
      <c r="I146">
        <f t="shared" si="49"/>
        <v>2</v>
      </c>
      <c r="J146" t="str">
        <f t="shared" si="50"/>
        <v>NUC_ELC.POM C&amp;E</v>
      </c>
      <c r="L146" s="214"/>
      <c r="AB146" t="str">
        <f t="shared" si="41"/>
        <v>.</v>
      </c>
    </row>
    <row r="147" spans="2:28">
      <c r="B147">
        <f t="shared" si="43"/>
        <v>2015</v>
      </c>
      <c r="C147" t="str">
        <f t="shared" si="44"/>
        <v>HYD_STO_TRUE</v>
      </c>
      <c r="D147" t="str">
        <f t="shared" si="45"/>
        <v>POM C&amp;E</v>
      </c>
      <c r="E147" s="27" t="e">
        <f t="shared" si="46"/>
        <v>#N/A</v>
      </c>
      <c r="F147">
        <f t="shared" si="47"/>
        <v>4.34</v>
      </c>
      <c r="G147">
        <f t="shared" si="30"/>
        <v>1</v>
      </c>
      <c r="H147">
        <f t="shared" si="48"/>
        <v>7</v>
      </c>
      <c r="I147">
        <f t="shared" si="49"/>
        <v>2</v>
      </c>
      <c r="J147" t="str">
        <f t="shared" si="50"/>
        <v>HYD_STO_TRUE.POM C&amp;E</v>
      </c>
      <c r="L147" s="214"/>
      <c r="M147" t="s">
        <v>364</v>
      </c>
      <c r="N147" t="s">
        <v>110</v>
      </c>
      <c r="O147" t="s">
        <v>142</v>
      </c>
      <c r="P147">
        <f t="shared" ref="P147:Z154" si="51">SUMIFS(P$212:P$327,$O$212:$O$327,$M147,$N$212:$N$327,$O147)*2</f>
        <v>1.26</v>
      </c>
      <c r="Q147">
        <f t="shared" si="51"/>
        <v>1.6</v>
      </c>
      <c r="R147">
        <f t="shared" si="51"/>
        <v>1.84</v>
      </c>
      <c r="S147">
        <f t="shared" si="51"/>
        <v>1.88</v>
      </c>
      <c r="T147">
        <f t="shared" si="51"/>
        <v>1.88</v>
      </c>
      <c r="U147">
        <f t="shared" si="51"/>
        <v>1.94</v>
      </c>
      <c r="V147">
        <f t="shared" si="51"/>
        <v>1.96</v>
      </c>
      <c r="W147">
        <f t="shared" si="51"/>
        <v>1.96</v>
      </c>
      <c r="X147">
        <f t="shared" si="51"/>
        <v>1.98</v>
      </c>
      <c r="Y147">
        <f t="shared" si="51"/>
        <v>1.98</v>
      </c>
      <c r="Z147">
        <f t="shared" si="51"/>
        <v>1.98</v>
      </c>
      <c r="AA147" s="215" t="s">
        <v>365</v>
      </c>
      <c r="AB147" t="str">
        <f t="shared" si="41"/>
        <v>WAS_ELC.POM C</v>
      </c>
    </row>
    <row r="148" spans="2:28">
      <c r="B148">
        <f t="shared" si="43"/>
        <v>2020</v>
      </c>
      <c r="C148" t="str">
        <f t="shared" si="44"/>
        <v>HYD_STO_TRUE</v>
      </c>
      <c r="D148" t="str">
        <f t="shared" si="45"/>
        <v>POM C&amp;E</v>
      </c>
      <c r="E148" s="27" t="e">
        <f t="shared" si="46"/>
        <v>#N/A</v>
      </c>
      <c r="F148">
        <f t="shared" si="47"/>
        <v>7.54</v>
      </c>
      <c r="G148">
        <f t="shared" ref="G148:G211" si="52">IF(G147=$G$3,1,G147+1)</f>
        <v>2</v>
      </c>
      <c r="H148">
        <f t="shared" si="48"/>
        <v>7</v>
      </c>
      <c r="I148">
        <f t="shared" si="49"/>
        <v>2</v>
      </c>
      <c r="J148" t="str">
        <f t="shared" si="50"/>
        <v>HYD_STO_TRUE.POM C&amp;E</v>
      </c>
      <c r="L148" s="214"/>
      <c r="M148" t="s">
        <v>364</v>
      </c>
      <c r="N148" t="s">
        <v>110</v>
      </c>
      <c r="O148" t="s">
        <v>296</v>
      </c>
      <c r="P148">
        <f t="shared" si="51"/>
        <v>1.26</v>
      </c>
      <c r="Q148">
        <f t="shared" si="51"/>
        <v>1.6</v>
      </c>
      <c r="R148">
        <f t="shared" si="51"/>
        <v>1.84</v>
      </c>
      <c r="S148">
        <f t="shared" si="51"/>
        <v>1.98</v>
      </c>
      <c r="T148">
        <f t="shared" si="51"/>
        <v>2.2000000000000002</v>
      </c>
      <c r="U148">
        <f t="shared" si="51"/>
        <v>2.46</v>
      </c>
      <c r="V148">
        <f t="shared" si="51"/>
        <v>2.64</v>
      </c>
      <c r="W148">
        <f t="shared" si="51"/>
        <v>2.64</v>
      </c>
      <c r="X148">
        <f t="shared" si="51"/>
        <v>2.66</v>
      </c>
      <c r="Y148">
        <f t="shared" si="51"/>
        <v>2.66</v>
      </c>
      <c r="Z148">
        <f t="shared" si="51"/>
        <v>2.66</v>
      </c>
      <c r="AA148" s="215"/>
      <c r="AB148" t="str">
        <f t="shared" si="41"/>
        <v>WAS_ELC.POM C&amp;E</v>
      </c>
    </row>
    <row r="149" spans="2:28">
      <c r="B149">
        <f t="shared" si="43"/>
        <v>2025</v>
      </c>
      <c r="C149" t="str">
        <f t="shared" si="44"/>
        <v>HYD_STO_TRUE</v>
      </c>
      <c r="D149" t="str">
        <f t="shared" si="45"/>
        <v>POM C&amp;E</v>
      </c>
      <c r="E149" s="27" t="e">
        <f t="shared" si="46"/>
        <v>#N/A</v>
      </c>
      <c r="F149">
        <f t="shared" si="47"/>
        <v>7.54</v>
      </c>
      <c r="G149">
        <f t="shared" si="52"/>
        <v>3</v>
      </c>
      <c r="H149">
        <f t="shared" si="48"/>
        <v>7</v>
      </c>
      <c r="I149">
        <f t="shared" si="49"/>
        <v>2</v>
      </c>
      <c r="J149" t="str">
        <f t="shared" si="50"/>
        <v>HYD_STO_TRUE.POM C&amp;E</v>
      </c>
      <c r="L149" s="214"/>
      <c r="M149" t="s">
        <v>364</v>
      </c>
      <c r="N149" t="s">
        <v>110</v>
      </c>
      <c r="O149" t="s">
        <v>143</v>
      </c>
      <c r="P149">
        <f t="shared" si="51"/>
        <v>1.26</v>
      </c>
      <c r="Q149">
        <f t="shared" si="51"/>
        <v>1.6</v>
      </c>
      <c r="R149">
        <f t="shared" si="51"/>
        <v>1.84</v>
      </c>
      <c r="S149">
        <f t="shared" si="51"/>
        <v>1.98</v>
      </c>
      <c r="T149">
        <f t="shared" si="51"/>
        <v>2.2000000000000002</v>
      </c>
      <c r="U149">
        <f t="shared" si="51"/>
        <v>2.46</v>
      </c>
      <c r="V149">
        <f t="shared" si="51"/>
        <v>2.64</v>
      </c>
      <c r="W149">
        <f t="shared" si="51"/>
        <v>2.64</v>
      </c>
      <c r="X149">
        <f t="shared" si="51"/>
        <v>2.66</v>
      </c>
      <c r="Y149">
        <f t="shared" si="51"/>
        <v>2.66</v>
      </c>
      <c r="Z149">
        <f t="shared" si="51"/>
        <v>2.66</v>
      </c>
      <c r="AA149" s="215"/>
      <c r="AB149" t="str">
        <f t="shared" si="41"/>
        <v>WAS_ELC.POM E</v>
      </c>
    </row>
    <row r="150" spans="2:28">
      <c r="B150">
        <f t="shared" si="43"/>
        <v>2030</v>
      </c>
      <c r="C150" t="str">
        <f t="shared" si="44"/>
        <v>HYD_STO_TRUE</v>
      </c>
      <c r="D150" t="str">
        <f t="shared" si="45"/>
        <v>POM C&amp;E</v>
      </c>
      <c r="E150" s="27" t="e">
        <f t="shared" si="46"/>
        <v>#N/A</v>
      </c>
      <c r="F150">
        <f t="shared" si="47"/>
        <v>7.54</v>
      </c>
      <c r="G150">
        <f t="shared" si="52"/>
        <v>4</v>
      </c>
      <c r="H150">
        <f t="shared" si="48"/>
        <v>7</v>
      </c>
      <c r="I150">
        <f t="shared" si="49"/>
        <v>2</v>
      </c>
      <c r="J150" t="str">
        <f t="shared" si="50"/>
        <v>HYD_STO_TRUE.POM C&amp;E</v>
      </c>
      <c r="L150" s="214"/>
      <c r="M150" t="s">
        <v>364</v>
      </c>
      <c r="N150" t="s">
        <v>110</v>
      </c>
      <c r="O150" t="s">
        <v>307</v>
      </c>
      <c r="P150">
        <f t="shared" si="51"/>
        <v>1.26</v>
      </c>
      <c r="Q150">
        <f t="shared" si="51"/>
        <v>1.6</v>
      </c>
      <c r="R150">
        <f t="shared" si="51"/>
        <v>1.84</v>
      </c>
      <c r="S150">
        <f t="shared" si="51"/>
        <v>1.88</v>
      </c>
      <c r="T150">
        <f t="shared" si="51"/>
        <v>1.88</v>
      </c>
      <c r="U150">
        <f t="shared" si="51"/>
        <v>1.94</v>
      </c>
      <c r="V150">
        <f t="shared" si="51"/>
        <v>1.96</v>
      </c>
      <c r="W150">
        <f t="shared" si="51"/>
        <v>1.96</v>
      </c>
      <c r="X150">
        <f t="shared" si="51"/>
        <v>1.98</v>
      </c>
      <c r="Y150">
        <f t="shared" si="51"/>
        <v>1.98</v>
      </c>
      <c r="Z150">
        <f t="shared" si="51"/>
        <v>1.98</v>
      </c>
      <c r="AA150" s="215"/>
      <c r="AB150" t="str">
        <f t="shared" si="41"/>
        <v>WAS_ELC.NEP C</v>
      </c>
    </row>
    <row r="151" spans="2:28">
      <c r="B151">
        <f t="shared" si="43"/>
        <v>2035</v>
      </c>
      <c r="C151" t="str">
        <f t="shared" si="44"/>
        <v>HYD_STO_TRUE</v>
      </c>
      <c r="D151" t="str">
        <f t="shared" si="45"/>
        <v>POM C&amp;E</v>
      </c>
      <c r="E151" s="27" t="e">
        <f t="shared" si="46"/>
        <v>#N/A</v>
      </c>
      <c r="F151">
        <f t="shared" si="47"/>
        <v>7.54</v>
      </c>
      <c r="G151">
        <f t="shared" si="52"/>
        <v>5</v>
      </c>
      <c r="H151">
        <f t="shared" si="48"/>
        <v>7</v>
      </c>
      <c r="I151">
        <f t="shared" si="49"/>
        <v>2</v>
      </c>
      <c r="J151" t="str">
        <f t="shared" si="50"/>
        <v>HYD_STO_TRUE.POM C&amp;E</v>
      </c>
      <c r="L151" s="214"/>
      <c r="M151" t="s">
        <v>364</v>
      </c>
      <c r="N151" t="s">
        <v>110</v>
      </c>
      <c r="O151" t="s">
        <v>308</v>
      </c>
      <c r="P151">
        <f t="shared" si="51"/>
        <v>1.26</v>
      </c>
      <c r="Q151">
        <f t="shared" si="51"/>
        <v>1.6</v>
      </c>
      <c r="R151">
        <f t="shared" si="51"/>
        <v>1.84</v>
      </c>
      <c r="S151">
        <f t="shared" si="51"/>
        <v>1.98</v>
      </c>
      <c r="T151">
        <f t="shared" si="51"/>
        <v>2.2000000000000002</v>
      </c>
      <c r="U151">
        <f t="shared" si="51"/>
        <v>2.46</v>
      </c>
      <c r="V151">
        <f t="shared" si="51"/>
        <v>2.64</v>
      </c>
      <c r="W151">
        <f t="shared" si="51"/>
        <v>2.64</v>
      </c>
      <c r="X151">
        <f t="shared" si="51"/>
        <v>2.66</v>
      </c>
      <c r="Y151">
        <f t="shared" si="51"/>
        <v>2.66</v>
      </c>
      <c r="Z151">
        <f t="shared" si="51"/>
        <v>2.66</v>
      </c>
      <c r="AA151" s="215"/>
      <c r="AB151" t="str">
        <f t="shared" si="41"/>
        <v>WAS_ELC.NEP C&amp;E</v>
      </c>
    </row>
    <row r="152" spans="2:28">
      <c r="B152">
        <f t="shared" si="43"/>
        <v>2040</v>
      </c>
      <c r="C152" t="str">
        <f t="shared" si="44"/>
        <v>HYD_STO_TRUE</v>
      </c>
      <c r="D152" t="str">
        <f t="shared" si="45"/>
        <v>POM C&amp;E</v>
      </c>
      <c r="E152" s="27" t="e">
        <f t="shared" si="46"/>
        <v>#N/A</v>
      </c>
      <c r="F152">
        <f t="shared" si="47"/>
        <v>7.54</v>
      </c>
      <c r="G152">
        <f t="shared" si="52"/>
        <v>6</v>
      </c>
      <c r="H152">
        <f t="shared" si="48"/>
        <v>7</v>
      </c>
      <c r="I152">
        <f t="shared" si="49"/>
        <v>2</v>
      </c>
      <c r="J152" t="str">
        <f t="shared" si="50"/>
        <v>HYD_STO_TRUE.POM C&amp;E</v>
      </c>
      <c r="L152" s="214"/>
      <c r="M152" t="s">
        <v>364</v>
      </c>
      <c r="N152" t="s">
        <v>110</v>
      </c>
      <c r="O152" t="s">
        <v>309</v>
      </c>
      <c r="P152">
        <f t="shared" si="51"/>
        <v>1.26</v>
      </c>
      <c r="Q152">
        <f t="shared" si="51"/>
        <v>1.6</v>
      </c>
      <c r="R152">
        <f t="shared" si="51"/>
        <v>1.84</v>
      </c>
      <c r="S152">
        <f t="shared" si="51"/>
        <v>1.98</v>
      </c>
      <c r="T152">
        <f t="shared" si="51"/>
        <v>2.2000000000000002</v>
      </c>
      <c r="U152">
        <f t="shared" si="51"/>
        <v>2.46</v>
      </c>
      <c r="V152">
        <f t="shared" si="51"/>
        <v>2.64</v>
      </c>
      <c r="W152">
        <f t="shared" si="51"/>
        <v>2.64</v>
      </c>
      <c r="X152">
        <f t="shared" si="51"/>
        <v>2.66</v>
      </c>
      <c r="Y152">
        <f t="shared" si="51"/>
        <v>2.66</v>
      </c>
      <c r="Z152">
        <f t="shared" si="51"/>
        <v>2.66</v>
      </c>
      <c r="AA152" s="215"/>
      <c r="AB152" t="str">
        <f t="shared" si="41"/>
        <v>WAS_ELC.NEP E</v>
      </c>
    </row>
    <row r="153" spans="2:28">
      <c r="B153">
        <f t="shared" si="43"/>
        <v>2045</v>
      </c>
      <c r="C153" t="str">
        <f t="shared" si="44"/>
        <v>HYD_STO_TRUE</v>
      </c>
      <c r="D153" t="str">
        <f t="shared" si="45"/>
        <v>POM C&amp;E</v>
      </c>
      <c r="E153" s="27" t="e">
        <f t="shared" si="46"/>
        <v>#N/A</v>
      </c>
      <c r="F153">
        <f t="shared" si="47"/>
        <v>7.54</v>
      </c>
      <c r="G153">
        <f t="shared" si="52"/>
        <v>7</v>
      </c>
      <c r="H153">
        <f t="shared" si="48"/>
        <v>7</v>
      </c>
      <c r="I153">
        <f t="shared" si="49"/>
        <v>2</v>
      </c>
      <c r="J153" t="str">
        <f t="shared" si="50"/>
        <v>HYD_STO_TRUE.POM C&amp;E</v>
      </c>
      <c r="L153" s="214"/>
      <c r="M153" t="s">
        <v>364</v>
      </c>
      <c r="N153" t="s">
        <v>110</v>
      </c>
      <c r="O153" t="s">
        <v>310</v>
      </c>
      <c r="P153">
        <f t="shared" si="51"/>
        <v>1.26</v>
      </c>
      <c r="Q153">
        <f t="shared" si="51"/>
        <v>1.6</v>
      </c>
      <c r="R153">
        <f t="shared" si="51"/>
        <v>1.84</v>
      </c>
      <c r="S153">
        <f t="shared" si="51"/>
        <v>1.88</v>
      </c>
      <c r="T153">
        <f t="shared" si="51"/>
        <v>1.88</v>
      </c>
      <c r="U153">
        <f t="shared" si="51"/>
        <v>1.94</v>
      </c>
      <c r="V153">
        <f t="shared" si="51"/>
        <v>1.96</v>
      </c>
      <c r="W153">
        <f t="shared" si="51"/>
        <v>1.96</v>
      </c>
      <c r="X153">
        <f t="shared" si="51"/>
        <v>1.98</v>
      </c>
      <c r="Y153">
        <f t="shared" si="51"/>
        <v>1.98</v>
      </c>
      <c r="Z153">
        <f t="shared" si="51"/>
        <v>1.98</v>
      </c>
      <c r="AA153" s="215"/>
      <c r="AB153" t="str">
        <f t="shared" si="41"/>
        <v>WAS_ELC.WWB C</v>
      </c>
    </row>
    <row r="154" spans="2:28">
      <c r="B154">
        <f t="shared" si="43"/>
        <v>2050</v>
      </c>
      <c r="C154" t="str">
        <f t="shared" si="44"/>
        <v>HYD_STO_TRUE</v>
      </c>
      <c r="D154" t="str">
        <f t="shared" si="45"/>
        <v>POM C&amp;E</v>
      </c>
      <c r="E154" s="27" t="e">
        <f t="shared" si="46"/>
        <v>#N/A</v>
      </c>
      <c r="F154">
        <f t="shared" si="47"/>
        <v>7.54</v>
      </c>
      <c r="G154">
        <f t="shared" si="52"/>
        <v>8</v>
      </c>
      <c r="H154">
        <f t="shared" si="48"/>
        <v>7</v>
      </c>
      <c r="I154">
        <f t="shared" si="49"/>
        <v>2</v>
      </c>
      <c r="J154" t="str">
        <f t="shared" si="50"/>
        <v>HYD_STO_TRUE.POM C&amp;E</v>
      </c>
      <c r="L154" s="214"/>
      <c r="M154" t="s">
        <v>364</v>
      </c>
      <c r="N154" t="s">
        <v>110</v>
      </c>
      <c r="O154" t="s">
        <v>311</v>
      </c>
      <c r="P154">
        <f t="shared" si="51"/>
        <v>1.26</v>
      </c>
      <c r="Q154">
        <f t="shared" si="51"/>
        <v>1.6</v>
      </c>
      <c r="R154">
        <f t="shared" si="51"/>
        <v>1.84</v>
      </c>
      <c r="S154">
        <f t="shared" si="51"/>
        <v>1.98</v>
      </c>
      <c r="T154">
        <f t="shared" si="51"/>
        <v>2.2000000000000002</v>
      </c>
      <c r="U154">
        <f t="shared" si="51"/>
        <v>2.46</v>
      </c>
      <c r="V154">
        <f t="shared" si="51"/>
        <v>2.64</v>
      </c>
      <c r="W154">
        <f t="shared" si="51"/>
        <v>2.64</v>
      </c>
      <c r="X154">
        <f t="shared" si="51"/>
        <v>2.66</v>
      </c>
      <c r="Y154">
        <f t="shared" si="51"/>
        <v>2.66</v>
      </c>
      <c r="Z154">
        <f t="shared" si="51"/>
        <v>2.66</v>
      </c>
      <c r="AA154" s="215"/>
      <c r="AB154" t="str">
        <f t="shared" si="41"/>
        <v>WAS_ELC.WWB C&amp;E</v>
      </c>
    </row>
    <row r="155" spans="2:28">
      <c r="B155">
        <f t="shared" si="43"/>
        <v>2015</v>
      </c>
      <c r="C155" t="str">
        <f t="shared" si="44"/>
        <v>HYD_TOT</v>
      </c>
      <c r="D155" t="str">
        <f t="shared" si="45"/>
        <v>POM C&amp;E</v>
      </c>
      <c r="E155" s="27" t="e">
        <f t="shared" si="46"/>
        <v>#N/A</v>
      </c>
      <c r="F155">
        <f t="shared" si="47"/>
        <v>36.950000000000003</v>
      </c>
      <c r="G155">
        <f t="shared" si="52"/>
        <v>1</v>
      </c>
      <c r="H155">
        <f t="shared" si="48"/>
        <v>8</v>
      </c>
      <c r="I155">
        <f t="shared" si="49"/>
        <v>2</v>
      </c>
      <c r="J155" t="str">
        <f t="shared" si="50"/>
        <v>HYD_TOT.POM C&amp;E</v>
      </c>
      <c r="L155" s="214"/>
      <c r="M155" t="s">
        <v>364</v>
      </c>
      <c r="N155" t="s">
        <v>110</v>
      </c>
      <c r="O155" t="s">
        <v>361</v>
      </c>
      <c r="AB155" t="str">
        <f t="shared" si="41"/>
        <v>WAS_ELC.WWB E</v>
      </c>
    </row>
    <row r="156" spans="2:28">
      <c r="B156">
        <f t="shared" si="43"/>
        <v>2020</v>
      </c>
      <c r="C156" t="str">
        <f t="shared" si="44"/>
        <v>HYD_TOT</v>
      </c>
      <c r="D156" t="str">
        <f t="shared" si="45"/>
        <v>POM C&amp;E</v>
      </c>
      <c r="E156" s="27" t="e">
        <f t="shared" si="46"/>
        <v>#N/A</v>
      </c>
      <c r="F156">
        <f t="shared" si="47"/>
        <v>36.869999999999997</v>
      </c>
      <c r="G156">
        <f t="shared" si="52"/>
        <v>2</v>
      </c>
      <c r="H156">
        <f t="shared" si="48"/>
        <v>8</v>
      </c>
      <c r="I156">
        <f t="shared" si="49"/>
        <v>2</v>
      </c>
      <c r="J156" t="str">
        <f t="shared" si="50"/>
        <v>HYD_TOT.POM C&amp;E</v>
      </c>
      <c r="L156" s="214"/>
      <c r="AB156" t="str">
        <f t="shared" si="41"/>
        <v>.</v>
      </c>
    </row>
    <row r="157" spans="2:28">
      <c r="B157">
        <f t="shared" si="43"/>
        <v>2025</v>
      </c>
      <c r="C157" t="str">
        <f t="shared" si="44"/>
        <v>HYD_TOT</v>
      </c>
      <c r="D157" t="str">
        <f t="shared" si="45"/>
        <v>POM C&amp;E</v>
      </c>
      <c r="E157" s="27" t="e">
        <f t="shared" si="46"/>
        <v>#N/A</v>
      </c>
      <c r="F157">
        <f t="shared" si="47"/>
        <v>36.83</v>
      </c>
      <c r="G157">
        <f t="shared" si="52"/>
        <v>3</v>
      </c>
      <c r="H157">
        <f t="shared" si="48"/>
        <v>8</v>
      </c>
      <c r="I157">
        <f t="shared" si="49"/>
        <v>2</v>
      </c>
      <c r="J157" t="str">
        <f t="shared" si="50"/>
        <v>HYD_TOT.POM C&amp;E</v>
      </c>
      <c r="L157" s="214"/>
      <c r="M157" t="s">
        <v>11</v>
      </c>
      <c r="N157" t="s">
        <v>55</v>
      </c>
      <c r="O157" t="s">
        <v>142</v>
      </c>
      <c r="P157">
        <f t="shared" ref="P157:Z164" si="53">SUMIFS(P$212:P$327,$AA$212:$AA$327,$M157,$N$212:$N$327,$O157)</f>
        <v>0.15</v>
      </c>
      <c r="Q157">
        <f t="shared" si="53"/>
        <v>0.18</v>
      </c>
      <c r="R157">
        <f t="shared" si="53"/>
        <v>0.34</v>
      </c>
      <c r="S157">
        <f t="shared" si="53"/>
        <v>0.56999999999999995</v>
      </c>
      <c r="T157">
        <f t="shared" si="53"/>
        <v>0.84</v>
      </c>
      <c r="U157">
        <f t="shared" si="53"/>
        <v>1.17</v>
      </c>
      <c r="V157">
        <f t="shared" si="53"/>
        <v>1.44</v>
      </c>
      <c r="W157">
        <f t="shared" si="53"/>
        <v>1.4500000000000002</v>
      </c>
      <c r="X157">
        <f t="shared" si="53"/>
        <v>1.48</v>
      </c>
      <c r="Y157">
        <f t="shared" si="53"/>
        <v>1.51</v>
      </c>
      <c r="Z157">
        <f t="shared" si="53"/>
        <v>1.51</v>
      </c>
      <c r="AB157" t="str">
        <f t="shared" si="41"/>
        <v>BAL_ELC.POM C</v>
      </c>
    </row>
    <row r="158" spans="2:28">
      <c r="B158">
        <f t="shared" si="43"/>
        <v>2030</v>
      </c>
      <c r="C158" t="str">
        <f t="shared" si="44"/>
        <v>HYD_TOT</v>
      </c>
      <c r="D158" t="str">
        <f t="shared" si="45"/>
        <v>POM C&amp;E</v>
      </c>
      <c r="E158" s="27" t="e">
        <f t="shared" si="46"/>
        <v>#N/A</v>
      </c>
      <c r="F158">
        <f t="shared" si="47"/>
        <v>36.75</v>
      </c>
      <c r="G158">
        <f t="shared" si="52"/>
        <v>4</v>
      </c>
      <c r="H158">
        <f t="shared" si="48"/>
        <v>8</v>
      </c>
      <c r="I158">
        <f t="shared" si="49"/>
        <v>2</v>
      </c>
      <c r="J158" t="str">
        <f t="shared" si="50"/>
        <v>HYD_TOT.POM C&amp;E</v>
      </c>
      <c r="L158" s="214"/>
      <c r="M158" t="s">
        <v>11</v>
      </c>
      <c r="N158" t="s">
        <v>55</v>
      </c>
      <c r="O158" t="s">
        <v>296</v>
      </c>
      <c r="P158">
        <f t="shared" si="53"/>
        <v>0.15</v>
      </c>
      <c r="Q158">
        <f t="shared" si="53"/>
        <v>0.18</v>
      </c>
      <c r="R158">
        <f t="shared" si="53"/>
        <v>0.34</v>
      </c>
      <c r="S158">
        <f t="shared" si="53"/>
        <v>0.65</v>
      </c>
      <c r="T158">
        <f t="shared" si="53"/>
        <v>1.22</v>
      </c>
      <c r="U158">
        <f t="shared" si="53"/>
        <v>2.0700000000000003</v>
      </c>
      <c r="V158">
        <f t="shared" si="53"/>
        <v>2.77</v>
      </c>
      <c r="W158">
        <f t="shared" si="53"/>
        <v>2.98</v>
      </c>
      <c r="X158">
        <f t="shared" si="53"/>
        <v>3.0700000000000003</v>
      </c>
      <c r="Y158">
        <f t="shared" si="53"/>
        <v>3.11</v>
      </c>
      <c r="Z158">
        <f t="shared" si="53"/>
        <v>3.12</v>
      </c>
      <c r="AB158" t="str">
        <f t="shared" si="41"/>
        <v>BAL_ELC.POM C&amp;E</v>
      </c>
    </row>
    <row r="159" spans="2:28">
      <c r="B159">
        <f t="shared" si="43"/>
        <v>2035</v>
      </c>
      <c r="C159" t="str">
        <f t="shared" si="44"/>
        <v>HYD_TOT</v>
      </c>
      <c r="D159" t="str">
        <f t="shared" si="45"/>
        <v>POM C&amp;E</v>
      </c>
      <c r="E159" s="27" t="e">
        <f t="shared" si="46"/>
        <v>#N/A</v>
      </c>
      <c r="F159">
        <f t="shared" si="47"/>
        <v>36.54</v>
      </c>
      <c r="G159">
        <f t="shared" si="52"/>
        <v>5</v>
      </c>
      <c r="H159">
        <f t="shared" si="48"/>
        <v>8</v>
      </c>
      <c r="I159">
        <f t="shared" si="49"/>
        <v>2</v>
      </c>
      <c r="J159" t="str">
        <f t="shared" si="50"/>
        <v>HYD_TOT.POM C&amp;E</v>
      </c>
      <c r="L159" s="214"/>
      <c r="M159" t="s">
        <v>11</v>
      </c>
      <c r="N159" t="s">
        <v>55</v>
      </c>
      <c r="O159" t="s">
        <v>143</v>
      </c>
      <c r="P159">
        <f t="shared" si="53"/>
        <v>0.15</v>
      </c>
      <c r="Q159">
        <f t="shared" si="53"/>
        <v>0.18</v>
      </c>
      <c r="R159">
        <f t="shared" si="53"/>
        <v>0.34</v>
      </c>
      <c r="S159">
        <f t="shared" si="53"/>
        <v>0.65</v>
      </c>
      <c r="T159">
        <f t="shared" si="53"/>
        <v>1.22</v>
      </c>
      <c r="U159">
        <f t="shared" si="53"/>
        <v>2.0700000000000003</v>
      </c>
      <c r="V159">
        <f t="shared" si="53"/>
        <v>2.77</v>
      </c>
      <c r="W159">
        <f t="shared" si="53"/>
        <v>2.98</v>
      </c>
      <c r="X159">
        <f t="shared" si="53"/>
        <v>3.0700000000000003</v>
      </c>
      <c r="Y159">
        <f t="shared" si="53"/>
        <v>3.11</v>
      </c>
      <c r="Z159">
        <f t="shared" si="53"/>
        <v>3.12</v>
      </c>
      <c r="AB159" t="str">
        <f t="shared" si="41"/>
        <v>BAL_ELC.POM E</v>
      </c>
    </row>
    <row r="160" spans="2:28">
      <c r="B160">
        <f t="shared" si="43"/>
        <v>2040</v>
      </c>
      <c r="C160" t="str">
        <f t="shared" si="44"/>
        <v>HYD_TOT</v>
      </c>
      <c r="D160" t="str">
        <f t="shared" si="45"/>
        <v>POM C&amp;E</v>
      </c>
      <c r="E160" s="27" t="e">
        <f t="shared" si="46"/>
        <v>#N/A</v>
      </c>
      <c r="F160">
        <f t="shared" si="47"/>
        <v>36.409999999999997</v>
      </c>
      <c r="G160">
        <f t="shared" si="52"/>
        <v>6</v>
      </c>
      <c r="H160">
        <f t="shared" si="48"/>
        <v>8</v>
      </c>
      <c r="I160">
        <f t="shared" si="49"/>
        <v>2</v>
      </c>
      <c r="J160" t="str">
        <f t="shared" si="50"/>
        <v>HYD_TOT.POM C&amp;E</v>
      </c>
      <c r="L160" s="214"/>
      <c r="M160" t="s">
        <v>11</v>
      </c>
      <c r="N160" t="s">
        <v>55</v>
      </c>
      <c r="O160" t="s">
        <v>307</v>
      </c>
      <c r="P160">
        <f t="shared" si="53"/>
        <v>0.15</v>
      </c>
      <c r="Q160">
        <f t="shared" si="53"/>
        <v>0.18</v>
      </c>
      <c r="R160">
        <f t="shared" si="53"/>
        <v>0.34</v>
      </c>
      <c r="S160">
        <f t="shared" si="53"/>
        <v>0.56999999999999995</v>
      </c>
      <c r="T160">
        <f t="shared" si="53"/>
        <v>0.84</v>
      </c>
      <c r="U160">
        <f t="shared" si="53"/>
        <v>1.17</v>
      </c>
      <c r="V160">
        <f t="shared" si="53"/>
        <v>1.44</v>
      </c>
      <c r="W160">
        <f t="shared" si="53"/>
        <v>1.4500000000000002</v>
      </c>
      <c r="X160">
        <f t="shared" si="53"/>
        <v>1.48</v>
      </c>
      <c r="Y160">
        <f t="shared" si="53"/>
        <v>1.51</v>
      </c>
      <c r="Z160">
        <f t="shared" si="53"/>
        <v>1.51</v>
      </c>
      <c r="AB160" t="str">
        <f t="shared" si="41"/>
        <v>BAL_ELC.NEP C</v>
      </c>
    </row>
    <row r="161" spans="2:28">
      <c r="B161">
        <f t="shared" si="43"/>
        <v>2045</v>
      </c>
      <c r="C161" t="str">
        <f t="shared" si="44"/>
        <v>HYD_TOT</v>
      </c>
      <c r="D161" t="str">
        <f t="shared" si="45"/>
        <v>POM C&amp;E</v>
      </c>
      <c r="E161" s="27" t="e">
        <f t="shared" si="46"/>
        <v>#N/A</v>
      </c>
      <c r="F161">
        <f t="shared" si="47"/>
        <v>35.85</v>
      </c>
      <c r="G161">
        <f t="shared" si="52"/>
        <v>7</v>
      </c>
      <c r="H161">
        <f t="shared" si="48"/>
        <v>8</v>
      </c>
      <c r="I161">
        <f t="shared" si="49"/>
        <v>2</v>
      </c>
      <c r="J161" t="str">
        <f t="shared" si="50"/>
        <v>HYD_TOT.POM C&amp;E</v>
      </c>
      <c r="L161" s="214"/>
      <c r="M161" t="s">
        <v>11</v>
      </c>
      <c r="N161" t="s">
        <v>55</v>
      </c>
      <c r="O161" t="s">
        <v>308</v>
      </c>
      <c r="P161">
        <f t="shared" si="53"/>
        <v>0.15</v>
      </c>
      <c r="Q161">
        <f t="shared" si="53"/>
        <v>0.18</v>
      </c>
      <c r="R161">
        <f t="shared" si="53"/>
        <v>0.34</v>
      </c>
      <c r="S161">
        <f t="shared" si="53"/>
        <v>0.65</v>
      </c>
      <c r="T161">
        <f t="shared" si="53"/>
        <v>1.22</v>
      </c>
      <c r="U161">
        <f t="shared" si="53"/>
        <v>2.0700000000000003</v>
      </c>
      <c r="V161">
        <f t="shared" si="53"/>
        <v>2.77</v>
      </c>
      <c r="W161">
        <f t="shared" si="53"/>
        <v>2.98</v>
      </c>
      <c r="X161">
        <f t="shared" si="53"/>
        <v>3.0700000000000003</v>
      </c>
      <c r="Y161">
        <f t="shared" si="53"/>
        <v>3.11</v>
      </c>
      <c r="Z161">
        <f t="shared" si="53"/>
        <v>3.12</v>
      </c>
      <c r="AB161" t="str">
        <f t="shared" si="41"/>
        <v>BAL_ELC.NEP C&amp;E</v>
      </c>
    </row>
    <row r="162" spans="2:28">
      <c r="B162">
        <f t="shared" si="43"/>
        <v>2050</v>
      </c>
      <c r="C162" t="str">
        <f t="shared" si="44"/>
        <v>HYD_TOT</v>
      </c>
      <c r="D162" t="str">
        <f t="shared" si="45"/>
        <v>POM C&amp;E</v>
      </c>
      <c r="E162" s="27" t="e">
        <f t="shared" si="46"/>
        <v>#N/A</v>
      </c>
      <c r="F162">
        <f t="shared" si="47"/>
        <v>35.57</v>
      </c>
      <c r="G162">
        <f t="shared" si="52"/>
        <v>8</v>
      </c>
      <c r="H162">
        <f t="shared" si="48"/>
        <v>8</v>
      </c>
      <c r="I162">
        <f t="shared" si="49"/>
        <v>2</v>
      </c>
      <c r="J162" t="str">
        <f t="shared" si="50"/>
        <v>HYD_TOT.POM C&amp;E</v>
      </c>
      <c r="L162" s="214"/>
      <c r="M162" t="s">
        <v>11</v>
      </c>
      <c r="N162" t="s">
        <v>55</v>
      </c>
      <c r="O162" t="s">
        <v>309</v>
      </c>
      <c r="P162">
        <f t="shared" si="53"/>
        <v>0.15</v>
      </c>
      <c r="Q162">
        <f t="shared" si="53"/>
        <v>0.18</v>
      </c>
      <c r="R162">
        <f t="shared" si="53"/>
        <v>0.34</v>
      </c>
      <c r="S162">
        <f t="shared" si="53"/>
        <v>0.65</v>
      </c>
      <c r="T162">
        <f t="shared" si="53"/>
        <v>1.22</v>
      </c>
      <c r="U162">
        <f t="shared" si="53"/>
        <v>2.0700000000000003</v>
      </c>
      <c r="V162">
        <f t="shared" si="53"/>
        <v>2.77</v>
      </c>
      <c r="W162">
        <f t="shared" si="53"/>
        <v>2.98</v>
      </c>
      <c r="X162">
        <f t="shared" si="53"/>
        <v>3.0700000000000003</v>
      </c>
      <c r="Y162">
        <f t="shared" si="53"/>
        <v>3.11</v>
      </c>
      <c r="Z162">
        <f t="shared" si="53"/>
        <v>3.12</v>
      </c>
      <c r="AB162" t="str">
        <f t="shared" si="41"/>
        <v>BAL_ELC.NEP E</v>
      </c>
    </row>
    <row r="163" spans="2:28">
      <c r="B163">
        <f t="shared" si="43"/>
        <v>2015</v>
      </c>
      <c r="C163" t="str">
        <f t="shared" si="44"/>
        <v>GAS_OIL</v>
      </c>
      <c r="D163" t="str">
        <f t="shared" si="45"/>
        <v>POM C&amp;E</v>
      </c>
      <c r="E163" s="27" t="e">
        <f t="shared" si="46"/>
        <v>#N/A</v>
      </c>
      <c r="F163">
        <f t="shared" si="47"/>
        <v>1.76</v>
      </c>
      <c r="G163">
        <f t="shared" si="52"/>
        <v>1</v>
      </c>
      <c r="H163">
        <f t="shared" si="48"/>
        <v>9</v>
      </c>
      <c r="I163">
        <f t="shared" si="49"/>
        <v>2</v>
      </c>
      <c r="J163" t="str">
        <f t="shared" si="50"/>
        <v>GAS_OIL.POM C&amp;E</v>
      </c>
      <c r="L163" s="214"/>
      <c r="M163" t="s">
        <v>11</v>
      </c>
      <c r="N163" t="s">
        <v>55</v>
      </c>
      <c r="O163" t="s">
        <v>310</v>
      </c>
      <c r="P163">
        <f t="shared" si="53"/>
        <v>0.15</v>
      </c>
      <c r="Q163">
        <f t="shared" si="53"/>
        <v>0.18</v>
      </c>
      <c r="R163">
        <f t="shared" si="53"/>
        <v>0.34</v>
      </c>
      <c r="S163">
        <f t="shared" si="53"/>
        <v>0.56999999999999995</v>
      </c>
      <c r="T163">
        <f t="shared" si="53"/>
        <v>0.84</v>
      </c>
      <c r="U163">
        <f t="shared" si="53"/>
        <v>1.17</v>
      </c>
      <c r="V163">
        <f t="shared" si="53"/>
        <v>1.44</v>
      </c>
      <c r="W163">
        <f t="shared" si="53"/>
        <v>1.4500000000000002</v>
      </c>
      <c r="X163">
        <f t="shared" si="53"/>
        <v>1.48</v>
      </c>
      <c r="Y163">
        <f t="shared" si="53"/>
        <v>1.51</v>
      </c>
      <c r="Z163">
        <f t="shared" si="53"/>
        <v>1.51</v>
      </c>
      <c r="AB163" t="str">
        <f t="shared" si="41"/>
        <v>BAL_ELC.WWB C</v>
      </c>
    </row>
    <row r="164" spans="2:28">
      <c r="B164">
        <f t="shared" si="43"/>
        <v>2020</v>
      </c>
      <c r="C164" t="str">
        <f t="shared" si="44"/>
        <v>GAS_OIL</v>
      </c>
      <c r="D164" t="str">
        <f t="shared" si="45"/>
        <v>POM C&amp;E</v>
      </c>
      <c r="E164" s="27" t="e">
        <f t="shared" si="46"/>
        <v>#N/A</v>
      </c>
      <c r="F164">
        <f t="shared" si="47"/>
        <v>1.48</v>
      </c>
      <c r="G164">
        <f t="shared" si="52"/>
        <v>2</v>
      </c>
      <c r="H164">
        <f t="shared" si="48"/>
        <v>9</v>
      </c>
      <c r="I164">
        <f t="shared" si="49"/>
        <v>2</v>
      </c>
      <c r="J164" t="str">
        <f t="shared" si="50"/>
        <v>GAS_OIL.POM C&amp;E</v>
      </c>
      <c r="L164" s="214"/>
      <c r="M164" t="s">
        <v>11</v>
      </c>
      <c r="N164" t="s">
        <v>55</v>
      </c>
      <c r="O164" t="s">
        <v>311</v>
      </c>
      <c r="P164">
        <f t="shared" si="53"/>
        <v>0.15</v>
      </c>
      <c r="Q164">
        <f t="shared" si="53"/>
        <v>0.18</v>
      </c>
      <c r="R164">
        <f t="shared" si="53"/>
        <v>0.34</v>
      </c>
      <c r="S164">
        <f t="shared" si="53"/>
        <v>0.65</v>
      </c>
      <c r="T164">
        <f t="shared" si="53"/>
        <v>1.22</v>
      </c>
      <c r="U164">
        <f t="shared" si="53"/>
        <v>2.0700000000000003</v>
      </c>
      <c r="V164">
        <f t="shared" si="53"/>
        <v>2.77</v>
      </c>
      <c r="W164">
        <f t="shared" si="53"/>
        <v>2.98</v>
      </c>
      <c r="X164">
        <f t="shared" si="53"/>
        <v>3.0700000000000003</v>
      </c>
      <c r="Y164">
        <f t="shared" si="53"/>
        <v>3.11</v>
      </c>
      <c r="Z164">
        <f t="shared" si="53"/>
        <v>3.12</v>
      </c>
      <c r="AB164" t="str">
        <f t="shared" si="41"/>
        <v>BAL_ELC.WWB C&amp;E</v>
      </c>
    </row>
    <row r="165" spans="2:28">
      <c r="B165">
        <f t="shared" si="43"/>
        <v>2025</v>
      </c>
      <c r="C165" t="str">
        <f t="shared" si="44"/>
        <v>GAS_OIL</v>
      </c>
      <c r="D165" t="str">
        <f t="shared" si="45"/>
        <v>POM C&amp;E</v>
      </c>
      <c r="E165" s="27" t="e">
        <f t="shared" si="46"/>
        <v>#N/A</v>
      </c>
      <c r="F165">
        <f t="shared" si="47"/>
        <v>0.92</v>
      </c>
      <c r="G165">
        <f t="shared" si="52"/>
        <v>3</v>
      </c>
      <c r="H165">
        <f t="shared" si="48"/>
        <v>9</v>
      </c>
      <c r="I165">
        <f t="shared" si="49"/>
        <v>2</v>
      </c>
      <c r="J165" t="str">
        <f t="shared" si="50"/>
        <v>GAS_OIL.POM C&amp;E</v>
      </c>
      <c r="L165" s="214"/>
      <c r="AB165" t="str">
        <f t="shared" si="41"/>
        <v>.</v>
      </c>
    </row>
    <row r="166" spans="2:28">
      <c r="B166">
        <f t="shared" si="43"/>
        <v>2030</v>
      </c>
      <c r="C166" t="str">
        <f t="shared" si="44"/>
        <v>GAS_OIL</v>
      </c>
      <c r="D166" t="str">
        <f t="shared" si="45"/>
        <v>POM C&amp;E</v>
      </c>
      <c r="E166" s="27" t="e">
        <f t="shared" si="46"/>
        <v>#N/A</v>
      </c>
      <c r="F166">
        <f t="shared" si="47"/>
        <v>0.57999999999999996</v>
      </c>
      <c r="G166">
        <f t="shared" si="52"/>
        <v>4</v>
      </c>
      <c r="H166">
        <f t="shared" si="48"/>
        <v>9</v>
      </c>
      <c r="I166">
        <f t="shared" si="49"/>
        <v>2</v>
      </c>
      <c r="J166" t="str">
        <f t="shared" si="50"/>
        <v>GAS_OIL.POM C&amp;E</v>
      </c>
      <c r="L166" s="214"/>
      <c r="AB166" t="str">
        <f t="shared" si="41"/>
        <v>.</v>
      </c>
    </row>
    <row r="167" spans="2:28">
      <c r="B167">
        <f t="shared" si="43"/>
        <v>2035</v>
      </c>
      <c r="C167" t="str">
        <f t="shared" si="44"/>
        <v>GAS_OIL</v>
      </c>
      <c r="D167" t="str">
        <f t="shared" si="45"/>
        <v>POM C&amp;E</v>
      </c>
      <c r="E167" s="27" t="e">
        <f t="shared" si="46"/>
        <v>#N/A</v>
      </c>
      <c r="F167">
        <f t="shared" si="47"/>
        <v>0.32</v>
      </c>
      <c r="G167">
        <f t="shared" si="52"/>
        <v>5</v>
      </c>
      <c r="H167">
        <f t="shared" si="48"/>
        <v>9</v>
      </c>
      <c r="I167">
        <f t="shared" si="49"/>
        <v>2</v>
      </c>
      <c r="J167" t="str">
        <f t="shared" si="50"/>
        <v>GAS_OIL.POM C&amp;E</v>
      </c>
      <c r="L167" s="214"/>
      <c r="M167" t="s">
        <v>366</v>
      </c>
      <c r="N167" t="s">
        <v>65</v>
      </c>
      <c r="O167" t="s">
        <v>142</v>
      </c>
      <c r="P167">
        <f t="shared" ref="P167:Z174" si="54">SUMIFS(P$212:P$327,$O$212:$O$327,$M167,$N$212:$N$327,$O167)</f>
        <v>0</v>
      </c>
      <c r="Q167">
        <f t="shared" si="54"/>
        <v>0</v>
      </c>
      <c r="R167">
        <f t="shared" si="54"/>
        <v>0</v>
      </c>
      <c r="S167">
        <f t="shared" si="54"/>
        <v>0.03</v>
      </c>
      <c r="T167">
        <f t="shared" si="54"/>
        <v>0.1</v>
      </c>
      <c r="U167">
        <f t="shared" si="54"/>
        <v>0.2</v>
      </c>
      <c r="V167">
        <f t="shared" si="54"/>
        <v>0.33</v>
      </c>
      <c r="W167">
        <f t="shared" si="54"/>
        <v>0.39</v>
      </c>
      <c r="X167">
        <f t="shared" si="54"/>
        <v>0.39</v>
      </c>
      <c r="Y167">
        <f t="shared" si="54"/>
        <v>0.42</v>
      </c>
      <c r="Z167">
        <f t="shared" si="54"/>
        <v>0.42</v>
      </c>
      <c r="AB167" t="str">
        <f t="shared" si="41"/>
        <v>GEO_ELC.POM C</v>
      </c>
    </row>
    <row r="168" spans="2:28">
      <c r="B168">
        <f t="shared" si="43"/>
        <v>2040</v>
      </c>
      <c r="C168" t="str">
        <f t="shared" si="44"/>
        <v>GAS_OIL</v>
      </c>
      <c r="D168" t="str">
        <f t="shared" si="45"/>
        <v>POM C&amp;E</v>
      </c>
      <c r="E168" s="27" t="e">
        <f t="shared" si="46"/>
        <v>#N/A</v>
      </c>
      <c r="F168">
        <f t="shared" si="47"/>
        <v>0</v>
      </c>
      <c r="G168">
        <f t="shared" si="52"/>
        <v>6</v>
      </c>
      <c r="H168">
        <f t="shared" si="48"/>
        <v>9</v>
      </c>
      <c r="I168">
        <f t="shared" si="49"/>
        <v>2</v>
      </c>
      <c r="J168" t="str">
        <f t="shared" si="50"/>
        <v>GAS_OIL.POM C&amp;E</v>
      </c>
      <c r="L168" s="214"/>
      <c r="M168" t="s">
        <v>366</v>
      </c>
      <c r="N168" t="s">
        <v>65</v>
      </c>
      <c r="O168" t="s">
        <v>296</v>
      </c>
      <c r="P168">
        <f t="shared" si="54"/>
        <v>0</v>
      </c>
      <c r="Q168">
        <f t="shared" si="54"/>
        <v>0</v>
      </c>
      <c r="R168">
        <f t="shared" si="54"/>
        <v>0</v>
      </c>
      <c r="S168">
        <f t="shared" si="54"/>
        <v>0.1</v>
      </c>
      <c r="T168">
        <f t="shared" si="54"/>
        <v>0.2</v>
      </c>
      <c r="U168">
        <f t="shared" si="54"/>
        <v>0.39</v>
      </c>
      <c r="V168">
        <f t="shared" si="54"/>
        <v>0.78</v>
      </c>
      <c r="W168">
        <f t="shared" si="54"/>
        <v>1.43</v>
      </c>
      <c r="X168">
        <f t="shared" si="54"/>
        <v>2.41</v>
      </c>
      <c r="Y168">
        <f t="shared" si="54"/>
        <v>3.48</v>
      </c>
      <c r="Z168">
        <f t="shared" si="54"/>
        <v>4.3899999999999997</v>
      </c>
      <c r="AB168" t="str">
        <f t="shared" si="41"/>
        <v>GEO_ELC.POM C&amp;E</v>
      </c>
    </row>
    <row r="169" spans="2:28">
      <c r="B169">
        <f t="shared" si="43"/>
        <v>2045</v>
      </c>
      <c r="C169" t="str">
        <f t="shared" si="44"/>
        <v>GAS_OIL</v>
      </c>
      <c r="D169" t="str">
        <f t="shared" si="45"/>
        <v>POM C&amp;E</v>
      </c>
      <c r="E169" s="27" t="e">
        <f t="shared" si="46"/>
        <v>#N/A</v>
      </c>
      <c r="F169">
        <f t="shared" si="47"/>
        <v>0</v>
      </c>
      <c r="G169">
        <f t="shared" si="52"/>
        <v>7</v>
      </c>
      <c r="H169">
        <f t="shared" si="48"/>
        <v>9</v>
      </c>
      <c r="I169">
        <f t="shared" si="49"/>
        <v>2</v>
      </c>
      <c r="J169" t="str">
        <f t="shared" si="50"/>
        <v>GAS_OIL.POM C&amp;E</v>
      </c>
      <c r="L169" s="214"/>
      <c r="M169" t="s">
        <v>366</v>
      </c>
      <c r="N169" t="s">
        <v>65</v>
      </c>
      <c r="O169" t="s">
        <v>143</v>
      </c>
      <c r="P169">
        <f t="shared" si="54"/>
        <v>0</v>
      </c>
      <c r="Q169">
        <f t="shared" si="54"/>
        <v>0</v>
      </c>
      <c r="R169">
        <f t="shared" si="54"/>
        <v>0</v>
      </c>
      <c r="S169">
        <f t="shared" si="54"/>
        <v>0.1</v>
      </c>
      <c r="T169">
        <f t="shared" si="54"/>
        <v>0.2</v>
      </c>
      <c r="U169">
        <f t="shared" si="54"/>
        <v>0.39</v>
      </c>
      <c r="V169">
        <f t="shared" si="54"/>
        <v>0.78</v>
      </c>
      <c r="W169">
        <f t="shared" si="54"/>
        <v>1.43</v>
      </c>
      <c r="X169">
        <f t="shared" si="54"/>
        <v>2.41</v>
      </c>
      <c r="Y169">
        <f t="shared" si="54"/>
        <v>3.48</v>
      </c>
      <c r="Z169">
        <f t="shared" si="54"/>
        <v>4.3899999999999997</v>
      </c>
      <c r="AB169" t="str">
        <f t="shared" si="41"/>
        <v>GEO_ELC.POM E</v>
      </c>
    </row>
    <row r="170" spans="2:28">
      <c r="B170">
        <f t="shared" si="43"/>
        <v>2050</v>
      </c>
      <c r="C170" t="str">
        <f t="shared" si="44"/>
        <v>GAS_OIL</v>
      </c>
      <c r="D170" t="str">
        <f t="shared" si="45"/>
        <v>POM C&amp;E</v>
      </c>
      <c r="E170" s="27" t="e">
        <f t="shared" si="46"/>
        <v>#N/A</v>
      </c>
      <c r="F170">
        <f t="shared" si="47"/>
        <v>0</v>
      </c>
      <c r="G170">
        <f t="shared" si="52"/>
        <v>8</v>
      </c>
      <c r="H170">
        <f t="shared" si="48"/>
        <v>9</v>
      </c>
      <c r="I170">
        <f t="shared" si="49"/>
        <v>2</v>
      </c>
      <c r="J170" t="str">
        <f t="shared" si="50"/>
        <v>GAS_OIL.POM C&amp;E</v>
      </c>
      <c r="L170" s="214"/>
      <c r="M170" t="s">
        <v>366</v>
      </c>
      <c r="N170" t="s">
        <v>65</v>
      </c>
      <c r="O170" t="s">
        <v>307</v>
      </c>
      <c r="P170">
        <f t="shared" si="54"/>
        <v>0</v>
      </c>
      <c r="Q170">
        <f t="shared" si="54"/>
        <v>0</v>
      </c>
      <c r="R170">
        <f t="shared" si="54"/>
        <v>0</v>
      </c>
      <c r="S170">
        <f t="shared" si="54"/>
        <v>0.03</v>
      </c>
      <c r="T170">
        <f t="shared" si="54"/>
        <v>0.1</v>
      </c>
      <c r="U170">
        <f t="shared" si="54"/>
        <v>0.2</v>
      </c>
      <c r="V170">
        <f t="shared" si="54"/>
        <v>0.33</v>
      </c>
      <c r="W170">
        <f t="shared" si="54"/>
        <v>0.39</v>
      </c>
      <c r="X170">
        <f t="shared" si="54"/>
        <v>0.39</v>
      </c>
      <c r="Y170">
        <f t="shared" si="54"/>
        <v>0.42</v>
      </c>
      <c r="Z170">
        <f t="shared" si="54"/>
        <v>0.42</v>
      </c>
      <c r="AB170" t="str">
        <f t="shared" si="41"/>
        <v>GEO_ELC.NEP C</v>
      </c>
    </row>
    <row r="171" spans="2:28">
      <c r="B171">
        <f t="shared" si="43"/>
        <v>2015</v>
      </c>
      <c r="C171" t="str">
        <f t="shared" si="44"/>
        <v>GAS_NEW</v>
      </c>
      <c r="D171" t="str">
        <f t="shared" si="45"/>
        <v>POM C&amp;E</v>
      </c>
      <c r="E171" s="27" t="e">
        <f t="shared" si="46"/>
        <v>#N/A</v>
      </c>
      <c r="F171">
        <f t="shared" si="47"/>
        <v>0.94</v>
      </c>
      <c r="G171">
        <f t="shared" si="52"/>
        <v>1</v>
      </c>
      <c r="H171">
        <f t="shared" si="48"/>
        <v>10</v>
      </c>
      <c r="I171">
        <f t="shared" si="49"/>
        <v>2</v>
      </c>
      <c r="J171" t="str">
        <f t="shared" si="50"/>
        <v>GAS_NEW.POM C&amp;E</v>
      </c>
      <c r="L171" s="214"/>
      <c r="M171" t="s">
        <v>366</v>
      </c>
      <c r="N171" t="s">
        <v>65</v>
      </c>
      <c r="O171" t="s">
        <v>308</v>
      </c>
      <c r="P171">
        <f t="shared" si="54"/>
        <v>0</v>
      </c>
      <c r="Q171">
        <f t="shared" si="54"/>
        <v>0</v>
      </c>
      <c r="R171">
        <f t="shared" si="54"/>
        <v>0</v>
      </c>
      <c r="S171">
        <f t="shared" si="54"/>
        <v>0.1</v>
      </c>
      <c r="T171">
        <f t="shared" si="54"/>
        <v>0.2</v>
      </c>
      <c r="U171">
        <f t="shared" si="54"/>
        <v>0.39</v>
      </c>
      <c r="V171">
        <f t="shared" si="54"/>
        <v>0.78</v>
      </c>
      <c r="W171">
        <f t="shared" si="54"/>
        <v>1.43</v>
      </c>
      <c r="X171">
        <f t="shared" si="54"/>
        <v>2.41</v>
      </c>
      <c r="Y171">
        <f t="shared" si="54"/>
        <v>3.48</v>
      </c>
      <c r="Z171">
        <f t="shared" si="54"/>
        <v>4.3899999999999997</v>
      </c>
      <c r="AB171" t="str">
        <f t="shared" si="41"/>
        <v>GEO_ELC.NEP C&amp;E</v>
      </c>
    </row>
    <row r="172" spans="2:28">
      <c r="B172">
        <f t="shared" si="43"/>
        <v>2020</v>
      </c>
      <c r="C172" t="str">
        <f t="shared" si="44"/>
        <v>GAS_NEW</v>
      </c>
      <c r="D172" t="str">
        <f t="shared" si="45"/>
        <v>POM C&amp;E</v>
      </c>
      <c r="E172" s="27" t="e">
        <f t="shared" si="46"/>
        <v>#N/A</v>
      </c>
      <c r="F172">
        <f t="shared" si="47"/>
        <v>1.65</v>
      </c>
      <c r="G172">
        <f t="shared" si="52"/>
        <v>2</v>
      </c>
      <c r="H172">
        <f t="shared" si="48"/>
        <v>10</v>
      </c>
      <c r="I172">
        <f t="shared" si="49"/>
        <v>2</v>
      </c>
      <c r="J172" t="str">
        <f t="shared" si="50"/>
        <v>GAS_NEW.POM C&amp;E</v>
      </c>
      <c r="L172" s="214"/>
      <c r="M172" t="s">
        <v>366</v>
      </c>
      <c r="N172" t="s">
        <v>65</v>
      </c>
      <c r="O172" t="s">
        <v>309</v>
      </c>
      <c r="P172">
        <f t="shared" si="54"/>
        <v>0</v>
      </c>
      <c r="Q172">
        <f t="shared" si="54"/>
        <v>0</v>
      </c>
      <c r="R172">
        <f t="shared" si="54"/>
        <v>0</v>
      </c>
      <c r="S172">
        <f t="shared" si="54"/>
        <v>0.1</v>
      </c>
      <c r="T172">
        <f t="shared" si="54"/>
        <v>0.2</v>
      </c>
      <c r="U172">
        <f t="shared" si="54"/>
        <v>0.39</v>
      </c>
      <c r="V172">
        <f t="shared" si="54"/>
        <v>0.78</v>
      </c>
      <c r="W172">
        <f t="shared" si="54"/>
        <v>1.43</v>
      </c>
      <c r="X172">
        <f t="shared" si="54"/>
        <v>2.41</v>
      </c>
      <c r="Y172">
        <f t="shared" si="54"/>
        <v>3.48</v>
      </c>
      <c r="Z172">
        <f t="shared" si="54"/>
        <v>4.3899999999999997</v>
      </c>
      <c r="AB172" t="str">
        <f t="shared" si="41"/>
        <v>GEO_ELC.NEP E</v>
      </c>
    </row>
    <row r="173" spans="2:28">
      <c r="B173">
        <f t="shared" si="43"/>
        <v>2025</v>
      </c>
      <c r="C173" t="str">
        <f t="shared" si="44"/>
        <v>GAS_NEW</v>
      </c>
      <c r="D173" t="str">
        <f t="shared" si="45"/>
        <v>POM C&amp;E</v>
      </c>
      <c r="E173" s="27" t="e">
        <f t="shared" si="46"/>
        <v>#N/A</v>
      </c>
      <c r="F173">
        <f t="shared" si="47"/>
        <v>4.4800000000000004</v>
      </c>
      <c r="G173">
        <f t="shared" si="52"/>
        <v>3</v>
      </c>
      <c r="H173">
        <f t="shared" si="48"/>
        <v>10</v>
      </c>
      <c r="I173">
        <f t="shared" si="49"/>
        <v>2</v>
      </c>
      <c r="J173" t="str">
        <f t="shared" si="50"/>
        <v>GAS_NEW.POM C&amp;E</v>
      </c>
      <c r="L173" s="214"/>
      <c r="M173" t="s">
        <v>366</v>
      </c>
      <c r="N173" t="s">
        <v>65</v>
      </c>
      <c r="O173" t="s">
        <v>310</v>
      </c>
      <c r="P173">
        <f t="shared" si="54"/>
        <v>0</v>
      </c>
      <c r="Q173">
        <f t="shared" si="54"/>
        <v>0</v>
      </c>
      <c r="R173">
        <f t="shared" si="54"/>
        <v>0</v>
      </c>
      <c r="S173">
        <f t="shared" si="54"/>
        <v>0.03</v>
      </c>
      <c r="T173">
        <f t="shared" si="54"/>
        <v>0.1</v>
      </c>
      <c r="U173">
        <f t="shared" si="54"/>
        <v>0.2</v>
      </c>
      <c r="V173">
        <f t="shared" si="54"/>
        <v>0.33</v>
      </c>
      <c r="W173">
        <f t="shared" si="54"/>
        <v>0.39</v>
      </c>
      <c r="X173">
        <f t="shared" si="54"/>
        <v>0.39</v>
      </c>
      <c r="Y173">
        <f t="shared" si="54"/>
        <v>0.42</v>
      </c>
      <c r="Z173">
        <f t="shared" si="54"/>
        <v>0.42</v>
      </c>
      <c r="AB173" t="str">
        <f t="shared" si="41"/>
        <v>GEO_ELC.WWB C</v>
      </c>
    </row>
    <row r="174" spans="2:28">
      <c r="B174">
        <f t="shared" si="43"/>
        <v>2030</v>
      </c>
      <c r="C174" t="str">
        <f t="shared" si="44"/>
        <v>GAS_NEW</v>
      </c>
      <c r="D174" t="str">
        <f t="shared" si="45"/>
        <v>POM C&amp;E</v>
      </c>
      <c r="E174" s="27" t="e">
        <f t="shared" si="46"/>
        <v>#N/A</v>
      </c>
      <c r="F174">
        <f t="shared" si="47"/>
        <v>7.21</v>
      </c>
      <c r="G174">
        <f t="shared" si="52"/>
        <v>4</v>
      </c>
      <c r="H174">
        <f t="shared" si="48"/>
        <v>10</v>
      </c>
      <c r="I174">
        <f t="shared" si="49"/>
        <v>2</v>
      </c>
      <c r="J174" t="str">
        <f t="shared" si="50"/>
        <v>GAS_NEW.POM C&amp;E</v>
      </c>
      <c r="L174" s="214"/>
      <c r="M174" t="s">
        <v>366</v>
      </c>
      <c r="N174" t="s">
        <v>65</v>
      </c>
      <c r="O174" t="s">
        <v>311</v>
      </c>
      <c r="P174">
        <f t="shared" si="54"/>
        <v>0</v>
      </c>
      <c r="Q174">
        <f t="shared" si="54"/>
        <v>0</v>
      </c>
      <c r="R174">
        <f t="shared" si="54"/>
        <v>0</v>
      </c>
      <c r="S174">
        <f t="shared" si="54"/>
        <v>0.1</v>
      </c>
      <c r="T174">
        <f t="shared" si="54"/>
        <v>0.2</v>
      </c>
      <c r="U174">
        <f t="shared" si="54"/>
        <v>0.39</v>
      </c>
      <c r="V174">
        <f t="shared" si="54"/>
        <v>0.78</v>
      </c>
      <c r="W174">
        <f t="shared" si="54"/>
        <v>1.43</v>
      </c>
      <c r="X174">
        <f t="shared" si="54"/>
        <v>2.41</v>
      </c>
      <c r="Y174">
        <f t="shared" si="54"/>
        <v>3.48</v>
      </c>
      <c r="Z174">
        <f t="shared" si="54"/>
        <v>4.3899999999999997</v>
      </c>
      <c r="AB174" t="str">
        <f t="shared" si="41"/>
        <v>GEO_ELC.WWB C&amp;E</v>
      </c>
    </row>
    <row r="175" spans="2:28">
      <c r="B175">
        <f t="shared" si="43"/>
        <v>2035</v>
      </c>
      <c r="C175" t="str">
        <f t="shared" si="44"/>
        <v>GAS_NEW</v>
      </c>
      <c r="D175" t="str">
        <f t="shared" si="45"/>
        <v>POM C&amp;E</v>
      </c>
      <c r="E175" s="27" t="e">
        <f t="shared" si="46"/>
        <v>#N/A</v>
      </c>
      <c r="F175">
        <f t="shared" si="47"/>
        <v>14.89</v>
      </c>
      <c r="G175">
        <f t="shared" si="52"/>
        <v>5</v>
      </c>
      <c r="H175">
        <f t="shared" si="48"/>
        <v>10</v>
      </c>
      <c r="I175">
        <f t="shared" si="49"/>
        <v>2</v>
      </c>
      <c r="J175" t="str">
        <f t="shared" si="50"/>
        <v>GAS_NEW.POM C&amp;E</v>
      </c>
    </row>
    <row r="176" spans="2:28">
      <c r="B176">
        <f t="shared" si="43"/>
        <v>2040</v>
      </c>
      <c r="C176" t="str">
        <f t="shared" si="44"/>
        <v>GAS_NEW</v>
      </c>
      <c r="D176" t="str">
        <f t="shared" si="45"/>
        <v>POM C&amp;E</v>
      </c>
      <c r="E176" s="27" t="e">
        <f t="shared" si="46"/>
        <v>#N/A</v>
      </c>
      <c r="F176">
        <f t="shared" si="47"/>
        <v>12.87</v>
      </c>
      <c r="G176">
        <f t="shared" si="52"/>
        <v>6</v>
      </c>
      <c r="H176">
        <f t="shared" si="48"/>
        <v>10</v>
      </c>
      <c r="I176">
        <f t="shared" si="49"/>
        <v>2</v>
      </c>
      <c r="J176" t="str">
        <f t="shared" si="50"/>
        <v>GAS_NEW.POM C&amp;E</v>
      </c>
      <c r="M176" s="130" t="s">
        <v>452</v>
      </c>
      <c r="N176" t="s">
        <v>95</v>
      </c>
      <c r="O176" t="s">
        <v>142</v>
      </c>
      <c r="P176">
        <f>SUMIFS(P$212:P$382,$AA$212:$AA$382,$N176,$N$212:$N$382,$O176)</f>
        <v>24.73</v>
      </c>
      <c r="Q176">
        <f t="shared" ref="Q176:Z176" si="55">SUMIFS(Q$212:Q$382,$AA$212:$AA$382,$N176,$N$212:$N$382,$O176)</f>
        <v>21.9</v>
      </c>
      <c r="R176">
        <f t="shared" si="55"/>
        <v>25.13</v>
      </c>
      <c r="S176">
        <f t="shared" si="55"/>
        <v>24.58</v>
      </c>
      <c r="T176">
        <f t="shared" si="55"/>
        <v>21.68</v>
      </c>
      <c r="U176">
        <f t="shared" si="55"/>
        <v>15.98</v>
      </c>
      <c r="V176">
        <f t="shared" si="55"/>
        <v>8.81</v>
      </c>
      <c r="W176">
        <f t="shared" si="55"/>
        <v>0</v>
      </c>
      <c r="X176">
        <f t="shared" si="55"/>
        <v>0</v>
      </c>
      <c r="Y176">
        <f t="shared" si="55"/>
        <v>0</v>
      </c>
      <c r="Z176">
        <f t="shared" si="55"/>
        <v>0</v>
      </c>
      <c r="AB176" t="str">
        <f t="shared" si="41"/>
        <v>NUC_ELC.POM C</v>
      </c>
    </row>
    <row r="177" spans="2:28">
      <c r="B177">
        <f t="shared" si="43"/>
        <v>2045</v>
      </c>
      <c r="C177" t="str">
        <f t="shared" si="44"/>
        <v>GAS_NEW</v>
      </c>
      <c r="D177" t="str">
        <f t="shared" si="45"/>
        <v>POM C&amp;E</v>
      </c>
      <c r="E177" s="27" t="e">
        <f t="shared" si="46"/>
        <v>#N/A</v>
      </c>
      <c r="F177">
        <f t="shared" si="47"/>
        <v>11.809999999999999</v>
      </c>
      <c r="G177">
        <f t="shared" si="52"/>
        <v>7</v>
      </c>
      <c r="H177">
        <f t="shared" si="48"/>
        <v>10</v>
      </c>
      <c r="I177">
        <f t="shared" si="49"/>
        <v>2</v>
      </c>
      <c r="J177" t="str">
        <f t="shared" si="50"/>
        <v>GAS_NEW.POM C&amp;E</v>
      </c>
      <c r="M177" s="130" t="s">
        <v>452</v>
      </c>
      <c r="N177" t="s">
        <v>95</v>
      </c>
      <c r="O177" t="s">
        <v>296</v>
      </c>
      <c r="P177">
        <f>SUMIFS(P$212:P$382,$AA$212:$AA$382,$N177,$N$212:$N$382,$O177)</f>
        <v>24.73</v>
      </c>
      <c r="Q177">
        <f t="shared" ref="Q177:Z178" si="56">SUMIFS(Q$212:Q$382,$AA$212:$AA$382,$N177,$N$212:$N$382,$O177)</f>
        <v>21.9</v>
      </c>
      <c r="R177">
        <f t="shared" si="56"/>
        <v>25.13</v>
      </c>
      <c r="S177">
        <f t="shared" si="56"/>
        <v>24.58</v>
      </c>
      <c r="T177">
        <f t="shared" si="56"/>
        <v>21.68</v>
      </c>
      <c r="U177">
        <f t="shared" si="56"/>
        <v>15.98</v>
      </c>
      <c r="V177">
        <f t="shared" si="56"/>
        <v>8.81</v>
      </c>
      <c r="W177">
        <f t="shared" si="56"/>
        <v>0</v>
      </c>
      <c r="X177">
        <f t="shared" si="56"/>
        <v>0</v>
      </c>
      <c r="Y177">
        <f t="shared" si="56"/>
        <v>0</v>
      </c>
      <c r="Z177">
        <f t="shared" si="56"/>
        <v>0</v>
      </c>
      <c r="AB177" t="str">
        <f t="shared" si="41"/>
        <v>NUC_ELC.POM C&amp;E</v>
      </c>
    </row>
    <row r="178" spans="2:28">
      <c r="B178">
        <f t="shared" si="43"/>
        <v>2050</v>
      </c>
      <c r="C178" t="str">
        <f t="shared" si="44"/>
        <v>GAS_NEW</v>
      </c>
      <c r="D178" t="str">
        <f t="shared" si="45"/>
        <v>POM C&amp;E</v>
      </c>
      <c r="E178" s="27" t="e">
        <f t="shared" si="46"/>
        <v>#N/A</v>
      </c>
      <c r="F178">
        <f t="shared" si="47"/>
        <v>10.65</v>
      </c>
      <c r="G178">
        <f t="shared" si="52"/>
        <v>8</v>
      </c>
      <c r="H178">
        <f t="shared" si="48"/>
        <v>10</v>
      </c>
      <c r="I178">
        <f t="shared" si="49"/>
        <v>2</v>
      </c>
      <c r="J178" t="str">
        <f t="shared" si="50"/>
        <v>GAS_NEW.POM C&amp;E</v>
      </c>
      <c r="M178" s="130" t="s">
        <v>452</v>
      </c>
      <c r="N178" t="s">
        <v>95</v>
      </c>
      <c r="O178" t="s">
        <v>143</v>
      </c>
      <c r="P178">
        <f>SUMIFS(P$212:P$382,$AA$212:$AA$382,$N178,$N$212:$N$382,$O178)</f>
        <v>24.73</v>
      </c>
      <c r="Q178">
        <f t="shared" si="56"/>
        <v>21.9</v>
      </c>
      <c r="R178">
        <f t="shared" si="56"/>
        <v>25.13</v>
      </c>
      <c r="S178">
        <f t="shared" si="56"/>
        <v>24.58</v>
      </c>
      <c r="T178">
        <f t="shared" si="56"/>
        <v>21.68</v>
      </c>
      <c r="U178">
        <f t="shared" si="56"/>
        <v>15.98</v>
      </c>
      <c r="V178">
        <f t="shared" si="56"/>
        <v>8.81</v>
      </c>
      <c r="W178">
        <f t="shared" si="56"/>
        <v>0</v>
      </c>
      <c r="X178">
        <f t="shared" si="56"/>
        <v>0</v>
      </c>
      <c r="Y178">
        <f t="shared" si="56"/>
        <v>0</v>
      </c>
      <c r="Z178">
        <f t="shared" si="56"/>
        <v>0</v>
      </c>
      <c r="AB178" t="str">
        <f t="shared" si="41"/>
        <v>NUC_ELC.POM E</v>
      </c>
    </row>
    <row r="179" spans="2:28">
      <c r="B179">
        <f t="shared" si="43"/>
        <v>2015</v>
      </c>
      <c r="C179" t="str">
        <f t="shared" si="44"/>
        <v>SOL_PHO</v>
      </c>
      <c r="D179" t="str">
        <f t="shared" si="45"/>
        <v>POM E</v>
      </c>
      <c r="E179" s="27">
        <f t="shared" si="46"/>
        <v>1390.1</v>
      </c>
      <c r="F179">
        <f t="shared" si="47"/>
        <v>0.28000000000000003</v>
      </c>
      <c r="G179">
        <f t="shared" si="52"/>
        <v>1</v>
      </c>
      <c r="H179">
        <f t="shared" si="48"/>
        <v>1</v>
      </c>
      <c r="I179">
        <f t="shared" si="49"/>
        <v>3</v>
      </c>
      <c r="J179" t="str">
        <f t="shared" si="50"/>
        <v>SOL_PHO.POM E</v>
      </c>
    </row>
    <row r="180" spans="2:28">
      <c r="B180">
        <f t="shared" si="43"/>
        <v>2020</v>
      </c>
      <c r="C180" t="str">
        <f t="shared" si="44"/>
        <v>SOL_PHO</v>
      </c>
      <c r="D180" t="str">
        <f t="shared" si="45"/>
        <v>POM E</v>
      </c>
      <c r="E180" s="27">
        <f t="shared" si="46"/>
        <v>1665.2918506448036</v>
      </c>
      <c r="F180">
        <f t="shared" si="47"/>
        <v>0.52</v>
      </c>
      <c r="G180">
        <f t="shared" si="52"/>
        <v>2</v>
      </c>
      <c r="H180">
        <f t="shared" si="48"/>
        <v>1</v>
      </c>
      <c r="I180">
        <f t="shared" si="49"/>
        <v>3</v>
      </c>
      <c r="J180" t="str">
        <f t="shared" si="50"/>
        <v>SOL_PHO.POM E</v>
      </c>
      <c r="N180" t="s">
        <v>460</v>
      </c>
      <c r="O180" t="s">
        <v>142</v>
      </c>
      <c r="P180">
        <f t="shared" ref="P180:Z182" si="57">SUMIFS(P$212:P$382,$AA$212:$AA$382,$N180,$N$212:$N$382,$O180)</f>
        <v>1.79</v>
      </c>
      <c r="Q180">
        <f t="shared" si="57"/>
        <v>2.0699999999999998</v>
      </c>
      <c r="R180">
        <f t="shared" si="57"/>
        <v>2.1800000000000002</v>
      </c>
      <c r="S180">
        <f t="shared" si="57"/>
        <v>1.76</v>
      </c>
      <c r="T180">
        <f t="shared" si="57"/>
        <v>1.48</v>
      </c>
      <c r="U180">
        <f t="shared" si="57"/>
        <v>0.92</v>
      </c>
      <c r="V180">
        <f t="shared" si="57"/>
        <v>0.57999999999999996</v>
      </c>
      <c r="W180">
        <f t="shared" si="57"/>
        <v>0.32</v>
      </c>
      <c r="X180">
        <f t="shared" si="57"/>
        <v>0</v>
      </c>
      <c r="Y180">
        <f t="shared" si="57"/>
        <v>0</v>
      </c>
      <c r="Z180">
        <f t="shared" si="57"/>
        <v>0</v>
      </c>
      <c r="AB180" t="str">
        <f t="shared" si="41"/>
        <v>GAS_OIL.POM C</v>
      </c>
    </row>
    <row r="181" spans="2:28">
      <c r="B181">
        <f t="shared" si="43"/>
        <v>2025</v>
      </c>
      <c r="C181" t="str">
        <f t="shared" si="44"/>
        <v>SOL_PHO</v>
      </c>
      <c r="D181" t="str">
        <f t="shared" si="45"/>
        <v>POM E</v>
      </c>
      <c r="E181" s="27">
        <f t="shared" si="46"/>
        <v>2192.7428977140107</v>
      </c>
      <c r="F181">
        <f t="shared" si="47"/>
        <v>0.98</v>
      </c>
      <c r="G181">
        <f t="shared" si="52"/>
        <v>3</v>
      </c>
      <c r="H181">
        <f t="shared" si="48"/>
        <v>1</v>
      </c>
      <c r="I181">
        <f t="shared" si="49"/>
        <v>3</v>
      </c>
      <c r="J181" t="str">
        <f t="shared" si="50"/>
        <v>SOL_PHO.POM E</v>
      </c>
      <c r="M181" s="130"/>
      <c r="N181" t="s">
        <v>460</v>
      </c>
      <c r="O181" t="s">
        <v>296</v>
      </c>
      <c r="P181">
        <f t="shared" si="57"/>
        <v>1.79</v>
      </c>
      <c r="Q181">
        <f t="shared" si="57"/>
        <v>2.0699999999999998</v>
      </c>
      <c r="R181">
        <f t="shared" si="57"/>
        <v>2.1800000000000002</v>
      </c>
      <c r="S181">
        <f t="shared" si="57"/>
        <v>1.76</v>
      </c>
      <c r="T181">
        <f t="shared" si="57"/>
        <v>1.48</v>
      </c>
      <c r="U181">
        <f t="shared" si="57"/>
        <v>0.92</v>
      </c>
      <c r="V181">
        <f t="shared" si="57"/>
        <v>0.57999999999999996</v>
      </c>
      <c r="W181">
        <f t="shared" si="57"/>
        <v>0.32</v>
      </c>
      <c r="X181">
        <f t="shared" si="57"/>
        <v>0</v>
      </c>
      <c r="Y181">
        <f t="shared" si="57"/>
        <v>0</v>
      </c>
      <c r="Z181">
        <f t="shared" si="57"/>
        <v>0</v>
      </c>
      <c r="AB181" t="str">
        <f t="shared" si="41"/>
        <v>GAS_OIL.POM C&amp;E</v>
      </c>
    </row>
    <row r="182" spans="2:28">
      <c r="B182">
        <f t="shared" si="43"/>
        <v>2030</v>
      </c>
      <c r="C182" t="str">
        <f t="shared" si="44"/>
        <v>SOL_PHO</v>
      </c>
      <c r="D182" t="str">
        <f t="shared" si="45"/>
        <v>POM E</v>
      </c>
      <c r="E182" s="27">
        <f t="shared" si="46"/>
        <v>3259.1113189626258</v>
      </c>
      <c r="F182">
        <f t="shared" si="47"/>
        <v>1.91</v>
      </c>
      <c r="G182">
        <f t="shared" si="52"/>
        <v>4</v>
      </c>
      <c r="H182">
        <f t="shared" si="48"/>
        <v>1</v>
      </c>
      <c r="I182">
        <f t="shared" si="49"/>
        <v>3</v>
      </c>
      <c r="J182" t="str">
        <f t="shared" si="50"/>
        <v>SOL_PHO.POM E</v>
      </c>
      <c r="M182" s="172"/>
      <c r="N182" t="s">
        <v>460</v>
      </c>
      <c r="O182" t="s">
        <v>143</v>
      </c>
      <c r="P182">
        <f t="shared" si="57"/>
        <v>1.79</v>
      </c>
      <c r="Q182">
        <f t="shared" si="57"/>
        <v>2.0699999999999998</v>
      </c>
      <c r="R182">
        <f t="shared" si="57"/>
        <v>2.1800000000000002</v>
      </c>
      <c r="S182">
        <f t="shared" si="57"/>
        <v>1.76</v>
      </c>
      <c r="T182">
        <f t="shared" si="57"/>
        <v>1.48</v>
      </c>
      <c r="U182">
        <f t="shared" si="57"/>
        <v>0.92</v>
      </c>
      <c r="V182">
        <f t="shared" si="57"/>
        <v>0.57999999999999996</v>
      </c>
      <c r="W182">
        <f t="shared" si="57"/>
        <v>0.32</v>
      </c>
      <c r="X182">
        <f t="shared" si="57"/>
        <v>0</v>
      </c>
      <c r="Y182">
        <f t="shared" si="57"/>
        <v>0</v>
      </c>
      <c r="Z182">
        <f t="shared" si="57"/>
        <v>0</v>
      </c>
      <c r="AB182" t="str">
        <f t="shared" si="41"/>
        <v>GAS_OIL.POM E</v>
      </c>
    </row>
    <row r="183" spans="2:28">
      <c r="B183">
        <f t="shared" si="43"/>
        <v>2035</v>
      </c>
      <c r="C183" t="str">
        <f t="shared" si="44"/>
        <v>SOL_PHO</v>
      </c>
      <c r="D183" t="str">
        <f t="shared" si="45"/>
        <v>POM E</v>
      </c>
      <c r="E183" s="27">
        <f t="shared" si="46"/>
        <v>6160.0920778432665</v>
      </c>
      <c r="F183">
        <f t="shared" si="47"/>
        <v>4.4400000000000004</v>
      </c>
      <c r="G183">
        <f t="shared" si="52"/>
        <v>5</v>
      </c>
      <c r="H183">
        <f t="shared" si="48"/>
        <v>1</v>
      </c>
      <c r="I183">
        <f t="shared" si="49"/>
        <v>3</v>
      </c>
      <c r="J183" t="str">
        <f t="shared" si="50"/>
        <v>SOL_PHO.POM E</v>
      </c>
    </row>
    <row r="184" spans="2:28">
      <c r="B184">
        <f t="shared" si="43"/>
        <v>2040</v>
      </c>
      <c r="C184" t="str">
        <f t="shared" si="44"/>
        <v>SOL_PHO</v>
      </c>
      <c r="D184" t="str">
        <f t="shared" si="45"/>
        <v>POM E</v>
      </c>
      <c r="E184" s="27">
        <f t="shared" si="46"/>
        <v>8797.3473131893006</v>
      </c>
      <c r="F184">
        <f t="shared" si="47"/>
        <v>6.74</v>
      </c>
      <c r="G184">
        <f t="shared" si="52"/>
        <v>6</v>
      </c>
      <c r="H184">
        <f t="shared" si="48"/>
        <v>1</v>
      </c>
      <c r="I184">
        <f t="shared" si="49"/>
        <v>3</v>
      </c>
      <c r="J184" t="str">
        <f t="shared" si="50"/>
        <v>SOL_PHO.POM E</v>
      </c>
      <c r="N184" t="s">
        <v>441</v>
      </c>
      <c r="O184" t="s">
        <v>142</v>
      </c>
      <c r="P184">
        <f t="shared" ref="P184:Z186" si="58">SUMIFS(P$212:P$382,$AA$212:$AA$382,$N184,$N$212:$N$382,$O184)</f>
        <v>0</v>
      </c>
      <c r="Q184">
        <f t="shared" si="58"/>
        <v>0</v>
      </c>
      <c r="R184">
        <f t="shared" si="58"/>
        <v>0</v>
      </c>
      <c r="S184">
        <f t="shared" si="58"/>
        <v>0.89</v>
      </c>
      <c r="T184">
        <f t="shared" si="58"/>
        <v>2.46</v>
      </c>
      <c r="U184">
        <f t="shared" si="58"/>
        <v>5.98</v>
      </c>
      <c r="V184">
        <f t="shared" si="58"/>
        <v>9.4400000000000013</v>
      </c>
      <c r="W184">
        <f t="shared" si="58"/>
        <v>21.97</v>
      </c>
      <c r="X184">
        <f t="shared" si="58"/>
        <v>21.6</v>
      </c>
      <c r="Y184">
        <f t="shared" si="58"/>
        <v>21.98</v>
      </c>
      <c r="Z184">
        <f t="shared" si="58"/>
        <v>21.65</v>
      </c>
      <c r="AB184" t="str">
        <f t="shared" si="41"/>
        <v>GAS_NEW.POM C</v>
      </c>
    </row>
    <row r="185" spans="2:28">
      <c r="B185">
        <f t="shared" si="43"/>
        <v>2045</v>
      </c>
      <c r="C185" t="str">
        <f t="shared" si="44"/>
        <v>SOL_PHO</v>
      </c>
      <c r="D185" t="str">
        <f t="shared" si="45"/>
        <v>POM E</v>
      </c>
      <c r="E185" s="27">
        <f t="shared" si="46"/>
        <v>11652.462763629143</v>
      </c>
      <c r="F185">
        <f t="shared" si="47"/>
        <v>9.23</v>
      </c>
      <c r="G185">
        <f t="shared" si="52"/>
        <v>7</v>
      </c>
      <c r="H185">
        <f t="shared" si="48"/>
        <v>1</v>
      </c>
      <c r="I185">
        <f t="shared" si="49"/>
        <v>3</v>
      </c>
      <c r="J185" t="str">
        <f t="shared" si="50"/>
        <v>SOL_PHO.POM E</v>
      </c>
      <c r="N185" t="s">
        <v>441</v>
      </c>
      <c r="O185" t="s">
        <v>296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0.94</v>
      </c>
      <c r="T185">
        <f t="shared" si="58"/>
        <v>1.65</v>
      </c>
      <c r="U185">
        <f t="shared" si="58"/>
        <v>4.4800000000000004</v>
      </c>
      <c r="V185">
        <f t="shared" si="58"/>
        <v>7.21</v>
      </c>
      <c r="W185">
        <f t="shared" si="58"/>
        <v>14.89</v>
      </c>
      <c r="X185">
        <f t="shared" si="58"/>
        <v>12.87</v>
      </c>
      <c r="Y185">
        <f t="shared" si="58"/>
        <v>11.809999999999999</v>
      </c>
      <c r="Z185">
        <f t="shared" si="58"/>
        <v>10.65</v>
      </c>
      <c r="AB185" t="str">
        <f t="shared" si="41"/>
        <v>GAS_NEW.POM C&amp;E</v>
      </c>
    </row>
    <row r="186" spans="2:28">
      <c r="B186">
        <f t="shared" si="43"/>
        <v>2050</v>
      </c>
      <c r="C186" t="str">
        <f t="shared" si="44"/>
        <v>SOL_PHO</v>
      </c>
      <c r="D186" t="str">
        <f t="shared" si="45"/>
        <v>POM E</v>
      </c>
      <c r="E186" s="27">
        <f t="shared" si="46"/>
        <v>13819.598587456969</v>
      </c>
      <c r="F186">
        <f t="shared" si="47"/>
        <v>11.12</v>
      </c>
      <c r="G186">
        <f t="shared" si="52"/>
        <v>8</v>
      </c>
      <c r="H186">
        <f t="shared" si="48"/>
        <v>1</v>
      </c>
      <c r="I186">
        <f t="shared" si="49"/>
        <v>3</v>
      </c>
      <c r="J186" t="str">
        <f t="shared" si="50"/>
        <v>SOL_PHO.POM E</v>
      </c>
      <c r="N186" t="s">
        <v>441</v>
      </c>
      <c r="O186" t="s">
        <v>143</v>
      </c>
      <c r="P186">
        <f t="shared" si="58"/>
        <v>0</v>
      </c>
      <c r="Q186">
        <f t="shared" si="58"/>
        <v>0</v>
      </c>
      <c r="R186">
        <f t="shared" si="58"/>
        <v>0</v>
      </c>
      <c r="S186">
        <f t="shared" si="58"/>
        <v>0.94</v>
      </c>
      <c r="T186">
        <f t="shared" si="58"/>
        <v>1.65</v>
      </c>
      <c r="U186">
        <f t="shared" si="58"/>
        <v>2.4700000000000002</v>
      </c>
      <c r="V186">
        <f t="shared" si="58"/>
        <v>3.04</v>
      </c>
      <c r="W186">
        <f t="shared" si="58"/>
        <v>3.26</v>
      </c>
      <c r="X186">
        <f t="shared" si="58"/>
        <v>3.44</v>
      </c>
      <c r="Y186">
        <f t="shared" si="58"/>
        <v>3.45</v>
      </c>
      <c r="Z186">
        <f t="shared" si="58"/>
        <v>3.45</v>
      </c>
      <c r="AB186" t="str">
        <f t="shared" si="41"/>
        <v>GAS_NEW.POM E</v>
      </c>
    </row>
    <row r="187" spans="2:28">
      <c r="B187">
        <f t="shared" si="43"/>
        <v>2015</v>
      </c>
      <c r="C187" t="str">
        <f t="shared" si="44"/>
        <v>WIN_ONS</v>
      </c>
      <c r="D187" t="str">
        <f t="shared" si="45"/>
        <v>POM E</v>
      </c>
      <c r="E187" s="27">
        <f t="shared" si="46"/>
        <v>60.287999999999997</v>
      </c>
      <c r="F187">
        <f t="shared" si="47"/>
        <v>0.35</v>
      </c>
      <c r="G187">
        <f t="shared" si="52"/>
        <v>1</v>
      </c>
      <c r="H187">
        <f t="shared" si="48"/>
        <v>2</v>
      </c>
      <c r="I187">
        <f t="shared" si="49"/>
        <v>3</v>
      </c>
      <c r="J187" t="str">
        <f t="shared" si="50"/>
        <v>WIN_ONS.POM E</v>
      </c>
    </row>
    <row r="188" spans="2:28">
      <c r="B188">
        <f t="shared" si="43"/>
        <v>2020</v>
      </c>
      <c r="C188" t="str">
        <f t="shared" si="44"/>
        <v>WIN_ONS</v>
      </c>
      <c r="D188" t="str">
        <f t="shared" si="45"/>
        <v>POM E</v>
      </c>
      <c r="E188" s="27">
        <f t="shared" si="46"/>
        <v>240.56887508707831</v>
      </c>
      <c r="F188">
        <f t="shared" si="47"/>
        <v>0.66</v>
      </c>
      <c r="G188">
        <f t="shared" si="52"/>
        <v>2</v>
      </c>
      <c r="H188">
        <f t="shared" si="48"/>
        <v>2</v>
      </c>
      <c r="I188">
        <f t="shared" si="49"/>
        <v>3</v>
      </c>
      <c r="J188" t="str">
        <f t="shared" si="50"/>
        <v>WIN_ONS.POM E</v>
      </c>
      <c r="N188" t="s">
        <v>145</v>
      </c>
      <c r="O188" t="s">
        <v>142</v>
      </c>
      <c r="P188">
        <f t="shared" ref="P188:Z190" si="59">SUMIFS(P$212:P$382,$AA$212:$AA$382,$N188,$N$212:$N$382,$O188)</f>
        <v>38.380000000000003</v>
      </c>
      <c r="Q188">
        <f t="shared" si="59"/>
        <v>34.340000000000003</v>
      </c>
      <c r="R188">
        <f t="shared" si="59"/>
        <v>35.42</v>
      </c>
      <c r="S188">
        <f t="shared" si="59"/>
        <v>36.950000000000003</v>
      </c>
      <c r="T188">
        <f t="shared" si="59"/>
        <v>36.869999999999997</v>
      </c>
      <c r="U188">
        <f t="shared" si="59"/>
        <v>36.83</v>
      </c>
      <c r="V188">
        <f t="shared" si="59"/>
        <v>36.75</v>
      </c>
      <c r="W188">
        <f t="shared" si="59"/>
        <v>36.54</v>
      </c>
      <c r="X188">
        <f t="shared" si="59"/>
        <v>36.409999999999997</v>
      </c>
      <c r="Y188">
        <f t="shared" si="59"/>
        <v>35.85</v>
      </c>
      <c r="Z188">
        <f t="shared" si="59"/>
        <v>35.57</v>
      </c>
      <c r="AB188" t="str">
        <f t="shared" si="41"/>
        <v>HYD_TOT.POM C</v>
      </c>
    </row>
    <row r="189" spans="2:28">
      <c r="B189">
        <f t="shared" si="43"/>
        <v>2025</v>
      </c>
      <c r="C189" t="str">
        <f t="shared" si="44"/>
        <v>WIN_ONS</v>
      </c>
      <c r="D189" t="str">
        <f t="shared" si="45"/>
        <v>POM E</v>
      </c>
      <c r="E189" s="27">
        <f t="shared" si="46"/>
        <v>432.4807743733229</v>
      </c>
      <c r="F189">
        <f t="shared" si="47"/>
        <v>0.99</v>
      </c>
      <c r="G189">
        <f t="shared" si="52"/>
        <v>3</v>
      </c>
      <c r="H189">
        <f t="shared" si="48"/>
        <v>2</v>
      </c>
      <c r="I189">
        <f t="shared" si="49"/>
        <v>3</v>
      </c>
      <c r="J189" t="str">
        <f t="shared" si="50"/>
        <v>WIN_ONS.POM E</v>
      </c>
      <c r="N189" t="s">
        <v>145</v>
      </c>
      <c r="O189" t="s">
        <v>296</v>
      </c>
      <c r="P189">
        <f t="shared" si="59"/>
        <v>38.380000000000003</v>
      </c>
      <c r="Q189">
        <f t="shared" si="59"/>
        <v>34.340000000000003</v>
      </c>
      <c r="R189">
        <f t="shared" si="59"/>
        <v>35.42</v>
      </c>
      <c r="S189">
        <f t="shared" si="59"/>
        <v>36.950000000000003</v>
      </c>
      <c r="T189">
        <f t="shared" si="59"/>
        <v>36.869999999999997</v>
      </c>
      <c r="U189">
        <f t="shared" si="59"/>
        <v>36.83</v>
      </c>
      <c r="V189">
        <f t="shared" si="59"/>
        <v>36.75</v>
      </c>
      <c r="W189">
        <f t="shared" si="59"/>
        <v>36.54</v>
      </c>
      <c r="X189">
        <f t="shared" si="59"/>
        <v>36.409999999999997</v>
      </c>
      <c r="Y189">
        <f t="shared" si="59"/>
        <v>35.85</v>
      </c>
      <c r="Z189">
        <f t="shared" si="59"/>
        <v>35.57</v>
      </c>
      <c r="AB189" t="str">
        <f t="shared" si="41"/>
        <v>HYD_TOT.POM C&amp;E</v>
      </c>
    </row>
    <row r="190" spans="2:28">
      <c r="B190">
        <f t="shared" si="43"/>
        <v>2030</v>
      </c>
      <c r="C190" t="str">
        <f t="shared" si="44"/>
        <v>WIN_ONS</v>
      </c>
      <c r="D190" t="str">
        <f t="shared" si="45"/>
        <v>POM E</v>
      </c>
      <c r="E190" s="27">
        <f t="shared" si="46"/>
        <v>705.80984305373192</v>
      </c>
      <c r="F190">
        <f t="shared" si="47"/>
        <v>1.46</v>
      </c>
      <c r="G190">
        <f t="shared" si="52"/>
        <v>4</v>
      </c>
      <c r="H190">
        <f t="shared" si="48"/>
        <v>2</v>
      </c>
      <c r="I190">
        <f t="shared" si="49"/>
        <v>3</v>
      </c>
      <c r="J190" t="str">
        <f t="shared" si="50"/>
        <v>WIN_ONS.POM E</v>
      </c>
      <c r="N190" t="s">
        <v>145</v>
      </c>
      <c r="O190" t="s">
        <v>143</v>
      </c>
      <c r="P190">
        <f t="shared" si="59"/>
        <v>38.380000000000003</v>
      </c>
      <c r="Q190">
        <f t="shared" si="59"/>
        <v>34.340000000000003</v>
      </c>
      <c r="R190">
        <f t="shared" si="59"/>
        <v>35.42</v>
      </c>
      <c r="S190">
        <f t="shared" si="59"/>
        <v>36.950000000000003</v>
      </c>
      <c r="T190">
        <f t="shared" si="59"/>
        <v>36.869999999999997</v>
      </c>
      <c r="U190">
        <f t="shared" si="59"/>
        <v>36.83</v>
      </c>
      <c r="V190">
        <f t="shared" si="59"/>
        <v>36.75</v>
      </c>
      <c r="W190">
        <f t="shared" si="59"/>
        <v>36.54</v>
      </c>
      <c r="X190">
        <f t="shared" si="59"/>
        <v>36.409999999999997</v>
      </c>
      <c r="Y190">
        <f t="shared" si="59"/>
        <v>35.85</v>
      </c>
      <c r="Z190">
        <f t="shared" si="59"/>
        <v>35.57</v>
      </c>
      <c r="AB190" t="str">
        <f t="shared" si="41"/>
        <v>HYD_TOT.POM E</v>
      </c>
    </row>
    <row r="191" spans="2:28">
      <c r="B191">
        <f t="shared" si="43"/>
        <v>2035</v>
      </c>
      <c r="C191" t="str">
        <f t="shared" si="44"/>
        <v>WIN_ONS</v>
      </c>
      <c r="D191" t="str">
        <f t="shared" si="45"/>
        <v>POM E</v>
      </c>
      <c r="E191" s="27">
        <f t="shared" si="46"/>
        <v>880.27520604122697</v>
      </c>
      <c r="F191">
        <f t="shared" si="47"/>
        <v>1.76</v>
      </c>
      <c r="G191">
        <f t="shared" si="52"/>
        <v>5</v>
      </c>
      <c r="H191">
        <f t="shared" si="48"/>
        <v>2</v>
      </c>
      <c r="I191">
        <f t="shared" si="49"/>
        <v>3</v>
      </c>
      <c r="J191" t="str">
        <f t="shared" si="50"/>
        <v>WIN_ONS.POM E</v>
      </c>
    </row>
    <row r="192" spans="2:28">
      <c r="B192">
        <f t="shared" si="43"/>
        <v>2040</v>
      </c>
      <c r="C192" t="str">
        <f t="shared" si="44"/>
        <v>WIN_ONS</v>
      </c>
      <c r="D192" t="str">
        <f t="shared" si="45"/>
        <v>POM E</v>
      </c>
      <c r="E192" s="27">
        <f t="shared" si="46"/>
        <v>1362.9627103066302</v>
      </c>
      <c r="F192">
        <f t="shared" si="47"/>
        <v>2.59</v>
      </c>
      <c r="G192">
        <f t="shared" si="52"/>
        <v>6</v>
      </c>
      <c r="H192">
        <f t="shared" si="48"/>
        <v>2</v>
      </c>
      <c r="I192">
        <f t="shared" si="49"/>
        <v>3</v>
      </c>
      <c r="J192" t="str">
        <f t="shared" si="50"/>
        <v>WIN_ONS.POM E</v>
      </c>
      <c r="N192" t="s">
        <v>462</v>
      </c>
      <c r="O192" t="s">
        <v>142</v>
      </c>
      <c r="P192">
        <f t="shared" ref="P192:Z194" si="60">SUMIFS(P$212:P$382,$AA$212:$AA$382,$N192,$N$212:$N$382,$O192)</f>
        <v>0</v>
      </c>
      <c r="Q192">
        <f t="shared" si="60"/>
        <v>0</v>
      </c>
      <c r="R192">
        <f t="shared" si="60"/>
        <v>0</v>
      </c>
      <c r="S192">
        <f t="shared" si="60"/>
        <v>1.81</v>
      </c>
      <c r="T192">
        <f t="shared" si="60"/>
        <v>4.6100000000000003</v>
      </c>
      <c r="U192">
        <f t="shared" si="60"/>
        <v>4.82</v>
      </c>
      <c r="V192">
        <f t="shared" si="60"/>
        <v>5.01</v>
      </c>
      <c r="W192">
        <f t="shared" si="60"/>
        <v>5.21</v>
      </c>
      <c r="X192">
        <f t="shared" si="60"/>
        <v>5.45</v>
      </c>
      <c r="Y192">
        <f t="shared" si="60"/>
        <v>5.75</v>
      </c>
      <c r="Z192">
        <f t="shared" si="60"/>
        <v>6.01</v>
      </c>
      <c r="AB192" t="str">
        <f t="shared" si="41"/>
        <v>HYD_NEW.POM C</v>
      </c>
    </row>
    <row r="193" spans="2:28">
      <c r="B193">
        <f t="shared" si="43"/>
        <v>2045</v>
      </c>
      <c r="C193" t="str">
        <f t="shared" si="44"/>
        <v>WIN_ONS</v>
      </c>
      <c r="D193" t="str">
        <f t="shared" si="45"/>
        <v>POM E</v>
      </c>
      <c r="E193" s="27">
        <f t="shared" si="46"/>
        <v>1851.4657266716167</v>
      </c>
      <c r="F193">
        <f t="shared" si="47"/>
        <v>3.43</v>
      </c>
      <c r="G193">
        <f t="shared" si="52"/>
        <v>7</v>
      </c>
      <c r="H193">
        <f t="shared" si="48"/>
        <v>2</v>
      </c>
      <c r="I193">
        <f t="shared" si="49"/>
        <v>3</v>
      </c>
      <c r="J193" t="str">
        <f t="shared" si="50"/>
        <v>WIN_ONS.POM E</v>
      </c>
      <c r="N193" t="s">
        <v>462</v>
      </c>
      <c r="O193" t="s">
        <v>296</v>
      </c>
      <c r="P193">
        <f t="shared" si="60"/>
        <v>0</v>
      </c>
      <c r="Q193">
        <f t="shared" si="60"/>
        <v>0</v>
      </c>
      <c r="R193">
        <f t="shared" si="60"/>
        <v>0</v>
      </c>
      <c r="S193">
        <f t="shared" si="60"/>
        <v>2.0499999999999998</v>
      </c>
      <c r="T193">
        <f t="shared" si="60"/>
        <v>5.09</v>
      </c>
      <c r="U193">
        <f t="shared" si="60"/>
        <v>5.52</v>
      </c>
      <c r="V193">
        <f t="shared" si="60"/>
        <v>5.91</v>
      </c>
      <c r="W193">
        <f t="shared" si="60"/>
        <v>6.48</v>
      </c>
      <c r="X193">
        <f t="shared" si="60"/>
        <v>7.02</v>
      </c>
      <c r="Y193">
        <f t="shared" si="60"/>
        <v>7.96</v>
      </c>
      <c r="Z193">
        <f t="shared" si="60"/>
        <v>8.57</v>
      </c>
      <c r="AB193" t="str">
        <f t="shared" ref="AB193:AB194" si="61">N193&amp;"."&amp;O193</f>
        <v>HYD_NEW.POM C&amp;E</v>
      </c>
    </row>
    <row r="194" spans="2:28">
      <c r="B194">
        <f t="shared" si="43"/>
        <v>2050</v>
      </c>
      <c r="C194" t="str">
        <f t="shared" si="44"/>
        <v>WIN_ONS</v>
      </c>
      <c r="D194" t="str">
        <f t="shared" si="45"/>
        <v>POM E</v>
      </c>
      <c r="E194" s="27">
        <f t="shared" si="46"/>
        <v>2334.15323093702</v>
      </c>
      <c r="F194">
        <f t="shared" si="47"/>
        <v>4.26</v>
      </c>
      <c r="G194">
        <f t="shared" si="52"/>
        <v>8</v>
      </c>
      <c r="H194">
        <f t="shared" si="48"/>
        <v>2</v>
      </c>
      <c r="I194">
        <f t="shared" si="49"/>
        <v>3</v>
      </c>
      <c r="J194" t="str">
        <f t="shared" si="50"/>
        <v>WIN_ONS.POM E</v>
      </c>
      <c r="N194" t="s">
        <v>462</v>
      </c>
      <c r="O194" t="s">
        <v>143</v>
      </c>
      <c r="P194">
        <f t="shared" si="60"/>
        <v>0</v>
      </c>
      <c r="Q194">
        <f t="shared" si="60"/>
        <v>0</v>
      </c>
      <c r="R194">
        <f t="shared" si="60"/>
        <v>0</v>
      </c>
      <c r="S194">
        <f t="shared" si="60"/>
        <v>2.0499999999999998</v>
      </c>
      <c r="T194">
        <f t="shared" si="60"/>
        <v>5.09</v>
      </c>
      <c r="U194">
        <f t="shared" si="60"/>
        <v>5.52</v>
      </c>
      <c r="V194">
        <f t="shared" si="60"/>
        <v>5.91</v>
      </c>
      <c r="W194">
        <f t="shared" si="60"/>
        <v>6.48</v>
      </c>
      <c r="X194">
        <f t="shared" si="60"/>
        <v>7.02</v>
      </c>
      <c r="Y194">
        <f t="shared" si="60"/>
        <v>7.96</v>
      </c>
      <c r="Z194">
        <f t="shared" si="60"/>
        <v>8.57</v>
      </c>
      <c r="AB194" t="str">
        <f t="shared" si="61"/>
        <v>HYD_NEW.POM E</v>
      </c>
    </row>
    <row r="195" spans="2:28">
      <c r="B195">
        <f t="shared" si="43"/>
        <v>2015</v>
      </c>
      <c r="C195" t="str">
        <f t="shared" si="44"/>
        <v>WAS_ELC</v>
      </c>
      <c r="D195" t="str">
        <f t="shared" si="45"/>
        <v>POM E</v>
      </c>
      <c r="E195" s="27">
        <f t="shared" si="46"/>
        <v>439.268492108766</v>
      </c>
      <c r="F195">
        <f t="shared" si="47"/>
        <v>1.98</v>
      </c>
      <c r="G195">
        <f t="shared" si="52"/>
        <v>1</v>
      </c>
      <c r="H195">
        <f t="shared" si="48"/>
        <v>3</v>
      </c>
      <c r="I195">
        <f t="shared" si="49"/>
        <v>3</v>
      </c>
      <c r="J195" t="str">
        <f t="shared" si="50"/>
        <v>WAS_ELC.POM E</v>
      </c>
    </row>
    <row r="196" spans="2:28">
      <c r="B196">
        <f t="shared" si="43"/>
        <v>2020</v>
      </c>
      <c r="C196" t="str">
        <f t="shared" si="44"/>
        <v>WAS_ELC</v>
      </c>
      <c r="D196" t="str">
        <f t="shared" si="45"/>
        <v>POM E</v>
      </c>
      <c r="E196" s="27">
        <f t="shared" si="46"/>
        <v>470.22880300472525</v>
      </c>
      <c r="F196">
        <f t="shared" si="47"/>
        <v>2.2000000000000002</v>
      </c>
      <c r="G196">
        <f t="shared" si="52"/>
        <v>2</v>
      </c>
      <c r="H196">
        <f t="shared" si="48"/>
        <v>3</v>
      </c>
      <c r="I196">
        <f t="shared" si="49"/>
        <v>3</v>
      </c>
      <c r="J196" t="str">
        <f t="shared" si="50"/>
        <v>WAS_ELC.POM E</v>
      </c>
      <c r="N196" t="s">
        <v>461</v>
      </c>
      <c r="O196" t="s">
        <v>142</v>
      </c>
      <c r="P196">
        <f>SUMIFS(P$212:P$382,$AA$212:$AA$382,$N196,$N$212:$N$382,$O196)</f>
        <v>2.2200000000000002</v>
      </c>
      <c r="Q196">
        <f t="shared" ref="Q196:Z198" si="62">SUMIFS(Q$212:Q$382,$AA$212:$AA$382,$N196,$N$212:$N$382,$O196)</f>
        <v>2.2200000000000002</v>
      </c>
      <c r="R196">
        <f t="shared" si="62"/>
        <v>2.56</v>
      </c>
      <c r="S196">
        <f t="shared" si="62"/>
        <v>4.34</v>
      </c>
      <c r="T196">
        <f t="shared" si="62"/>
        <v>7.54</v>
      </c>
      <c r="U196">
        <f t="shared" si="62"/>
        <v>7.54</v>
      </c>
      <c r="V196">
        <f t="shared" si="62"/>
        <v>7.54</v>
      </c>
      <c r="W196">
        <f t="shared" si="62"/>
        <v>7.54</v>
      </c>
      <c r="X196">
        <f t="shared" si="62"/>
        <v>7.54</v>
      </c>
      <c r="Y196">
        <f t="shared" si="62"/>
        <v>7.54</v>
      </c>
      <c r="Z196">
        <f t="shared" si="62"/>
        <v>7.54</v>
      </c>
      <c r="AB196" t="str">
        <f t="shared" ref="AB196:AB198" si="63">N196&amp;"."&amp;O196</f>
        <v>HYD_STO_TRUE.POM C</v>
      </c>
    </row>
    <row r="197" spans="2:28">
      <c r="B197">
        <f t="shared" si="43"/>
        <v>2025</v>
      </c>
      <c r="C197" t="str">
        <f t="shared" si="44"/>
        <v>WAS_ELC</v>
      </c>
      <c r="D197" t="str">
        <f t="shared" si="45"/>
        <v>POM E</v>
      </c>
      <c r="E197" s="27">
        <f t="shared" si="46"/>
        <v>506.81826133631336</v>
      </c>
      <c r="F197">
        <f t="shared" si="47"/>
        <v>2.46</v>
      </c>
      <c r="G197">
        <f t="shared" si="52"/>
        <v>3</v>
      </c>
      <c r="H197">
        <f t="shared" si="48"/>
        <v>3</v>
      </c>
      <c r="I197">
        <f t="shared" si="49"/>
        <v>3</v>
      </c>
      <c r="J197" t="str">
        <f t="shared" si="50"/>
        <v>WAS_ELC.POM E</v>
      </c>
      <c r="N197" t="s">
        <v>461</v>
      </c>
      <c r="O197" t="s">
        <v>296</v>
      </c>
      <c r="P197">
        <f>SUMIFS(P$212:P$382,$AA$212:$AA$382,$N197,$N$212:$N$382,$O197)</f>
        <v>2.2200000000000002</v>
      </c>
      <c r="Q197">
        <f t="shared" si="62"/>
        <v>2.2200000000000002</v>
      </c>
      <c r="R197">
        <f t="shared" si="62"/>
        <v>2.56</v>
      </c>
      <c r="S197">
        <f t="shared" si="62"/>
        <v>4.34</v>
      </c>
      <c r="T197">
        <f t="shared" si="62"/>
        <v>7.54</v>
      </c>
      <c r="U197">
        <f t="shared" si="62"/>
        <v>7.54</v>
      </c>
      <c r="V197">
        <f t="shared" si="62"/>
        <v>7.54</v>
      </c>
      <c r="W197">
        <f t="shared" si="62"/>
        <v>7.54</v>
      </c>
      <c r="X197">
        <f t="shared" si="62"/>
        <v>7.54</v>
      </c>
      <c r="Y197">
        <f t="shared" si="62"/>
        <v>7.54</v>
      </c>
      <c r="Z197">
        <f t="shared" si="62"/>
        <v>7.54</v>
      </c>
      <c r="AB197" t="str">
        <f t="shared" si="63"/>
        <v>HYD_STO_TRUE.POM C&amp;E</v>
      </c>
    </row>
    <row r="198" spans="2:28">
      <c r="B198">
        <f t="shared" si="43"/>
        <v>2030</v>
      </c>
      <c r="C198" t="str">
        <f t="shared" si="44"/>
        <v>WAS_ELC</v>
      </c>
      <c r="D198" t="str">
        <f t="shared" si="45"/>
        <v>POM E</v>
      </c>
      <c r="E198" s="27">
        <f t="shared" si="46"/>
        <v>532.14942479664364</v>
      </c>
      <c r="F198">
        <f t="shared" si="47"/>
        <v>2.64</v>
      </c>
      <c r="G198">
        <f t="shared" si="52"/>
        <v>4</v>
      </c>
      <c r="H198">
        <f t="shared" si="48"/>
        <v>3</v>
      </c>
      <c r="I198">
        <f t="shared" si="49"/>
        <v>3</v>
      </c>
      <c r="J198" t="str">
        <f t="shared" si="50"/>
        <v>WAS_ELC.POM E</v>
      </c>
      <c r="N198" t="s">
        <v>461</v>
      </c>
      <c r="O198" t="s">
        <v>143</v>
      </c>
      <c r="P198">
        <f>SUMIFS(P$212:P$382,$AA$212:$AA$382,$N198,$N$212:$N$382,$O198)</f>
        <v>2.2200000000000002</v>
      </c>
      <c r="Q198">
        <f t="shared" si="62"/>
        <v>2.2200000000000002</v>
      </c>
      <c r="R198">
        <f t="shared" si="62"/>
        <v>2.56</v>
      </c>
      <c r="S198">
        <f t="shared" si="62"/>
        <v>4.34</v>
      </c>
      <c r="T198">
        <f t="shared" si="62"/>
        <v>7.54</v>
      </c>
      <c r="U198">
        <f t="shared" si="62"/>
        <v>7.54</v>
      </c>
      <c r="V198">
        <f t="shared" si="62"/>
        <v>7.54</v>
      </c>
      <c r="W198">
        <f t="shared" si="62"/>
        <v>7.54</v>
      </c>
      <c r="X198">
        <f t="shared" si="62"/>
        <v>7.54</v>
      </c>
      <c r="Y198">
        <f t="shared" si="62"/>
        <v>7.54</v>
      </c>
      <c r="Z198">
        <f t="shared" si="62"/>
        <v>7.54</v>
      </c>
      <c r="AB198" t="str">
        <f t="shared" si="63"/>
        <v>HYD_STO_TRUE.POM E</v>
      </c>
    </row>
    <row r="199" spans="2:28">
      <c r="B199">
        <f t="shared" si="43"/>
        <v>2035</v>
      </c>
      <c r="C199" t="str">
        <f t="shared" si="44"/>
        <v>WAS_ELC</v>
      </c>
      <c r="D199" t="str">
        <f t="shared" si="45"/>
        <v>POM E</v>
      </c>
      <c r="E199" s="27">
        <f t="shared" si="46"/>
        <v>532.14942479664364</v>
      </c>
      <c r="F199">
        <f t="shared" si="47"/>
        <v>2.64</v>
      </c>
      <c r="G199">
        <f t="shared" si="52"/>
        <v>5</v>
      </c>
      <c r="H199">
        <f t="shared" si="48"/>
        <v>3</v>
      </c>
      <c r="I199">
        <f t="shared" si="49"/>
        <v>3</v>
      </c>
      <c r="J199" t="str">
        <f t="shared" si="50"/>
        <v>WAS_ELC.POM E</v>
      </c>
    </row>
    <row r="200" spans="2:28">
      <c r="B200">
        <f t="shared" si="43"/>
        <v>2040</v>
      </c>
      <c r="C200" t="str">
        <f t="shared" si="44"/>
        <v>WAS_ELC</v>
      </c>
      <c r="D200" t="str">
        <f t="shared" si="45"/>
        <v>POM E</v>
      </c>
      <c r="E200" s="27">
        <f t="shared" si="46"/>
        <v>534.96399851445813</v>
      </c>
      <c r="F200">
        <f t="shared" si="47"/>
        <v>2.66</v>
      </c>
      <c r="G200">
        <f t="shared" si="52"/>
        <v>6</v>
      </c>
      <c r="H200">
        <f t="shared" si="48"/>
        <v>3</v>
      </c>
      <c r="I200">
        <f t="shared" si="49"/>
        <v>3</v>
      </c>
      <c r="J200" t="str">
        <f t="shared" si="50"/>
        <v>WAS_ELC.POM E</v>
      </c>
    </row>
    <row r="201" spans="2:28">
      <c r="B201">
        <f t="shared" si="43"/>
        <v>2045</v>
      </c>
      <c r="C201" t="str">
        <f t="shared" si="44"/>
        <v>WAS_ELC</v>
      </c>
      <c r="D201" t="str">
        <f t="shared" si="45"/>
        <v>POM E</v>
      </c>
      <c r="E201" s="27">
        <f t="shared" si="46"/>
        <v>534.96399851445813</v>
      </c>
      <c r="F201">
        <f t="shared" si="47"/>
        <v>2.66</v>
      </c>
      <c r="G201">
        <f t="shared" si="52"/>
        <v>7</v>
      </c>
      <c r="H201">
        <f t="shared" si="48"/>
        <v>3</v>
      </c>
      <c r="I201">
        <f t="shared" si="49"/>
        <v>3</v>
      </c>
      <c r="J201" t="str">
        <f t="shared" si="50"/>
        <v>WAS_ELC.POM E</v>
      </c>
    </row>
    <row r="202" spans="2:28">
      <c r="B202">
        <f t="shared" si="43"/>
        <v>2050</v>
      </c>
      <c r="C202" t="str">
        <f t="shared" si="44"/>
        <v>WAS_ELC</v>
      </c>
      <c r="D202" t="str">
        <f t="shared" si="45"/>
        <v>POM E</v>
      </c>
      <c r="E202" s="27">
        <f t="shared" si="46"/>
        <v>534.96399851445813</v>
      </c>
      <c r="F202">
        <f t="shared" si="47"/>
        <v>2.66</v>
      </c>
      <c r="G202">
        <f t="shared" si="52"/>
        <v>8</v>
      </c>
      <c r="H202">
        <f t="shared" si="48"/>
        <v>3</v>
      </c>
      <c r="I202">
        <f t="shared" si="49"/>
        <v>3</v>
      </c>
      <c r="J202" t="str">
        <f t="shared" si="50"/>
        <v>WAS_ELC.POM E</v>
      </c>
    </row>
    <row r="203" spans="2:28">
      <c r="B203">
        <f t="shared" ref="B203:B258" si="64">INDEX(G$4:G$17,G203)</f>
        <v>2015</v>
      </c>
      <c r="C203" t="str">
        <f t="shared" ref="C203:C258" si="65">INDEX(H$4:H$17,H203)</f>
        <v>BAL_ELC</v>
      </c>
      <c r="D203" t="str">
        <f t="shared" ref="D203:D258" si="66">INDEX(I$4:I$17,I203)</f>
        <v>POM E</v>
      </c>
      <c r="E203" s="27">
        <f t="shared" ref="E203:E258" si="67">INDEX($S$20:$Z$64,MATCH(J203,$M$20:$M$64,0),MATCH(B203,$S$19:$Z$19,0))</f>
        <v>46.2</v>
      </c>
      <c r="F203">
        <f t="shared" ref="F203:F258" si="68">INDEX(P$127:Z$204,MATCH(J203,AB$127:AB$204,0),MATCH(B203,P$126:Z$126,0))</f>
        <v>0.65</v>
      </c>
      <c r="G203">
        <f t="shared" si="52"/>
        <v>1</v>
      </c>
      <c r="H203">
        <f t="shared" ref="H203:H258" si="69">IF(G203=1,IF(H202=$H$3,1,H202+1),H202)</f>
        <v>4</v>
      </c>
      <c r="I203">
        <f t="shared" ref="I203:I258" si="70">IF(AND(H203=1,H202&gt;1),IF(I202=$I$3,1,I202+1),I202)</f>
        <v>3</v>
      </c>
      <c r="J203" t="str">
        <f t="shared" ref="J203:J258" si="71">C203&amp;"."&amp;D203</f>
        <v>BAL_ELC.POM E</v>
      </c>
    </row>
    <row r="204" spans="2:28">
      <c r="B204">
        <f t="shared" si="64"/>
        <v>2020</v>
      </c>
      <c r="C204" t="str">
        <f t="shared" si="65"/>
        <v>BAL_ELC</v>
      </c>
      <c r="D204" t="str">
        <f t="shared" si="66"/>
        <v>POM E</v>
      </c>
      <c r="E204" s="27">
        <f t="shared" si="67"/>
        <v>191.26334532998413</v>
      </c>
      <c r="F204">
        <f t="shared" si="68"/>
        <v>1.22</v>
      </c>
      <c r="G204">
        <f t="shared" si="52"/>
        <v>2</v>
      </c>
      <c r="H204">
        <f t="shared" si="69"/>
        <v>4</v>
      </c>
      <c r="I204">
        <f t="shared" si="70"/>
        <v>3</v>
      </c>
      <c r="J204" t="str">
        <f t="shared" si="71"/>
        <v>BAL_ELC.POM E</v>
      </c>
    </row>
    <row r="205" spans="2:28">
      <c r="B205">
        <f t="shared" si="64"/>
        <v>2025</v>
      </c>
      <c r="C205" t="str">
        <f t="shared" si="65"/>
        <v>BAL_ELC</v>
      </c>
      <c r="D205" t="str">
        <f t="shared" si="66"/>
        <v>POM E</v>
      </c>
      <c r="E205" s="27">
        <f t="shared" si="67"/>
        <v>407.58587783960968</v>
      </c>
      <c r="F205">
        <f t="shared" si="68"/>
        <v>2.0700000000000003</v>
      </c>
      <c r="G205">
        <f t="shared" si="52"/>
        <v>3</v>
      </c>
      <c r="H205">
        <f t="shared" si="69"/>
        <v>4</v>
      </c>
      <c r="I205">
        <f t="shared" si="70"/>
        <v>3</v>
      </c>
      <c r="J205" t="str">
        <f t="shared" si="71"/>
        <v>BAL_ELC.POM E</v>
      </c>
    </row>
    <row r="206" spans="2:28">
      <c r="B206">
        <f t="shared" si="64"/>
        <v>2030</v>
      </c>
      <c r="C206" t="str">
        <f t="shared" si="65"/>
        <v>BAL_ELC</v>
      </c>
      <c r="D206" t="str">
        <f t="shared" si="66"/>
        <v>POM E</v>
      </c>
      <c r="E206" s="27">
        <f t="shared" si="67"/>
        <v>585.73384578871287</v>
      </c>
      <c r="F206">
        <f t="shared" si="68"/>
        <v>2.77</v>
      </c>
      <c r="G206">
        <f t="shared" si="52"/>
        <v>4</v>
      </c>
      <c r="H206">
        <f t="shared" si="69"/>
        <v>4</v>
      </c>
      <c r="I206">
        <f t="shared" si="70"/>
        <v>3</v>
      </c>
      <c r="J206" t="str">
        <f t="shared" si="71"/>
        <v>BAL_ELC.POM E</v>
      </c>
      <c r="O206" t="s">
        <v>367</v>
      </c>
    </row>
    <row r="207" spans="2:28">
      <c r="B207">
        <f t="shared" si="64"/>
        <v>2035</v>
      </c>
      <c r="C207" t="str">
        <f t="shared" si="65"/>
        <v>BAL_ELC</v>
      </c>
      <c r="D207" t="str">
        <f t="shared" si="66"/>
        <v>POM E</v>
      </c>
      <c r="E207" s="27">
        <f t="shared" si="67"/>
        <v>639.17823617344402</v>
      </c>
      <c r="F207">
        <f t="shared" si="68"/>
        <v>2.98</v>
      </c>
      <c r="G207">
        <f t="shared" si="52"/>
        <v>5</v>
      </c>
      <c r="H207">
        <f t="shared" si="69"/>
        <v>4</v>
      </c>
      <c r="I207">
        <f t="shared" si="70"/>
        <v>3</v>
      </c>
      <c r="J207" t="str">
        <f t="shared" si="71"/>
        <v>BAL_ELC.POM E</v>
      </c>
      <c r="O207" t="s">
        <v>368</v>
      </c>
    </row>
    <row r="208" spans="2:28">
      <c r="B208">
        <f t="shared" si="64"/>
        <v>2040</v>
      </c>
      <c r="C208" t="str">
        <f t="shared" si="65"/>
        <v>BAL_ELC</v>
      </c>
      <c r="D208" t="str">
        <f t="shared" si="66"/>
        <v>POM E</v>
      </c>
      <c r="E208" s="27">
        <f t="shared" si="67"/>
        <v>662.08297490975724</v>
      </c>
      <c r="F208">
        <f t="shared" si="68"/>
        <v>3.0700000000000003</v>
      </c>
      <c r="G208">
        <f t="shared" si="52"/>
        <v>6</v>
      </c>
      <c r="H208">
        <f t="shared" si="69"/>
        <v>4</v>
      </c>
      <c r="I208">
        <f t="shared" si="70"/>
        <v>3</v>
      </c>
      <c r="J208" t="str">
        <f t="shared" si="71"/>
        <v>BAL_ELC.POM E</v>
      </c>
    </row>
    <row r="209" spans="2:27">
      <c r="B209">
        <f t="shared" si="64"/>
        <v>2045</v>
      </c>
      <c r="C209" t="str">
        <f t="shared" si="65"/>
        <v>BAL_ELC</v>
      </c>
      <c r="D209" t="str">
        <f t="shared" si="66"/>
        <v>POM E</v>
      </c>
      <c r="E209" s="27">
        <f t="shared" si="67"/>
        <v>672.26285879256318</v>
      </c>
      <c r="F209">
        <f t="shared" si="68"/>
        <v>3.11</v>
      </c>
      <c r="G209">
        <f t="shared" si="52"/>
        <v>7</v>
      </c>
      <c r="H209">
        <f t="shared" si="69"/>
        <v>4</v>
      </c>
      <c r="I209">
        <f t="shared" si="70"/>
        <v>3</v>
      </c>
      <c r="J209" t="str">
        <f t="shared" si="71"/>
        <v>BAL_ELC.POM E</v>
      </c>
      <c r="P209">
        <v>2000</v>
      </c>
      <c r="Q209">
        <v>2005</v>
      </c>
      <c r="R209">
        <v>2010</v>
      </c>
      <c r="S209">
        <v>2015</v>
      </c>
      <c r="T209">
        <v>2020</v>
      </c>
      <c r="U209">
        <v>2025</v>
      </c>
      <c r="V209">
        <v>2030</v>
      </c>
      <c r="W209">
        <v>2035</v>
      </c>
      <c r="X209">
        <v>2040</v>
      </c>
      <c r="Y209">
        <v>2045</v>
      </c>
      <c r="Z209">
        <v>2050</v>
      </c>
    </row>
    <row r="210" spans="2:27">
      <c r="B210">
        <f t="shared" si="64"/>
        <v>2050</v>
      </c>
      <c r="C210" t="str">
        <f t="shared" si="65"/>
        <v>BAL_ELC</v>
      </c>
      <c r="D210" t="str">
        <f t="shared" si="66"/>
        <v>POM E</v>
      </c>
      <c r="E210" s="27">
        <f t="shared" si="67"/>
        <v>674.80782976326464</v>
      </c>
      <c r="F210">
        <f t="shared" si="68"/>
        <v>3.12</v>
      </c>
      <c r="G210">
        <f t="shared" si="52"/>
        <v>8</v>
      </c>
      <c r="H210">
        <f t="shared" si="69"/>
        <v>4</v>
      </c>
      <c r="I210">
        <f t="shared" si="70"/>
        <v>3</v>
      </c>
      <c r="J210" t="str">
        <f t="shared" si="71"/>
        <v>BAL_ELC.POM E</v>
      </c>
      <c r="O210" t="s">
        <v>310</v>
      </c>
    </row>
    <row r="211" spans="2:27">
      <c r="B211">
        <f t="shared" si="64"/>
        <v>2015</v>
      </c>
      <c r="C211" t="str">
        <f t="shared" si="65"/>
        <v>GEO_ELC</v>
      </c>
      <c r="D211" t="str">
        <f t="shared" si="66"/>
        <v>POM E</v>
      </c>
      <c r="E211" s="27">
        <f t="shared" si="67"/>
        <v>0</v>
      </c>
      <c r="F211">
        <f t="shared" si="68"/>
        <v>0.1</v>
      </c>
      <c r="G211">
        <f t="shared" si="52"/>
        <v>1</v>
      </c>
      <c r="H211">
        <f t="shared" si="69"/>
        <v>5</v>
      </c>
      <c r="I211">
        <f t="shared" si="70"/>
        <v>3</v>
      </c>
      <c r="J211" t="str">
        <f t="shared" si="71"/>
        <v>GEO_ELC.POM E</v>
      </c>
      <c r="O211" t="s">
        <v>369</v>
      </c>
    </row>
    <row r="212" spans="2:27" ht="15">
      <c r="B212">
        <f t="shared" si="64"/>
        <v>2020</v>
      </c>
      <c r="C212" t="str">
        <f t="shared" si="65"/>
        <v>GEO_ELC</v>
      </c>
      <c r="D212" t="str">
        <f t="shared" si="66"/>
        <v>POM E</v>
      </c>
      <c r="E212" s="27">
        <f t="shared" si="67"/>
        <v>12.979579189624854</v>
      </c>
      <c r="F212">
        <f t="shared" si="68"/>
        <v>0.2</v>
      </c>
      <c r="G212">
        <f t="shared" ref="G212:G258" si="72">IF(G211=$G$3,1,G211+1)</f>
        <v>2</v>
      </c>
      <c r="H212">
        <f t="shared" si="69"/>
        <v>5</v>
      </c>
      <c r="I212">
        <f t="shared" si="70"/>
        <v>3</v>
      </c>
      <c r="J212" t="str">
        <f t="shared" si="71"/>
        <v>GEO_ELC.POM E</v>
      </c>
      <c r="N212" t="str">
        <f>O210</f>
        <v>WWB C</v>
      </c>
      <c r="O212" s="126" t="s">
        <v>370</v>
      </c>
      <c r="P212" s="126">
        <v>0.01</v>
      </c>
      <c r="Q212" s="126">
        <v>0.03</v>
      </c>
      <c r="R212" s="126">
        <v>0.12</v>
      </c>
      <c r="S212" s="126">
        <v>0.33</v>
      </c>
      <c r="T212" s="126">
        <v>0.57999999999999996</v>
      </c>
      <c r="U212" s="126">
        <v>1</v>
      </c>
      <c r="V212" s="126">
        <v>1.86</v>
      </c>
      <c r="W212" s="126">
        <v>3.69</v>
      </c>
      <c r="X212" s="126">
        <v>4.8899999999999997</v>
      </c>
      <c r="Y212" s="126">
        <v>6.4</v>
      </c>
      <c r="Z212" s="126">
        <v>7.75</v>
      </c>
    </row>
    <row r="213" spans="2:27">
      <c r="B213">
        <f t="shared" si="64"/>
        <v>2025</v>
      </c>
      <c r="C213" t="str">
        <f t="shared" si="65"/>
        <v>GEO_ELC</v>
      </c>
      <c r="D213" t="str">
        <f t="shared" si="66"/>
        <v>POM E</v>
      </c>
      <c r="E213" s="27">
        <f t="shared" si="67"/>
        <v>37.640779649912076</v>
      </c>
      <c r="F213">
        <f t="shared" si="68"/>
        <v>0.39</v>
      </c>
      <c r="G213">
        <f t="shared" si="72"/>
        <v>3</v>
      </c>
      <c r="H213">
        <f t="shared" si="69"/>
        <v>5</v>
      </c>
      <c r="I213">
        <f t="shared" si="70"/>
        <v>3</v>
      </c>
      <c r="J213" t="str">
        <f t="shared" si="71"/>
        <v>GEO_ELC.POM E</v>
      </c>
      <c r="N213" t="str">
        <f t="shared" ref="N213:N222" si="73">N212</f>
        <v>WWB C</v>
      </c>
      <c r="O213" t="s">
        <v>201</v>
      </c>
      <c r="P213">
        <v>0.01</v>
      </c>
      <c r="Q213">
        <v>0.02</v>
      </c>
      <c r="R213">
        <v>0.08</v>
      </c>
      <c r="S213">
        <v>0.21</v>
      </c>
      <c r="T213">
        <v>0.34</v>
      </c>
      <c r="U213">
        <v>0.55000000000000004</v>
      </c>
      <c r="V213">
        <v>0.96</v>
      </c>
      <c r="W213">
        <v>2.52</v>
      </c>
      <c r="X213">
        <v>3.48</v>
      </c>
      <c r="Y213">
        <v>4.7300000000000004</v>
      </c>
      <c r="Z213">
        <v>5.92</v>
      </c>
    </row>
    <row r="214" spans="2:27">
      <c r="B214">
        <f t="shared" si="64"/>
        <v>2030</v>
      </c>
      <c r="C214" t="str">
        <f t="shared" si="65"/>
        <v>GEO_ELC</v>
      </c>
      <c r="D214" t="str">
        <f t="shared" si="66"/>
        <v>POM E</v>
      </c>
      <c r="E214" s="27">
        <f t="shared" si="67"/>
        <v>88.26113848944901</v>
      </c>
      <c r="F214">
        <f t="shared" si="68"/>
        <v>0.78</v>
      </c>
      <c r="G214">
        <f t="shared" si="72"/>
        <v>4</v>
      </c>
      <c r="H214">
        <f t="shared" si="69"/>
        <v>5</v>
      </c>
      <c r="I214">
        <f t="shared" si="70"/>
        <v>3</v>
      </c>
      <c r="J214" t="str">
        <f t="shared" si="71"/>
        <v>GEO_ELC.POM E</v>
      </c>
      <c r="N214" t="str">
        <f t="shared" si="73"/>
        <v>WWB C</v>
      </c>
      <c r="O214" t="s">
        <v>363</v>
      </c>
      <c r="P214">
        <v>0</v>
      </c>
      <c r="Q214">
        <v>0.01</v>
      </c>
      <c r="R214">
        <v>0.04</v>
      </c>
      <c r="S214">
        <v>0.09</v>
      </c>
      <c r="T214">
        <v>0.14000000000000001</v>
      </c>
      <c r="U214">
        <v>0.25</v>
      </c>
      <c r="V214">
        <v>0.56999999999999995</v>
      </c>
      <c r="W214">
        <v>0.77</v>
      </c>
      <c r="X214">
        <v>1.02</v>
      </c>
      <c r="Y214">
        <v>1.25</v>
      </c>
      <c r="Z214">
        <v>1.41</v>
      </c>
    </row>
    <row r="215" spans="2:27">
      <c r="B215">
        <f t="shared" si="64"/>
        <v>2035</v>
      </c>
      <c r="C215" t="str">
        <f t="shared" si="65"/>
        <v>GEO_ELC</v>
      </c>
      <c r="D215" t="str">
        <f t="shared" si="66"/>
        <v>POM E</v>
      </c>
      <c r="E215" s="27">
        <f t="shared" si="67"/>
        <v>172.62840322201058</v>
      </c>
      <c r="F215">
        <f t="shared" si="68"/>
        <v>1.43</v>
      </c>
      <c r="G215">
        <f t="shared" si="72"/>
        <v>5</v>
      </c>
      <c r="H215">
        <f t="shared" si="69"/>
        <v>5</v>
      </c>
      <c r="I215">
        <f t="shared" si="70"/>
        <v>3</v>
      </c>
      <c r="J215" t="str">
        <f t="shared" si="71"/>
        <v>GEO_ELC.POM E</v>
      </c>
      <c r="N215" t="str">
        <f t="shared" si="73"/>
        <v>WWB C</v>
      </c>
      <c r="O215" t="s">
        <v>371</v>
      </c>
      <c r="Q215" t="s">
        <v>195</v>
      </c>
      <c r="R215" t="s">
        <v>195</v>
      </c>
      <c r="S215" t="s">
        <v>195</v>
      </c>
      <c r="T215" t="s">
        <v>195</v>
      </c>
      <c r="U215" t="s">
        <v>195</v>
      </c>
      <c r="V215" t="s">
        <v>195</v>
      </c>
      <c r="W215" t="s">
        <v>195</v>
      </c>
      <c r="X215" t="s">
        <v>195</v>
      </c>
      <c r="Y215" t="s">
        <v>195</v>
      </c>
      <c r="Z215" t="s">
        <v>195</v>
      </c>
      <c r="AA215" t="s">
        <v>11</v>
      </c>
    </row>
    <row r="216" spans="2:27">
      <c r="B216">
        <f t="shared" si="64"/>
        <v>2040</v>
      </c>
      <c r="C216" t="str">
        <f t="shared" si="65"/>
        <v>GEO_ELC</v>
      </c>
      <c r="D216" t="str">
        <f t="shared" si="66"/>
        <v>POM E</v>
      </c>
      <c r="E216" s="27">
        <f t="shared" si="67"/>
        <v>299.82827928033413</v>
      </c>
      <c r="F216">
        <f t="shared" si="68"/>
        <v>2.41</v>
      </c>
      <c r="G216">
        <f t="shared" si="72"/>
        <v>6</v>
      </c>
      <c r="H216">
        <f t="shared" si="69"/>
        <v>5</v>
      </c>
      <c r="I216">
        <f t="shared" si="70"/>
        <v>3</v>
      </c>
      <c r="J216" t="str">
        <f t="shared" si="71"/>
        <v>GEO_ELC.POM E</v>
      </c>
      <c r="N216" t="str">
        <f t="shared" si="73"/>
        <v>WWB C</v>
      </c>
      <c r="O216" t="s">
        <v>366</v>
      </c>
      <c r="P216" t="s">
        <v>195</v>
      </c>
      <c r="Q216" t="s">
        <v>195</v>
      </c>
      <c r="R216" t="s">
        <v>195</v>
      </c>
      <c r="S216">
        <v>0.03</v>
      </c>
      <c r="T216">
        <v>0.1</v>
      </c>
      <c r="U216">
        <v>0.2</v>
      </c>
      <c r="V216">
        <v>0.33</v>
      </c>
      <c r="W216">
        <v>0.39</v>
      </c>
      <c r="X216">
        <v>0.39</v>
      </c>
      <c r="Y216">
        <v>0.42</v>
      </c>
      <c r="Z216">
        <v>0.42</v>
      </c>
    </row>
    <row r="217" spans="2:27" ht="15">
      <c r="B217">
        <f t="shared" si="64"/>
        <v>2045</v>
      </c>
      <c r="C217" t="str">
        <f t="shared" si="65"/>
        <v>GEO_ELC</v>
      </c>
      <c r="D217" t="str">
        <f t="shared" si="66"/>
        <v>POM E</v>
      </c>
      <c r="E217" s="27">
        <f t="shared" si="67"/>
        <v>438.70977660932004</v>
      </c>
      <c r="F217">
        <f t="shared" si="68"/>
        <v>3.48</v>
      </c>
      <c r="G217">
        <f t="shared" si="72"/>
        <v>7</v>
      </c>
      <c r="H217">
        <f t="shared" si="69"/>
        <v>5</v>
      </c>
      <c r="I217">
        <f t="shared" si="70"/>
        <v>3</v>
      </c>
      <c r="J217" t="str">
        <f t="shared" si="71"/>
        <v>GEO_ELC.POM E</v>
      </c>
      <c r="N217" t="str">
        <f t="shared" si="73"/>
        <v>WWB C</v>
      </c>
      <c r="O217" s="126" t="s">
        <v>372</v>
      </c>
      <c r="P217" s="126">
        <v>0.8</v>
      </c>
      <c r="Q217" s="126">
        <v>0.98</v>
      </c>
      <c r="R217" s="126">
        <v>1.26</v>
      </c>
      <c r="S217" s="126">
        <v>1.5</v>
      </c>
      <c r="T217" s="126">
        <v>1.79</v>
      </c>
      <c r="U217" s="126">
        <v>2.15</v>
      </c>
      <c r="V217" s="126">
        <v>2.42</v>
      </c>
      <c r="W217" s="126">
        <v>2.44</v>
      </c>
      <c r="X217" s="126">
        <v>2.48</v>
      </c>
      <c r="Y217" s="126">
        <v>2.5</v>
      </c>
      <c r="Z217" s="126">
        <v>2.5</v>
      </c>
    </row>
    <row r="218" spans="2:27">
      <c r="B218">
        <f t="shared" si="64"/>
        <v>2050</v>
      </c>
      <c r="C218" t="str">
        <f t="shared" si="65"/>
        <v>GEO_ELC</v>
      </c>
      <c r="D218" t="str">
        <f t="shared" si="66"/>
        <v>POM E</v>
      </c>
      <c r="E218" s="27">
        <f t="shared" si="67"/>
        <v>556.82394723490609</v>
      </c>
      <c r="F218">
        <f t="shared" si="68"/>
        <v>4.3899999999999997</v>
      </c>
      <c r="G218">
        <f t="shared" si="72"/>
        <v>8</v>
      </c>
      <c r="H218">
        <f t="shared" si="69"/>
        <v>5</v>
      </c>
      <c r="I218">
        <f t="shared" si="70"/>
        <v>3</v>
      </c>
      <c r="J218" t="str">
        <f t="shared" si="71"/>
        <v>GEO_ELC.POM E</v>
      </c>
      <c r="N218" t="str">
        <f t="shared" si="73"/>
        <v>WWB C</v>
      </c>
      <c r="O218" t="s">
        <v>202</v>
      </c>
      <c r="P218">
        <v>0.01</v>
      </c>
      <c r="Q218">
        <v>0.03</v>
      </c>
      <c r="R218">
        <v>0.14000000000000001</v>
      </c>
      <c r="S218">
        <v>0.3</v>
      </c>
      <c r="T218">
        <v>0.42</v>
      </c>
      <c r="U218">
        <v>0.56999999999999995</v>
      </c>
      <c r="V218">
        <v>0.69</v>
      </c>
      <c r="W218">
        <v>0.65</v>
      </c>
      <c r="X218">
        <v>0.67</v>
      </c>
      <c r="Y218">
        <v>0.68</v>
      </c>
      <c r="Z218">
        <v>0.68</v>
      </c>
      <c r="AA218" t="s">
        <v>11</v>
      </c>
    </row>
    <row r="219" spans="2:27">
      <c r="B219">
        <f t="shared" si="64"/>
        <v>2015</v>
      </c>
      <c r="C219" t="str">
        <f t="shared" si="65"/>
        <v>NUC_ELC</v>
      </c>
      <c r="D219" t="str">
        <f t="shared" si="66"/>
        <v>POM E</v>
      </c>
      <c r="E219" s="27" t="e">
        <f t="shared" si="67"/>
        <v>#N/A</v>
      </c>
      <c r="F219">
        <f t="shared" si="68"/>
        <v>24.58</v>
      </c>
      <c r="G219">
        <f t="shared" si="72"/>
        <v>1</v>
      </c>
      <c r="H219">
        <f t="shared" si="69"/>
        <v>6</v>
      </c>
      <c r="I219">
        <f t="shared" si="70"/>
        <v>3</v>
      </c>
      <c r="J219" t="str">
        <f t="shared" si="71"/>
        <v>NUC_ELC.POM E</v>
      </c>
      <c r="N219" t="str">
        <f t="shared" si="73"/>
        <v>WWB C</v>
      </c>
      <c r="O219" t="s">
        <v>373</v>
      </c>
      <c r="P219">
        <v>0.01</v>
      </c>
      <c r="Q219">
        <v>0.02</v>
      </c>
      <c r="R219">
        <v>0.08</v>
      </c>
      <c r="S219">
        <v>0.16</v>
      </c>
      <c r="T219">
        <v>0.26</v>
      </c>
      <c r="U219">
        <v>0.38</v>
      </c>
      <c r="V219">
        <v>0.48</v>
      </c>
      <c r="W219">
        <v>0.51</v>
      </c>
      <c r="X219">
        <v>0.52</v>
      </c>
      <c r="Y219">
        <v>0.53</v>
      </c>
      <c r="Z219">
        <v>0.53</v>
      </c>
      <c r="AA219" t="s">
        <v>11</v>
      </c>
    </row>
    <row r="220" spans="2:27">
      <c r="B220">
        <f t="shared" si="64"/>
        <v>2020</v>
      </c>
      <c r="C220" t="str">
        <f t="shared" si="65"/>
        <v>NUC_ELC</v>
      </c>
      <c r="D220" t="str">
        <f t="shared" si="66"/>
        <v>POM E</v>
      </c>
      <c r="E220" s="27" t="e">
        <f t="shared" si="67"/>
        <v>#N/A</v>
      </c>
      <c r="F220">
        <f t="shared" si="68"/>
        <v>21.68</v>
      </c>
      <c r="G220">
        <f t="shared" si="72"/>
        <v>2</v>
      </c>
      <c r="H220">
        <f t="shared" si="69"/>
        <v>6</v>
      </c>
      <c r="I220">
        <f t="shared" si="70"/>
        <v>3</v>
      </c>
      <c r="J220" t="str">
        <f t="shared" si="71"/>
        <v>NUC_ELC.POM E</v>
      </c>
      <c r="N220" t="str">
        <f t="shared" si="73"/>
        <v>WWB C</v>
      </c>
      <c r="O220" t="s">
        <v>374</v>
      </c>
      <c r="P220">
        <v>0.09</v>
      </c>
      <c r="Q220">
        <v>0.11</v>
      </c>
      <c r="R220">
        <v>0.12</v>
      </c>
      <c r="S220">
        <v>0.1</v>
      </c>
      <c r="T220">
        <v>0.16</v>
      </c>
      <c r="U220">
        <v>0.22</v>
      </c>
      <c r="V220">
        <v>0.27</v>
      </c>
      <c r="W220">
        <v>0.28999999999999998</v>
      </c>
      <c r="X220">
        <v>0.28999999999999998</v>
      </c>
      <c r="Y220">
        <v>0.3</v>
      </c>
      <c r="Z220">
        <v>0.3</v>
      </c>
      <c r="AA220" t="s">
        <v>11</v>
      </c>
    </row>
    <row r="221" spans="2:27">
      <c r="B221">
        <f t="shared" si="64"/>
        <v>2025</v>
      </c>
      <c r="C221" t="str">
        <f t="shared" si="65"/>
        <v>NUC_ELC</v>
      </c>
      <c r="D221" t="str">
        <f t="shared" si="66"/>
        <v>POM E</v>
      </c>
      <c r="E221" s="27" t="e">
        <f t="shared" si="67"/>
        <v>#N/A</v>
      </c>
      <c r="F221">
        <f t="shared" si="68"/>
        <v>15.98</v>
      </c>
      <c r="G221">
        <f t="shared" si="72"/>
        <v>3</v>
      </c>
      <c r="H221">
        <f t="shared" si="69"/>
        <v>6</v>
      </c>
      <c r="I221">
        <f t="shared" si="70"/>
        <v>3</v>
      </c>
      <c r="J221" t="str">
        <f t="shared" si="71"/>
        <v>NUC_ELC.POM E</v>
      </c>
      <c r="N221" t="str">
        <f t="shared" si="73"/>
        <v>WWB C</v>
      </c>
      <c r="O221" t="s">
        <v>364</v>
      </c>
      <c r="P221">
        <v>0.63</v>
      </c>
      <c r="Q221">
        <v>0.8</v>
      </c>
      <c r="R221">
        <v>0.92</v>
      </c>
      <c r="S221">
        <v>0.94</v>
      </c>
      <c r="T221">
        <v>0.94</v>
      </c>
      <c r="U221">
        <v>0.97</v>
      </c>
      <c r="V221">
        <v>0.98</v>
      </c>
      <c r="W221">
        <v>0.98</v>
      </c>
      <c r="X221">
        <v>0.99</v>
      </c>
      <c r="Y221">
        <v>0.99</v>
      </c>
      <c r="Z221">
        <v>0.99</v>
      </c>
    </row>
    <row r="222" spans="2:27">
      <c r="B222">
        <f t="shared" si="64"/>
        <v>2030</v>
      </c>
      <c r="C222" t="str">
        <f t="shared" si="65"/>
        <v>NUC_ELC</v>
      </c>
      <c r="D222" t="str">
        <f t="shared" si="66"/>
        <v>POM E</v>
      </c>
      <c r="E222" s="27" t="e">
        <f t="shared" si="67"/>
        <v>#N/A</v>
      </c>
      <c r="F222">
        <f t="shared" si="68"/>
        <v>8.81</v>
      </c>
      <c r="G222">
        <f t="shared" si="72"/>
        <v>4</v>
      </c>
      <c r="H222">
        <f t="shared" si="69"/>
        <v>6</v>
      </c>
      <c r="I222">
        <f t="shared" si="70"/>
        <v>3</v>
      </c>
      <c r="J222" t="str">
        <f t="shared" si="71"/>
        <v>NUC_ELC.POM E</v>
      </c>
      <c r="N222" t="str">
        <f t="shared" si="73"/>
        <v>WWB C</v>
      </c>
      <c r="O222" t="s">
        <v>375</v>
      </c>
      <c r="P222">
        <v>0.04</v>
      </c>
      <c r="Q222">
        <v>0.02</v>
      </c>
      <c r="R222">
        <v>0</v>
      </c>
      <c r="S222">
        <v>0.01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11</v>
      </c>
    </row>
    <row r="223" spans="2:27">
      <c r="B223">
        <f t="shared" si="64"/>
        <v>2035</v>
      </c>
      <c r="C223" t="str">
        <f t="shared" si="65"/>
        <v>NUC_ELC</v>
      </c>
      <c r="D223" t="str">
        <f t="shared" si="66"/>
        <v>POM E</v>
      </c>
      <c r="E223" s="27" t="e">
        <f t="shared" si="67"/>
        <v>#N/A</v>
      </c>
      <c r="F223">
        <f t="shared" si="68"/>
        <v>0</v>
      </c>
      <c r="G223">
        <f t="shared" si="72"/>
        <v>5</v>
      </c>
      <c r="H223">
        <f t="shared" si="69"/>
        <v>6</v>
      </c>
      <c r="I223">
        <f t="shared" si="70"/>
        <v>3</v>
      </c>
      <c r="J223" t="str">
        <f t="shared" si="71"/>
        <v>NUC_ELC.POM E</v>
      </c>
    </row>
    <row r="224" spans="2:27">
      <c r="B224">
        <f t="shared" si="64"/>
        <v>2040</v>
      </c>
      <c r="C224" t="str">
        <f t="shared" si="65"/>
        <v>NUC_ELC</v>
      </c>
      <c r="D224" t="str">
        <f t="shared" si="66"/>
        <v>POM E</v>
      </c>
      <c r="E224" s="27" t="e">
        <f t="shared" si="67"/>
        <v>#N/A</v>
      </c>
      <c r="F224">
        <f t="shared" si="68"/>
        <v>0</v>
      </c>
      <c r="G224">
        <f t="shared" si="72"/>
        <v>6</v>
      </c>
      <c r="H224">
        <f t="shared" si="69"/>
        <v>6</v>
      </c>
      <c r="I224">
        <f t="shared" si="70"/>
        <v>3</v>
      </c>
      <c r="J224" t="str">
        <f t="shared" si="71"/>
        <v>NUC_ELC.POM E</v>
      </c>
      <c r="O224" t="s">
        <v>311</v>
      </c>
    </row>
    <row r="225" spans="2:27">
      <c r="B225">
        <f t="shared" si="64"/>
        <v>2045</v>
      </c>
      <c r="C225" t="str">
        <f t="shared" si="65"/>
        <v>NUC_ELC</v>
      </c>
      <c r="D225" t="str">
        <f t="shared" si="66"/>
        <v>POM E</v>
      </c>
      <c r="E225" s="27" t="e">
        <f t="shared" si="67"/>
        <v>#N/A</v>
      </c>
      <c r="F225">
        <f t="shared" si="68"/>
        <v>0</v>
      </c>
      <c r="G225">
        <f t="shared" si="72"/>
        <v>7</v>
      </c>
      <c r="H225">
        <f t="shared" si="69"/>
        <v>6</v>
      </c>
      <c r="I225">
        <f t="shared" si="70"/>
        <v>3</v>
      </c>
      <c r="J225" t="str">
        <f t="shared" si="71"/>
        <v>NUC_ELC.POM E</v>
      </c>
      <c r="O225" t="s">
        <v>376</v>
      </c>
    </row>
    <row r="226" spans="2:27" ht="15">
      <c r="B226">
        <f t="shared" si="64"/>
        <v>2050</v>
      </c>
      <c r="C226" t="str">
        <f t="shared" si="65"/>
        <v>NUC_ELC</v>
      </c>
      <c r="D226" t="str">
        <f t="shared" si="66"/>
        <v>POM E</v>
      </c>
      <c r="E226" s="27" t="e">
        <f t="shared" si="67"/>
        <v>#N/A</v>
      </c>
      <c r="F226">
        <f t="shared" si="68"/>
        <v>0</v>
      </c>
      <c r="G226">
        <f t="shared" si="72"/>
        <v>8</v>
      </c>
      <c r="H226">
        <f t="shared" si="69"/>
        <v>6</v>
      </c>
      <c r="I226">
        <f t="shared" si="70"/>
        <v>3</v>
      </c>
      <c r="J226" t="str">
        <f t="shared" si="71"/>
        <v>NUC_ELC.POM E</v>
      </c>
      <c r="N226" t="str">
        <f>O224</f>
        <v>WWB C&amp;E</v>
      </c>
      <c r="O226" s="126" t="s">
        <v>377</v>
      </c>
      <c r="P226" s="126">
        <v>0.81</v>
      </c>
      <c r="Q226" s="126">
        <v>1.01</v>
      </c>
      <c r="R226" s="126">
        <v>1.38</v>
      </c>
      <c r="S226" s="126">
        <v>2.36</v>
      </c>
      <c r="T226" s="126">
        <v>3.68</v>
      </c>
      <c r="U226" s="126">
        <v>5.66</v>
      </c>
      <c r="V226" s="126">
        <v>8.24</v>
      </c>
      <c r="W226" s="126">
        <v>11.94</v>
      </c>
      <c r="X226" s="126">
        <v>16.149999999999999</v>
      </c>
      <c r="Y226" s="126">
        <v>20.57</v>
      </c>
      <c r="Z226" s="126">
        <v>24.22</v>
      </c>
    </row>
    <row r="227" spans="2:27" ht="15">
      <c r="B227">
        <f t="shared" si="64"/>
        <v>2015</v>
      </c>
      <c r="C227" t="str">
        <f t="shared" si="65"/>
        <v>HYD_STO_TRUE</v>
      </c>
      <c r="D227" t="str">
        <f t="shared" si="66"/>
        <v>POM E</v>
      </c>
      <c r="E227" s="27" t="e">
        <f t="shared" si="67"/>
        <v>#N/A</v>
      </c>
      <c r="F227">
        <f t="shared" si="68"/>
        <v>4.34</v>
      </c>
      <c r="G227">
        <f t="shared" si="72"/>
        <v>1</v>
      </c>
      <c r="H227">
        <f t="shared" si="69"/>
        <v>7</v>
      </c>
      <c r="I227">
        <f t="shared" si="70"/>
        <v>3</v>
      </c>
      <c r="J227" t="str">
        <f t="shared" si="71"/>
        <v>HYD_STO_TRUE.POM E</v>
      </c>
      <c r="N227" t="str">
        <f t="shared" ref="N227:N237" si="74">N226</f>
        <v>WWB C&amp;E</v>
      </c>
      <c r="O227" s="126" t="s">
        <v>370</v>
      </c>
      <c r="P227" s="126">
        <v>0.01</v>
      </c>
      <c r="Q227" s="126">
        <v>0.03</v>
      </c>
      <c r="R227" s="126">
        <v>0.12</v>
      </c>
      <c r="S227" s="126">
        <v>0.73</v>
      </c>
      <c r="T227" s="126">
        <v>1.37</v>
      </c>
      <c r="U227" s="126">
        <v>2.35</v>
      </c>
      <c r="V227" s="126">
        <v>4.1500000000000004</v>
      </c>
      <c r="W227" s="126">
        <v>7.63</v>
      </c>
      <c r="X227" s="126">
        <v>11.74</v>
      </c>
      <c r="Y227" s="126">
        <v>16.13</v>
      </c>
      <c r="Z227" s="126">
        <v>19.77</v>
      </c>
    </row>
    <row r="228" spans="2:27">
      <c r="B228">
        <f t="shared" si="64"/>
        <v>2020</v>
      </c>
      <c r="C228" t="str">
        <f t="shared" si="65"/>
        <v>HYD_STO_TRUE</v>
      </c>
      <c r="D228" t="str">
        <f t="shared" si="66"/>
        <v>POM E</v>
      </c>
      <c r="E228" s="27" t="e">
        <f t="shared" si="67"/>
        <v>#N/A</v>
      </c>
      <c r="F228">
        <f t="shared" si="68"/>
        <v>7.54</v>
      </c>
      <c r="G228">
        <f t="shared" si="72"/>
        <v>2</v>
      </c>
      <c r="H228">
        <f t="shared" si="69"/>
        <v>7</v>
      </c>
      <c r="I228">
        <f t="shared" si="70"/>
        <v>3</v>
      </c>
      <c r="J228" t="str">
        <f t="shared" si="71"/>
        <v>HYD_STO_TRUE.POM E</v>
      </c>
      <c r="N228" t="str">
        <f t="shared" si="74"/>
        <v>WWB C&amp;E</v>
      </c>
      <c r="O228" t="s">
        <v>201</v>
      </c>
      <c r="P228">
        <v>0.01</v>
      </c>
      <c r="Q228">
        <v>0.02</v>
      </c>
      <c r="R228">
        <v>0.08</v>
      </c>
      <c r="S228">
        <v>0.28000000000000003</v>
      </c>
      <c r="T228">
        <v>0.52</v>
      </c>
      <c r="U228">
        <v>0.98</v>
      </c>
      <c r="V228">
        <v>1.91</v>
      </c>
      <c r="W228">
        <v>4.4400000000000004</v>
      </c>
      <c r="X228">
        <v>6.74</v>
      </c>
      <c r="Y228">
        <v>9.23</v>
      </c>
      <c r="Z228">
        <v>11.12</v>
      </c>
    </row>
    <row r="229" spans="2:27">
      <c r="B229">
        <f t="shared" si="64"/>
        <v>2025</v>
      </c>
      <c r="C229" t="str">
        <f t="shared" si="65"/>
        <v>HYD_STO_TRUE</v>
      </c>
      <c r="D229" t="str">
        <f t="shared" si="66"/>
        <v>POM E</v>
      </c>
      <c r="E229" s="27" t="e">
        <f t="shared" si="67"/>
        <v>#N/A</v>
      </c>
      <c r="F229">
        <f t="shared" si="68"/>
        <v>7.54</v>
      </c>
      <c r="G229">
        <f t="shared" si="72"/>
        <v>3</v>
      </c>
      <c r="H229">
        <f t="shared" si="69"/>
        <v>7</v>
      </c>
      <c r="I229">
        <f t="shared" si="70"/>
        <v>3</v>
      </c>
      <c r="J229" t="str">
        <f t="shared" si="71"/>
        <v>HYD_STO_TRUE.POM E</v>
      </c>
      <c r="N229" t="str">
        <f t="shared" si="74"/>
        <v>WWB C&amp;E</v>
      </c>
      <c r="O229" t="s">
        <v>363</v>
      </c>
      <c r="P229">
        <v>0</v>
      </c>
      <c r="Q229">
        <v>0.01</v>
      </c>
      <c r="R229">
        <v>0.04</v>
      </c>
      <c r="S229">
        <v>0.35</v>
      </c>
      <c r="T229">
        <v>0.66</v>
      </c>
      <c r="U229">
        <v>0.99</v>
      </c>
      <c r="V229">
        <v>1.46</v>
      </c>
      <c r="W229">
        <v>1.76</v>
      </c>
      <c r="X229">
        <v>2.59</v>
      </c>
      <c r="Y229">
        <v>3.43</v>
      </c>
      <c r="Z229">
        <v>4.26</v>
      </c>
    </row>
    <row r="230" spans="2:27">
      <c r="B230">
        <f t="shared" si="64"/>
        <v>2030</v>
      </c>
      <c r="C230" t="str">
        <f t="shared" si="65"/>
        <v>HYD_STO_TRUE</v>
      </c>
      <c r="D230" t="str">
        <f t="shared" si="66"/>
        <v>POM E</v>
      </c>
      <c r="E230" s="27" t="e">
        <f t="shared" si="67"/>
        <v>#N/A</v>
      </c>
      <c r="F230">
        <f t="shared" si="68"/>
        <v>7.54</v>
      </c>
      <c r="G230">
        <f t="shared" si="72"/>
        <v>4</v>
      </c>
      <c r="H230">
        <f t="shared" si="69"/>
        <v>7</v>
      </c>
      <c r="I230">
        <f t="shared" si="70"/>
        <v>3</v>
      </c>
      <c r="J230" t="str">
        <f t="shared" si="71"/>
        <v>HYD_STO_TRUE.POM E</v>
      </c>
      <c r="N230" t="str">
        <f t="shared" si="74"/>
        <v>WWB C&amp;E</v>
      </c>
      <c r="O230" t="s">
        <v>202</v>
      </c>
      <c r="P230" t="s">
        <v>195</v>
      </c>
      <c r="Q230" t="s">
        <v>195</v>
      </c>
      <c r="R230" t="s">
        <v>195</v>
      </c>
      <c r="S230" t="s">
        <v>195</v>
      </c>
      <c r="T230" t="s">
        <v>195</v>
      </c>
      <c r="U230" t="s">
        <v>195</v>
      </c>
      <c r="V230" t="s">
        <v>195</v>
      </c>
      <c r="W230" t="s">
        <v>195</v>
      </c>
      <c r="X230" t="s">
        <v>195</v>
      </c>
      <c r="Y230" t="s">
        <v>195</v>
      </c>
      <c r="Z230" t="s">
        <v>195</v>
      </c>
      <c r="AA230" t="s">
        <v>11</v>
      </c>
    </row>
    <row r="231" spans="2:27">
      <c r="B231">
        <f t="shared" si="64"/>
        <v>2035</v>
      </c>
      <c r="C231" t="str">
        <f t="shared" si="65"/>
        <v>HYD_STO_TRUE</v>
      </c>
      <c r="D231" t="str">
        <f t="shared" si="66"/>
        <v>POM E</v>
      </c>
      <c r="E231" s="27" t="e">
        <f t="shared" si="67"/>
        <v>#N/A</v>
      </c>
      <c r="F231">
        <f t="shared" si="68"/>
        <v>7.54</v>
      </c>
      <c r="G231">
        <f t="shared" si="72"/>
        <v>5</v>
      </c>
      <c r="H231">
        <f t="shared" si="69"/>
        <v>7</v>
      </c>
      <c r="I231">
        <f t="shared" si="70"/>
        <v>3</v>
      </c>
      <c r="J231" t="str">
        <f t="shared" si="71"/>
        <v>HYD_STO_TRUE.POM E</v>
      </c>
      <c r="N231" t="str">
        <f t="shared" si="74"/>
        <v>WWB C&amp;E</v>
      </c>
      <c r="O231" t="s">
        <v>366</v>
      </c>
      <c r="P231" t="s">
        <v>195</v>
      </c>
      <c r="Q231" t="s">
        <v>195</v>
      </c>
      <c r="R231" t="s">
        <v>195</v>
      </c>
      <c r="S231">
        <v>0.1</v>
      </c>
      <c r="T231">
        <v>0.2</v>
      </c>
      <c r="U231">
        <v>0.39</v>
      </c>
      <c r="V231">
        <v>0.78</v>
      </c>
      <c r="W231">
        <v>1.43</v>
      </c>
      <c r="X231">
        <v>2.41</v>
      </c>
      <c r="Y231">
        <v>3.48</v>
      </c>
      <c r="Z231">
        <v>4.3899999999999997</v>
      </c>
    </row>
    <row r="232" spans="2:27" ht="15">
      <c r="B232">
        <f t="shared" si="64"/>
        <v>2040</v>
      </c>
      <c r="C232" t="str">
        <f t="shared" si="65"/>
        <v>HYD_STO_TRUE</v>
      </c>
      <c r="D232" t="str">
        <f t="shared" si="66"/>
        <v>POM E</v>
      </c>
      <c r="E232" s="27" t="e">
        <f t="shared" si="67"/>
        <v>#N/A</v>
      </c>
      <c r="F232">
        <f t="shared" si="68"/>
        <v>7.54</v>
      </c>
      <c r="G232">
        <f t="shared" si="72"/>
        <v>6</v>
      </c>
      <c r="H232">
        <f t="shared" si="69"/>
        <v>7</v>
      </c>
      <c r="I232">
        <f t="shared" si="70"/>
        <v>3</v>
      </c>
      <c r="J232" t="str">
        <f t="shared" si="71"/>
        <v>HYD_STO_TRUE.POM E</v>
      </c>
      <c r="N232" t="str">
        <f t="shared" si="74"/>
        <v>WWB C&amp;E</v>
      </c>
      <c r="O232" s="126" t="s">
        <v>372</v>
      </c>
      <c r="P232" s="126">
        <v>0.8</v>
      </c>
      <c r="Q232" s="126">
        <v>0.98</v>
      </c>
      <c r="R232" s="126">
        <v>1.26</v>
      </c>
      <c r="S232" s="126">
        <v>1.63</v>
      </c>
      <c r="T232" s="126">
        <v>2.31</v>
      </c>
      <c r="U232" s="126">
        <v>3.3</v>
      </c>
      <c r="V232" s="126">
        <v>4.09</v>
      </c>
      <c r="W232" s="126">
        <v>4.3099999999999996</v>
      </c>
      <c r="X232" s="126">
        <v>4.41</v>
      </c>
      <c r="Y232" s="126">
        <v>4.4400000000000004</v>
      </c>
      <c r="Z232" s="126">
        <v>4.46</v>
      </c>
    </row>
    <row r="233" spans="2:27">
      <c r="B233">
        <f t="shared" si="64"/>
        <v>2045</v>
      </c>
      <c r="C233" t="str">
        <f t="shared" si="65"/>
        <v>HYD_STO_TRUE</v>
      </c>
      <c r="D233" t="str">
        <f t="shared" si="66"/>
        <v>POM E</v>
      </c>
      <c r="E233" s="27" t="e">
        <f t="shared" si="67"/>
        <v>#N/A</v>
      </c>
      <c r="F233">
        <f t="shared" si="68"/>
        <v>7.54</v>
      </c>
      <c r="G233">
        <f t="shared" si="72"/>
        <v>7</v>
      </c>
      <c r="H233">
        <f t="shared" si="69"/>
        <v>7</v>
      </c>
      <c r="I233">
        <f t="shared" si="70"/>
        <v>3</v>
      </c>
      <c r="J233" t="str">
        <f t="shared" si="71"/>
        <v>HYD_STO_TRUE.POM E</v>
      </c>
      <c r="N233" t="str">
        <f t="shared" si="74"/>
        <v>WWB C&amp;E</v>
      </c>
      <c r="O233" t="s">
        <v>202</v>
      </c>
      <c r="P233">
        <v>0.01</v>
      </c>
      <c r="Q233">
        <v>0.03</v>
      </c>
      <c r="R233">
        <v>0.14000000000000001</v>
      </c>
      <c r="S233">
        <v>0.33</v>
      </c>
      <c r="T233">
        <v>0.6</v>
      </c>
      <c r="U233">
        <v>0.97</v>
      </c>
      <c r="V233">
        <v>1.21</v>
      </c>
      <c r="W233">
        <v>1.21</v>
      </c>
      <c r="X233">
        <v>1.23</v>
      </c>
      <c r="Y233">
        <v>1.23</v>
      </c>
      <c r="Z233">
        <v>1.24</v>
      </c>
      <c r="AA233" t="s">
        <v>11</v>
      </c>
    </row>
    <row r="234" spans="2:27">
      <c r="B234">
        <f t="shared" si="64"/>
        <v>2050</v>
      </c>
      <c r="C234" t="str">
        <f t="shared" si="65"/>
        <v>HYD_STO_TRUE</v>
      </c>
      <c r="D234" t="str">
        <f t="shared" si="66"/>
        <v>POM E</v>
      </c>
      <c r="E234" s="27" t="e">
        <f t="shared" si="67"/>
        <v>#N/A</v>
      </c>
      <c r="F234">
        <f t="shared" si="68"/>
        <v>7.54</v>
      </c>
      <c r="G234">
        <f t="shared" si="72"/>
        <v>8</v>
      </c>
      <c r="H234">
        <f t="shared" si="69"/>
        <v>7</v>
      </c>
      <c r="I234">
        <f t="shared" si="70"/>
        <v>3</v>
      </c>
      <c r="J234" t="str">
        <f t="shared" si="71"/>
        <v>HYD_STO_TRUE.POM E</v>
      </c>
      <c r="N234" t="str">
        <f t="shared" si="74"/>
        <v>WWB C&amp;E</v>
      </c>
      <c r="O234" t="s">
        <v>378</v>
      </c>
      <c r="P234">
        <v>0.01</v>
      </c>
      <c r="Q234">
        <v>0.02</v>
      </c>
      <c r="R234">
        <v>0.08</v>
      </c>
      <c r="S234">
        <v>0.21</v>
      </c>
      <c r="T234">
        <v>0.46</v>
      </c>
      <c r="U234">
        <v>0.88</v>
      </c>
      <c r="V234">
        <v>1.29</v>
      </c>
      <c r="W234">
        <v>1.48</v>
      </c>
      <c r="X234">
        <v>1.55</v>
      </c>
      <c r="Y234">
        <v>1.58</v>
      </c>
      <c r="Z234">
        <v>1.58</v>
      </c>
      <c r="AA234" t="s">
        <v>11</v>
      </c>
    </row>
    <row r="235" spans="2:27">
      <c r="B235">
        <f t="shared" si="64"/>
        <v>2015</v>
      </c>
      <c r="C235" t="str">
        <f t="shared" si="65"/>
        <v>HYD_TOT</v>
      </c>
      <c r="D235" t="str">
        <f t="shared" si="66"/>
        <v>POM E</v>
      </c>
      <c r="E235" s="27" t="e">
        <f t="shared" si="67"/>
        <v>#N/A</v>
      </c>
      <c r="F235">
        <f t="shared" si="68"/>
        <v>36.950000000000003</v>
      </c>
      <c r="G235">
        <f t="shared" si="72"/>
        <v>1</v>
      </c>
      <c r="H235">
        <f t="shared" si="69"/>
        <v>8</v>
      </c>
      <c r="I235">
        <f t="shared" si="70"/>
        <v>3</v>
      </c>
      <c r="J235" t="str">
        <f t="shared" si="71"/>
        <v>HYD_TOT.POM E</v>
      </c>
      <c r="N235" t="str">
        <f t="shared" si="74"/>
        <v>WWB C&amp;E</v>
      </c>
      <c r="O235" t="s">
        <v>374</v>
      </c>
      <c r="P235">
        <v>0.09</v>
      </c>
      <c r="Q235">
        <v>0.11</v>
      </c>
      <c r="R235">
        <v>0.12</v>
      </c>
      <c r="S235">
        <v>0.1</v>
      </c>
      <c r="T235">
        <v>0.16</v>
      </c>
      <c r="U235">
        <v>0.22</v>
      </c>
      <c r="V235">
        <v>0.27</v>
      </c>
      <c r="W235">
        <v>0.28999999999999998</v>
      </c>
      <c r="X235">
        <v>0.28999999999999998</v>
      </c>
      <c r="Y235">
        <v>0.3</v>
      </c>
      <c r="Z235">
        <v>0.3</v>
      </c>
      <c r="AA235" t="s">
        <v>11</v>
      </c>
    </row>
    <row r="236" spans="2:27">
      <c r="B236">
        <f t="shared" si="64"/>
        <v>2020</v>
      </c>
      <c r="C236" t="str">
        <f t="shared" si="65"/>
        <v>HYD_TOT</v>
      </c>
      <c r="D236" t="str">
        <f t="shared" si="66"/>
        <v>POM E</v>
      </c>
      <c r="E236" s="27" t="e">
        <f t="shared" si="67"/>
        <v>#N/A</v>
      </c>
      <c r="F236">
        <f t="shared" si="68"/>
        <v>36.869999999999997</v>
      </c>
      <c r="G236">
        <f t="shared" si="72"/>
        <v>2</v>
      </c>
      <c r="H236">
        <f t="shared" si="69"/>
        <v>8</v>
      </c>
      <c r="I236">
        <f t="shared" si="70"/>
        <v>3</v>
      </c>
      <c r="J236" t="str">
        <f t="shared" si="71"/>
        <v>HYD_TOT.POM E</v>
      </c>
      <c r="N236" t="str">
        <f t="shared" si="74"/>
        <v>WWB C&amp;E</v>
      </c>
      <c r="O236" t="s">
        <v>364</v>
      </c>
      <c r="P236">
        <v>0.63</v>
      </c>
      <c r="Q236">
        <v>0.8</v>
      </c>
      <c r="R236">
        <v>0.92</v>
      </c>
      <c r="S236">
        <v>0.99</v>
      </c>
      <c r="T236">
        <v>1.1000000000000001</v>
      </c>
      <c r="U236">
        <v>1.23</v>
      </c>
      <c r="V236">
        <v>1.32</v>
      </c>
      <c r="W236">
        <v>1.32</v>
      </c>
      <c r="X236">
        <v>1.33</v>
      </c>
      <c r="Y236">
        <v>1.33</v>
      </c>
      <c r="Z236">
        <v>1.33</v>
      </c>
    </row>
    <row r="237" spans="2:27">
      <c r="B237">
        <f t="shared" si="64"/>
        <v>2025</v>
      </c>
      <c r="C237" t="str">
        <f t="shared" si="65"/>
        <v>HYD_TOT</v>
      </c>
      <c r="D237" t="str">
        <f t="shared" si="66"/>
        <v>POM E</v>
      </c>
      <c r="E237" s="27" t="e">
        <f t="shared" si="67"/>
        <v>#N/A</v>
      </c>
      <c r="F237">
        <f t="shared" si="68"/>
        <v>36.83</v>
      </c>
      <c r="G237">
        <f t="shared" si="72"/>
        <v>3</v>
      </c>
      <c r="H237">
        <f t="shared" si="69"/>
        <v>8</v>
      </c>
      <c r="I237">
        <f t="shared" si="70"/>
        <v>3</v>
      </c>
      <c r="J237" t="str">
        <f t="shared" si="71"/>
        <v>HYD_TOT.POM E</v>
      </c>
      <c r="N237" t="str">
        <f t="shared" si="74"/>
        <v>WWB C&amp;E</v>
      </c>
      <c r="O237" t="s">
        <v>375</v>
      </c>
      <c r="P237">
        <v>0.04</v>
      </c>
      <c r="Q237">
        <v>0.02</v>
      </c>
      <c r="R237">
        <v>0</v>
      </c>
      <c r="S237">
        <v>0.01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11</v>
      </c>
    </row>
    <row r="238" spans="2:27">
      <c r="B238">
        <f t="shared" si="64"/>
        <v>2030</v>
      </c>
      <c r="C238" t="str">
        <f t="shared" si="65"/>
        <v>HYD_TOT</v>
      </c>
      <c r="D238" t="str">
        <f t="shared" si="66"/>
        <v>POM E</v>
      </c>
      <c r="E238" s="27" t="e">
        <f t="shared" si="67"/>
        <v>#N/A</v>
      </c>
      <c r="F238">
        <f t="shared" si="68"/>
        <v>36.75</v>
      </c>
      <c r="G238">
        <f t="shared" si="72"/>
        <v>4</v>
      </c>
      <c r="H238">
        <f t="shared" si="69"/>
        <v>8</v>
      </c>
      <c r="I238">
        <f t="shared" si="70"/>
        <v>3</v>
      </c>
      <c r="J238" t="str">
        <f t="shared" si="71"/>
        <v>HYD_TOT.POM E</v>
      </c>
    </row>
    <row r="239" spans="2:27">
      <c r="B239">
        <f t="shared" si="64"/>
        <v>2035</v>
      </c>
      <c r="C239" t="str">
        <f t="shared" si="65"/>
        <v>HYD_TOT</v>
      </c>
      <c r="D239" t="str">
        <f t="shared" si="66"/>
        <v>POM E</v>
      </c>
      <c r="E239" s="27" t="e">
        <f t="shared" si="67"/>
        <v>#N/A</v>
      </c>
      <c r="F239">
        <f t="shared" si="68"/>
        <v>36.54</v>
      </c>
      <c r="G239">
        <f t="shared" si="72"/>
        <v>5</v>
      </c>
      <c r="H239">
        <f t="shared" si="69"/>
        <v>8</v>
      </c>
      <c r="I239">
        <f t="shared" si="70"/>
        <v>3</v>
      </c>
      <c r="J239" t="str">
        <f t="shared" si="71"/>
        <v>HYD_TOT.POM E</v>
      </c>
      <c r="O239" t="s">
        <v>307</v>
      </c>
    </row>
    <row r="240" spans="2:27">
      <c r="B240">
        <f t="shared" si="64"/>
        <v>2040</v>
      </c>
      <c r="C240" t="str">
        <f t="shared" si="65"/>
        <v>HYD_TOT</v>
      </c>
      <c r="D240" t="str">
        <f t="shared" si="66"/>
        <v>POM E</v>
      </c>
      <c r="E240" s="27" t="e">
        <f t="shared" si="67"/>
        <v>#N/A</v>
      </c>
      <c r="F240">
        <f t="shared" si="68"/>
        <v>36.409999999999997</v>
      </c>
      <c r="G240">
        <f t="shared" si="72"/>
        <v>6</v>
      </c>
      <c r="H240">
        <f t="shared" si="69"/>
        <v>8</v>
      </c>
      <c r="I240">
        <f t="shared" si="70"/>
        <v>3</v>
      </c>
      <c r="J240" t="str">
        <f t="shared" si="71"/>
        <v>HYD_TOT.POM E</v>
      </c>
      <c r="O240" t="s">
        <v>379</v>
      </c>
    </row>
    <row r="241" spans="2:27" ht="15">
      <c r="B241">
        <f t="shared" si="64"/>
        <v>2045</v>
      </c>
      <c r="C241" t="str">
        <f t="shared" si="65"/>
        <v>HYD_TOT</v>
      </c>
      <c r="D241" t="str">
        <f t="shared" si="66"/>
        <v>POM E</v>
      </c>
      <c r="E241" s="27" t="e">
        <f t="shared" si="67"/>
        <v>#N/A</v>
      </c>
      <c r="F241">
        <f t="shared" si="68"/>
        <v>35.85</v>
      </c>
      <c r="G241">
        <f t="shared" si="72"/>
        <v>7</v>
      </c>
      <c r="H241">
        <f t="shared" si="69"/>
        <v>8</v>
      </c>
      <c r="I241">
        <f t="shared" si="70"/>
        <v>3</v>
      </c>
      <c r="J241" t="str">
        <f t="shared" si="71"/>
        <v>HYD_TOT.POM E</v>
      </c>
      <c r="N241" t="str">
        <f>O239</f>
        <v>NEP C</v>
      </c>
      <c r="O241" s="126" t="s">
        <v>377</v>
      </c>
      <c r="P241" s="126">
        <v>0.81</v>
      </c>
      <c r="Q241" s="126">
        <v>1.01</v>
      </c>
      <c r="R241" s="126">
        <v>1.38</v>
      </c>
      <c r="S241" s="126">
        <v>1.83</v>
      </c>
      <c r="T241" s="126">
        <v>2.37</v>
      </c>
      <c r="U241" s="126">
        <v>3.15</v>
      </c>
      <c r="V241" s="126">
        <v>4.28</v>
      </c>
      <c r="W241" s="126">
        <v>6.13</v>
      </c>
      <c r="X241" s="126">
        <v>7.37</v>
      </c>
      <c r="Y241" s="126">
        <v>8.9</v>
      </c>
      <c r="Z241" s="126">
        <v>10.25</v>
      </c>
    </row>
    <row r="242" spans="2:27" ht="15">
      <c r="B242">
        <f t="shared" si="64"/>
        <v>2050</v>
      </c>
      <c r="C242" t="str">
        <f t="shared" si="65"/>
        <v>HYD_TOT</v>
      </c>
      <c r="D242" t="str">
        <f t="shared" si="66"/>
        <v>POM E</v>
      </c>
      <c r="E242" s="27" t="e">
        <f t="shared" si="67"/>
        <v>#N/A</v>
      </c>
      <c r="F242">
        <f t="shared" si="68"/>
        <v>35.57</v>
      </c>
      <c r="G242">
        <f t="shared" si="72"/>
        <v>8</v>
      </c>
      <c r="H242">
        <f t="shared" si="69"/>
        <v>8</v>
      </c>
      <c r="I242">
        <f t="shared" si="70"/>
        <v>3</v>
      </c>
      <c r="J242" t="str">
        <f t="shared" si="71"/>
        <v>HYD_TOT.POM E</v>
      </c>
      <c r="N242" t="str">
        <f t="shared" ref="N242:N252" si="75">N241</f>
        <v>NEP C</v>
      </c>
      <c r="O242" s="126" t="s">
        <v>370</v>
      </c>
      <c r="P242" s="126">
        <v>0.01</v>
      </c>
      <c r="Q242" s="126">
        <v>0.03</v>
      </c>
      <c r="R242" s="126">
        <v>0.12</v>
      </c>
      <c r="S242" s="126">
        <v>0.33</v>
      </c>
      <c r="T242" s="126">
        <v>0.57999999999999996</v>
      </c>
      <c r="U242" s="126">
        <v>1</v>
      </c>
      <c r="V242" s="126">
        <v>1.86</v>
      </c>
      <c r="W242" s="126">
        <v>3.69</v>
      </c>
      <c r="X242" s="126">
        <v>4.8899999999999997</v>
      </c>
      <c r="Y242" s="126">
        <v>6.4</v>
      </c>
      <c r="Z242" s="126">
        <v>7.75</v>
      </c>
    </row>
    <row r="243" spans="2:27">
      <c r="B243">
        <f t="shared" si="64"/>
        <v>2015</v>
      </c>
      <c r="C243" t="str">
        <f t="shared" si="65"/>
        <v>GAS_OIL</v>
      </c>
      <c r="D243" t="str">
        <f t="shared" si="66"/>
        <v>POM E</v>
      </c>
      <c r="E243" s="27" t="e">
        <f t="shared" si="67"/>
        <v>#N/A</v>
      </c>
      <c r="F243">
        <f t="shared" si="68"/>
        <v>1.76</v>
      </c>
      <c r="G243">
        <f t="shared" si="72"/>
        <v>1</v>
      </c>
      <c r="H243">
        <f t="shared" si="69"/>
        <v>9</v>
      </c>
      <c r="I243">
        <f t="shared" si="70"/>
        <v>3</v>
      </c>
      <c r="J243" t="str">
        <f t="shared" si="71"/>
        <v>GAS_OIL.POM E</v>
      </c>
      <c r="N243" t="str">
        <f t="shared" si="75"/>
        <v>NEP C</v>
      </c>
      <c r="O243" t="s">
        <v>201</v>
      </c>
      <c r="P243">
        <v>0.01</v>
      </c>
      <c r="Q243">
        <v>0.02</v>
      </c>
      <c r="R243">
        <v>0.08</v>
      </c>
      <c r="S243">
        <v>0.21</v>
      </c>
      <c r="T243">
        <v>0.34</v>
      </c>
      <c r="U243">
        <v>0.55000000000000004</v>
      </c>
      <c r="V243">
        <v>0.96</v>
      </c>
      <c r="W243">
        <v>2.52</v>
      </c>
      <c r="X243">
        <v>3.48</v>
      </c>
      <c r="Y243">
        <v>4.7300000000000004</v>
      </c>
      <c r="Z243">
        <v>5.92</v>
      </c>
    </row>
    <row r="244" spans="2:27">
      <c r="B244">
        <f t="shared" si="64"/>
        <v>2020</v>
      </c>
      <c r="C244" t="str">
        <f t="shared" si="65"/>
        <v>GAS_OIL</v>
      </c>
      <c r="D244" t="str">
        <f t="shared" si="66"/>
        <v>POM E</v>
      </c>
      <c r="E244" s="27" t="e">
        <f t="shared" si="67"/>
        <v>#N/A</v>
      </c>
      <c r="F244">
        <f t="shared" si="68"/>
        <v>1.48</v>
      </c>
      <c r="G244">
        <f t="shared" si="72"/>
        <v>2</v>
      </c>
      <c r="H244">
        <f t="shared" si="69"/>
        <v>9</v>
      </c>
      <c r="I244">
        <f t="shared" si="70"/>
        <v>3</v>
      </c>
      <c r="J244" t="str">
        <f t="shared" si="71"/>
        <v>GAS_OIL.POM E</v>
      </c>
      <c r="N244" t="str">
        <f t="shared" si="75"/>
        <v>NEP C</v>
      </c>
      <c r="O244" t="s">
        <v>363</v>
      </c>
      <c r="P244">
        <v>0</v>
      </c>
      <c r="Q244">
        <v>0.01</v>
      </c>
      <c r="R244">
        <v>0.04</v>
      </c>
      <c r="S244">
        <v>0.09</v>
      </c>
      <c r="T244">
        <v>0.14000000000000001</v>
      </c>
      <c r="U244">
        <v>0.25</v>
      </c>
      <c r="V244">
        <v>0.56999999999999995</v>
      </c>
      <c r="W244">
        <v>0.77</v>
      </c>
      <c r="X244">
        <v>1.02</v>
      </c>
      <c r="Y244">
        <v>1.25</v>
      </c>
      <c r="Z244">
        <v>1.41</v>
      </c>
    </row>
    <row r="245" spans="2:27">
      <c r="B245">
        <f t="shared" si="64"/>
        <v>2025</v>
      </c>
      <c r="C245" t="str">
        <f t="shared" si="65"/>
        <v>GAS_OIL</v>
      </c>
      <c r="D245" t="str">
        <f t="shared" si="66"/>
        <v>POM E</v>
      </c>
      <c r="E245" s="27" t="e">
        <f t="shared" si="67"/>
        <v>#N/A</v>
      </c>
      <c r="F245">
        <f t="shared" si="68"/>
        <v>0.92</v>
      </c>
      <c r="G245">
        <f t="shared" si="72"/>
        <v>3</v>
      </c>
      <c r="H245">
        <f t="shared" si="69"/>
        <v>9</v>
      </c>
      <c r="I245">
        <f t="shared" si="70"/>
        <v>3</v>
      </c>
      <c r="J245" t="str">
        <f t="shared" si="71"/>
        <v>GAS_OIL.POM E</v>
      </c>
      <c r="N245" t="str">
        <f t="shared" si="75"/>
        <v>NEP C</v>
      </c>
      <c r="O245" t="s">
        <v>202</v>
      </c>
      <c r="P245" t="s">
        <v>195</v>
      </c>
      <c r="Q245" t="s">
        <v>195</v>
      </c>
      <c r="R245" t="s">
        <v>195</v>
      </c>
      <c r="S245" t="s">
        <v>195</v>
      </c>
      <c r="T245" t="s">
        <v>195</v>
      </c>
      <c r="U245" t="s">
        <v>195</v>
      </c>
      <c r="V245" t="s">
        <v>195</v>
      </c>
      <c r="W245" t="s">
        <v>195</v>
      </c>
      <c r="X245" t="s">
        <v>195</v>
      </c>
      <c r="Y245" t="s">
        <v>195</v>
      </c>
      <c r="Z245" t="s">
        <v>195</v>
      </c>
      <c r="AA245" t="s">
        <v>11</v>
      </c>
    </row>
    <row r="246" spans="2:27">
      <c r="B246">
        <f t="shared" si="64"/>
        <v>2030</v>
      </c>
      <c r="C246" t="str">
        <f t="shared" si="65"/>
        <v>GAS_OIL</v>
      </c>
      <c r="D246" t="str">
        <f t="shared" si="66"/>
        <v>POM E</v>
      </c>
      <c r="E246" s="27" t="e">
        <f t="shared" si="67"/>
        <v>#N/A</v>
      </c>
      <c r="F246">
        <f t="shared" si="68"/>
        <v>0.57999999999999996</v>
      </c>
      <c r="G246">
        <f t="shared" si="72"/>
        <v>4</v>
      </c>
      <c r="H246">
        <f t="shared" si="69"/>
        <v>9</v>
      </c>
      <c r="I246">
        <f t="shared" si="70"/>
        <v>3</v>
      </c>
      <c r="J246" t="str">
        <f t="shared" si="71"/>
        <v>GAS_OIL.POM E</v>
      </c>
      <c r="N246" t="str">
        <f t="shared" si="75"/>
        <v>NEP C</v>
      </c>
      <c r="O246" t="s">
        <v>366</v>
      </c>
      <c r="P246" t="s">
        <v>195</v>
      </c>
      <c r="Q246" t="s">
        <v>195</v>
      </c>
      <c r="R246" t="s">
        <v>195</v>
      </c>
      <c r="S246">
        <v>0.03</v>
      </c>
      <c r="T246">
        <v>0.1</v>
      </c>
      <c r="U246">
        <v>0.2</v>
      </c>
      <c r="V246">
        <v>0.33</v>
      </c>
      <c r="W246">
        <v>0.39</v>
      </c>
      <c r="X246">
        <v>0.39</v>
      </c>
      <c r="Y246">
        <v>0.42</v>
      </c>
      <c r="Z246">
        <v>0.42</v>
      </c>
    </row>
    <row r="247" spans="2:27" ht="15">
      <c r="B247">
        <f t="shared" si="64"/>
        <v>2035</v>
      </c>
      <c r="C247" t="str">
        <f t="shared" si="65"/>
        <v>GAS_OIL</v>
      </c>
      <c r="D247" t="str">
        <f t="shared" si="66"/>
        <v>POM E</v>
      </c>
      <c r="E247" s="27" t="e">
        <f t="shared" si="67"/>
        <v>#N/A</v>
      </c>
      <c r="F247">
        <f t="shared" si="68"/>
        <v>0.32</v>
      </c>
      <c r="G247">
        <f t="shared" si="72"/>
        <v>5</v>
      </c>
      <c r="H247">
        <f t="shared" si="69"/>
        <v>9</v>
      </c>
      <c r="I247">
        <f t="shared" si="70"/>
        <v>3</v>
      </c>
      <c r="J247" t="str">
        <f t="shared" si="71"/>
        <v>GAS_OIL.POM E</v>
      </c>
      <c r="N247" t="str">
        <f t="shared" si="75"/>
        <v>NEP C</v>
      </c>
      <c r="O247" s="126" t="s">
        <v>372</v>
      </c>
      <c r="P247" s="126">
        <v>0.8</v>
      </c>
      <c r="Q247" s="126">
        <v>0.98</v>
      </c>
      <c r="R247" s="126">
        <v>1.26</v>
      </c>
      <c r="S247" s="126">
        <v>1.5</v>
      </c>
      <c r="T247" s="126">
        <v>1.79</v>
      </c>
      <c r="U247" s="126">
        <v>2.15</v>
      </c>
      <c r="V247" s="126">
        <v>2.42</v>
      </c>
      <c r="W247" s="126">
        <v>2.44</v>
      </c>
      <c r="X247" s="126">
        <v>2.48</v>
      </c>
      <c r="Y247" s="126">
        <v>2.5</v>
      </c>
      <c r="Z247" s="126">
        <v>2.5</v>
      </c>
    </row>
    <row r="248" spans="2:27">
      <c r="B248">
        <f t="shared" si="64"/>
        <v>2040</v>
      </c>
      <c r="C248" t="str">
        <f t="shared" si="65"/>
        <v>GAS_OIL</v>
      </c>
      <c r="D248" t="str">
        <f t="shared" si="66"/>
        <v>POM E</v>
      </c>
      <c r="E248" s="27" t="e">
        <f t="shared" si="67"/>
        <v>#N/A</v>
      </c>
      <c r="F248">
        <f t="shared" si="68"/>
        <v>0</v>
      </c>
      <c r="G248">
        <f t="shared" si="72"/>
        <v>6</v>
      </c>
      <c r="H248">
        <f t="shared" si="69"/>
        <v>9</v>
      </c>
      <c r="I248">
        <f t="shared" si="70"/>
        <v>3</v>
      </c>
      <c r="J248" t="str">
        <f t="shared" si="71"/>
        <v>GAS_OIL.POM E</v>
      </c>
      <c r="N248" t="str">
        <f t="shared" si="75"/>
        <v>NEP C</v>
      </c>
      <c r="O248" t="s">
        <v>202</v>
      </c>
      <c r="P248">
        <v>0.01</v>
      </c>
      <c r="Q248">
        <v>0.03</v>
      </c>
      <c r="R248">
        <v>0.14000000000000001</v>
      </c>
      <c r="S248">
        <v>0.3</v>
      </c>
      <c r="T248">
        <v>0.42</v>
      </c>
      <c r="U248">
        <v>0.56999999999999995</v>
      </c>
      <c r="V248">
        <v>0.69</v>
      </c>
      <c r="W248">
        <v>0.65</v>
      </c>
      <c r="X248">
        <v>0.67</v>
      </c>
      <c r="Y248">
        <v>0.68</v>
      </c>
      <c r="Z248">
        <v>0.68</v>
      </c>
      <c r="AA248" t="s">
        <v>11</v>
      </c>
    </row>
    <row r="249" spans="2:27">
      <c r="B249">
        <f t="shared" si="64"/>
        <v>2045</v>
      </c>
      <c r="C249" t="str">
        <f t="shared" si="65"/>
        <v>GAS_OIL</v>
      </c>
      <c r="D249" t="str">
        <f t="shared" si="66"/>
        <v>POM E</v>
      </c>
      <c r="E249" s="27" t="e">
        <f t="shared" si="67"/>
        <v>#N/A</v>
      </c>
      <c r="F249">
        <f t="shared" si="68"/>
        <v>0</v>
      </c>
      <c r="G249">
        <f t="shared" si="72"/>
        <v>7</v>
      </c>
      <c r="H249">
        <f t="shared" si="69"/>
        <v>9</v>
      </c>
      <c r="I249">
        <f t="shared" si="70"/>
        <v>3</v>
      </c>
      <c r="J249" t="str">
        <f t="shared" si="71"/>
        <v>GAS_OIL.POM E</v>
      </c>
      <c r="N249" t="str">
        <f t="shared" si="75"/>
        <v>NEP C</v>
      </c>
      <c r="O249" t="s">
        <v>378</v>
      </c>
      <c r="P249">
        <v>0.01</v>
      </c>
      <c r="Q249">
        <v>0.02</v>
      </c>
      <c r="R249">
        <v>0.08</v>
      </c>
      <c r="S249">
        <v>0.16</v>
      </c>
      <c r="T249">
        <v>0.26</v>
      </c>
      <c r="U249">
        <v>0.38</v>
      </c>
      <c r="V249">
        <v>0.48</v>
      </c>
      <c r="W249">
        <v>0.51</v>
      </c>
      <c r="X249">
        <v>0.52</v>
      </c>
      <c r="Y249">
        <v>0.53</v>
      </c>
      <c r="Z249">
        <v>0.53</v>
      </c>
      <c r="AA249" t="s">
        <v>11</v>
      </c>
    </row>
    <row r="250" spans="2:27">
      <c r="B250">
        <f t="shared" si="64"/>
        <v>2050</v>
      </c>
      <c r="C250" t="str">
        <f t="shared" si="65"/>
        <v>GAS_OIL</v>
      </c>
      <c r="D250" t="str">
        <f t="shared" si="66"/>
        <v>POM E</v>
      </c>
      <c r="E250" s="27" t="e">
        <f t="shared" si="67"/>
        <v>#N/A</v>
      </c>
      <c r="F250">
        <f t="shared" si="68"/>
        <v>0</v>
      </c>
      <c r="G250">
        <f t="shared" si="72"/>
        <v>8</v>
      </c>
      <c r="H250">
        <f t="shared" si="69"/>
        <v>9</v>
      </c>
      <c r="I250">
        <f t="shared" si="70"/>
        <v>3</v>
      </c>
      <c r="J250" t="str">
        <f t="shared" si="71"/>
        <v>GAS_OIL.POM E</v>
      </c>
      <c r="N250" t="str">
        <f t="shared" si="75"/>
        <v>NEP C</v>
      </c>
      <c r="O250" t="s">
        <v>374</v>
      </c>
      <c r="P250">
        <v>0.09</v>
      </c>
      <c r="Q250">
        <v>0.11</v>
      </c>
      <c r="R250">
        <v>0.12</v>
      </c>
      <c r="S250">
        <v>0.1</v>
      </c>
      <c r="T250">
        <v>0.16</v>
      </c>
      <c r="U250">
        <v>0.22</v>
      </c>
      <c r="V250">
        <v>0.27</v>
      </c>
      <c r="W250">
        <v>0.28999999999999998</v>
      </c>
      <c r="X250">
        <v>0.28999999999999998</v>
      </c>
      <c r="Y250">
        <v>0.3</v>
      </c>
      <c r="Z250">
        <v>0.3</v>
      </c>
      <c r="AA250" t="s">
        <v>11</v>
      </c>
    </row>
    <row r="251" spans="2:27">
      <c r="B251">
        <f t="shared" si="64"/>
        <v>2015</v>
      </c>
      <c r="C251" t="str">
        <f t="shared" si="65"/>
        <v>GAS_NEW</v>
      </c>
      <c r="D251" t="str">
        <f t="shared" si="66"/>
        <v>POM E</v>
      </c>
      <c r="E251" s="27" t="e">
        <f t="shared" si="67"/>
        <v>#N/A</v>
      </c>
      <c r="F251">
        <f t="shared" si="68"/>
        <v>0.94</v>
      </c>
      <c r="G251">
        <f t="shared" si="72"/>
        <v>1</v>
      </c>
      <c r="H251">
        <f t="shared" si="69"/>
        <v>10</v>
      </c>
      <c r="I251">
        <f t="shared" si="70"/>
        <v>3</v>
      </c>
      <c r="J251" t="str">
        <f t="shared" si="71"/>
        <v>GAS_NEW.POM E</v>
      </c>
      <c r="N251" t="str">
        <f t="shared" si="75"/>
        <v>NEP C</v>
      </c>
      <c r="O251" t="s">
        <v>364</v>
      </c>
      <c r="P251">
        <v>0.63</v>
      </c>
      <c r="Q251">
        <v>0.8</v>
      </c>
      <c r="R251">
        <v>0.92</v>
      </c>
      <c r="S251">
        <v>0.94</v>
      </c>
      <c r="T251">
        <v>0.94</v>
      </c>
      <c r="U251">
        <v>0.97</v>
      </c>
      <c r="V251">
        <v>0.98</v>
      </c>
      <c r="W251">
        <v>0.98</v>
      </c>
      <c r="X251">
        <v>0.99</v>
      </c>
      <c r="Y251">
        <v>0.99</v>
      </c>
      <c r="Z251">
        <v>0.99</v>
      </c>
    </row>
    <row r="252" spans="2:27">
      <c r="B252">
        <f t="shared" si="64"/>
        <v>2020</v>
      </c>
      <c r="C252" t="str">
        <f t="shared" si="65"/>
        <v>GAS_NEW</v>
      </c>
      <c r="D252" t="str">
        <f t="shared" si="66"/>
        <v>POM E</v>
      </c>
      <c r="E252" s="27" t="e">
        <f t="shared" si="67"/>
        <v>#N/A</v>
      </c>
      <c r="F252">
        <f t="shared" si="68"/>
        <v>1.65</v>
      </c>
      <c r="G252">
        <f t="shared" si="72"/>
        <v>2</v>
      </c>
      <c r="H252">
        <f t="shared" si="69"/>
        <v>10</v>
      </c>
      <c r="I252">
        <f t="shared" si="70"/>
        <v>3</v>
      </c>
      <c r="J252" t="str">
        <f t="shared" si="71"/>
        <v>GAS_NEW.POM E</v>
      </c>
      <c r="N252" t="str">
        <f t="shared" si="75"/>
        <v>NEP C</v>
      </c>
      <c r="O252" t="s">
        <v>375</v>
      </c>
      <c r="P252">
        <v>0.04</v>
      </c>
      <c r="Q252">
        <v>0.02</v>
      </c>
      <c r="R252">
        <v>0</v>
      </c>
      <c r="S252">
        <v>0.01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11</v>
      </c>
    </row>
    <row r="253" spans="2:27">
      <c r="B253">
        <f t="shared" si="64"/>
        <v>2025</v>
      </c>
      <c r="C253" t="str">
        <f t="shared" si="65"/>
        <v>GAS_NEW</v>
      </c>
      <c r="D253" t="str">
        <f t="shared" si="66"/>
        <v>POM E</v>
      </c>
      <c r="E253" s="27" t="e">
        <f t="shared" si="67"/>
        <v>#N/A</v>
      </c>
      <c r="F253">
        <f t="shared" si="68"/>
        <v>2.4700000000000002</v>
      </c>
      <c r="G253">
        <f t="shared" si="72"/>
        <v>3</v>
      </c>
      <c r="H253">
        <f t="shared" si="69"/>
        <v>10</v>
      </c>
      <c r="I253">
        <f t="shared" si="70"/>
        <v>3</v>
      </c>
      <c r="J253" t="str">
        <f t="shared" si="71"/>
        <v>GAS_NEW.POM E</v>
      </c>
    </row>
    <row r="254" spans="2:27">
      <c r="B254">
        <f t="shared" si="64"/>
        <v>2030</v>
      </c>
      <c r="C254" t="str">
        <f t="shared" si="65"/>
        <v>GAS_NEW</v>
      </c>
      <c r="D254" t="str">
        <f t="shared" si="66"/>
        <v>POM E</v>
      </c>
      <c r="E254" s="27" t="e">
        <f t="shared" si="67"/>
        <v>#N/A</v>
      </c>
      <c r="F254">
        <f t="shared" si="68"/>
        <v>3.04</v>
      </c>
      <c r="G254">
        <f t="shared" si="72"/>
        <v>4</v>
      </c>
      <c r="H254">
        <f t="shared" si="69"/>
        <v>10</v>
      </c>
      <c r="I254">
        <f t="shared" si="70"/>
        <v>3</v>
      </c>
      <c r="J254" t="str">
        <f t="shared" si="71"/>
        <v>GAS_NEW.POM E</v>
      </c>
      <c r="O254" t="s">
        <v>308</v>
      </c>
    </row>
    <row r="255" spans="2:27">
      <c r="B255">
        <f t="shared" si="64"/>
        <v>2035</v>
      </c>
      <c r="C255" t="str">
        <f t="shared" si="65"/>
        <v>GAS_NEW</v>
      </c>
      <c r="D255" t="str">
        <f t="shared" si="66"/>
        <v>POM E</v>
      </c>
      <c r="E255" s="27" t="e">
        <f t="shared" si="67"/>
        <v>#N/A</v>
      </c>
      <c r="F255">
        <f t="shared" si="68"/>
        <v>3.26</v>
      </c>
      <c r="G255">
        <f t="shared" si="72"/>
        <v>5</v>
      </c>
      <c r="H255">
        <f t="shared" si="69"/>
        <v>10</v>
      </c>
      <c r="I255">
        <f t="shared" si="70"/>
        <v>3</v>
      </c>
      <c r="J255" t="str">
        <f t="shared" si="71"/>
        <v>GAS_NEW.POM E</v>
      </c>
      <c r="O255" t="s">
        <v>380</v>
      </c>
    </row>
    <row r="256" spans="2:27" ht="15">
      <c r="B256">
        <f t="shared" si="64"/>
        <v>2040</v>
      </c>
      <c r="C256" t="str">
        <f t="shared" si="65"/>
        <v>GAS_NEW</v>
      </c>
      <c r="D256" t="str">
        <f t="shared" si="66"/>
        <v>POM E</v>
      </c>
      <c r="E256" s="27" t="e">
        <f t="shared" si="67"/>
        <v>#N/A</v>
      </c>
      <c r="F256">
        <f t="shared" si="68"/>
        <v>3.44</v>
      </c>
      <c r="G256">
        <f t="shared" si="72"/>
        <v>6</v>
      </c>
      <c r="H256">
        <f t="shared" si="69"/>
        <v>10</v>
      </c>
      <c r="I256">
        <f t="shared" si="70"/>
        <v>3</v>
      </c>
      <c r="J256" t="str">
        <f t="shared" si="71"/>
        <v>GAS_NEW.POM E</v>
      </c>
      <c r="N256" t="str">
        <f>O254</f>
        <v>NEP C&amp;E</v>
      </c>
      <c r="O256" s="126" t="s">
        <v>377</v>
      </c>
      <c r="P256" s="126">
        <v>0.81</v>
      </c>
      <c r="Q256" s="126">
        <v>1.01</v>
      </c>
      <c r="R256" s="126">
        <v>1.38</v>
      </c>
      <c r="S256" s="126">
        <v>2.36</v>
      </c>
      <c r="T256" s="126">
        <v>3.68</v>
      </c>
      <c r="U256" s="126">
        <v>5.66</v>
      </c>
      <c r="V256" s="126">
        <v>8.24</v>
      </c>
      <c r="W256" s="126">
        <v>11.94</v>
      </c>
      <c r="X256" s="126">
        <v>16.149999999999999</v>
      </c>
      <c r="Y256" s="126">
        <v>20.57</v>
      </c>
      <c r="Z256" s="126">
        <v>24.22</v>
      </c>
    </row>
    <row r="257" spans="2:27" ht="15">
      <c r="B257">
        <f t="shared" si="64"/>
        <v>2045</v>
      </c>
      <c r="C257" t="str">
        <f t="shared" si="65"/>
        <v>GAS_NEW</v>
      </c>
      <c r="D257" t="str">
        <f t="shared" si="66"/>
        <v>POM E</v>
      </c>
      <c r="E257" s="27" t="e">
        <f t="shared" si="67"/>
        <v>#N/A</v>
      </c>
      <c r="F257">
        <f t="shared" si="68"/>
        <v>3.45</v>
      </c>
      <c r="G257">
        <f t="shared" si="72"/>
        <v>7</v>
      </c>
      <c r="H257">
        <f t="shared" si="69"/>
        <v>10</v>
      </c>
      <c r="I257">
        <f t="shared" si="70"/>
        <v>3</v>
      </c>
      <c r="J257" t="str">
        <f t="shared" si="71"/>
        <v>GAS_NEW.POM E</v>
      </c>
      <c r="N257" t="str">
        <f t="shared" ref="N257:N267" si="76">N256</f>
        <v>NEP C&amp;E</v>
      </c>
      <c r="O257" s="126" t="s">
        <v>370</v>
      </c>
      <c r="P257" s="126">
        <v>0.01</v>
      </c>
      <c r="Q257" s="126">
        <v>0.03</v>
      </c>
      <c r="R257" s="126">
        <v>0.12</v>
      </c>
      <c r="S257" s="126">
        <v>0.73</v>
      </c>
      <c r="T257" s="126">
        <v>1.37</v>
      </c>
      <c r="U257" s="126">
        <v>2.35</v>
      </c>
      <c r="V257" s="126">
        <v>4.1500000000000004</v>
      </c>
      <c r="W257" s="126">
        <v>7.63</v>
      </c>
      <c r="X257" s="126">
        <v>11.74</v>
      </c>
      <c r="Y257" s="126">
        <v>16.13</v>
      </c>
      <c r="Z257" s="126">
        <v>19.77</v>
      </c>
    </row>
    <row r="258" spans="2:27">
      <c r="B258">
        <f t="shared" si="64"/>
        <v>2050</v>
      </c>
      <c r="C258" t="str">
        <f t="shared" si="65"/>
        <v>GAS_NEW</v>
      </c>
      <c r="D258" t="str">
        <f t="shared" si="66"/>
        <v>POM E</v>
      </c>
      <c r="E258" s="27" t="e">
        <f t="shared" si="67"/>
        <v>#N/A</v>
      </c>
      <c r="F258">
        <f t="shared" si="68"/>
        <v>3.45</v>
      </c>
      <c r="G258">
        <f t="shared" si="72"/>
        <v>8</v>
      </c>
      <c r="H258">
        <f t="shared" si="69"/>
        <v>10</v>
      </c>
      <c r="I258">
        <f t="shared" si="70"/>
        <v>3</v>
      </c>
      <c r="J258" t="str">
        <f t="shared" si="71"/>
        <v>GAS_NEW.POM E</v>
      </c>
      <c r="N258" t="str">
        <f t="shared" si="76"/>
        <v>NEP C&amp;E</v>
      </c>
      <c r="O258" t="s">
        <v>201</v>
      </c>
      <c r="P258">
        <v>0.01</v>
      </c>
      <c r="Q258">
        <v>0.02</v>
      </c>
      <c r="R258">
        <v>0.08</v>
      </c>
      <c r="S258">
        <v>0.28000000000000003</v>
      </c>
      <c r="T258">
        <v>0.52</v>
      </c>
      <c r="U258">
        <v>0.98</v>
      </c>
      <c r="V258">
        <v>1.91</v>
      </c>
      <c r="W258">
        <v>4.4400000000000004</v>
      </c>
      <c r="X258">
        <v>6.74</v>
      </c>
      <c r="Y258">
        <v>9.23</v>
      </c>
      <c r="Z258">
        <v>11.12</v>
      </c>
    </row>
    <row r="259" spans="2:27">
      <c r="E259" s="27"/>
      <c r="N259" t="str">
        <f t="shared" si="76"/>
        <v>NEP C&amp;E</v>
      </c>
      <c r="O259" t="s">
        <v>363</v>
      </c>
      <c r="P259">
        <v>0</v>
      </c>
      <c r="Q259">
        <v>0.01</v>
      </c>
      <c r="R259">
        <v>0.04</v>
      </c>
      <c r="S259">
        <v>0.35</v>
      </c>
      <c r="T259">
        <v>0.66</v>
      </c>
      <c r="U259">
        <v>0.99</v>
      </c>
      <c r="V259">
        <v>1.46</v>
      </c>
      <c r="W259">
        <v>1.76</v>
      </c>
      <c r="X259">
        <v>2.59</v>
      </c>
      <c r="Y259">
        <v>3.43</v>
      </c>
      <c r="Z259">
        <v>4.26</v>
      </c>
    </row>
    <row r="260" spans="2:27">
      <c r="E260" s="27"/>
      <c r="N260" t="str">
        <f t="shared" si="76"/>
        <v>NEP C&amp;E</v>
      </c>
      <c r="O260" t="s">
        <v>202</v>
      </c>
      <c r="P260" t="s">
        <v>195</v>
      </c>
      <c r="Q260" t="s">
        <v>195</v>
      </c>
      <c r="R260" t="s">
        <v>195</v>
      </c>
      <c r="S260" t="s">
        <v>195</v>
      </c>
      <c r="T260" t="s">
        <v>195</v>
      </c>
      <c r="U260" t="s">
        <v>195</v>
      </c>
      <c r="V260" t="s">
        <v>195</v>
      </c>
      <c r="W260" t="s">
        <v>195</v>
      </c>
      <c r="X260" t="s">
        <v>195</v>
      </c>
      <c r="Y260" t="s">
        <v>195</v>
      </c>
      <c r="Z260" t="s">
        <v>195</v>
      </c>
      <c r="AA260" t="s">
        <v>11</v>
      </c>
    </row>
    <row r="261" spans="2:27">
      <c r="E261" s="27"/>
      <c r="N261" t="str">
        <f t="shared" si="76"/>
        <v>NEP C&amp;E</v>
      </c>
      <c r="O261" t="s">
        <v>366</v>
      </c>
      <c r="P261" t="s">
        <v>195</v>
      </c>
      <c r="Q261" t="s">
        <v>195</v>
      </c>
      <c r="R261" t="s">
        <v>195</v>
      </c>
      <c r="S261">
        <v>0.1</v>
      </c>
      <c r="T261">
        <v>0.2</v>
      </c>
      <c r="U261">
        <v>0.39</v>
      </c>
      <c r="V261">
        <v>0.78</v>
      </c>
      <c r="W261">
        <v>1.43</v>
      </c>
      <c r="X261">
        <v>2.41</v>
      </c>
      <c r="Y261">
        <v>3.48</v>
      </c>
      <c r="Z261">
        <v>4.3899999999999997</v>
      </c>
    </row>
    <row r="262" spans="2:27" ht="15">
      <c r="E262" s="27"/>
      <c r="N262" t="str">
        <f t="shared" si="76"/>
        <v>NEP C&amp;E</v>
      </c>
      <c r="O262" s="126" t="s">
        <v>372</v>
      </c>
      <c r="P262" s="126">
        <v>0.8</v>
      </c>
      <c r="Q262" s="126">
        <v>0.98</v>
      </c>
      <c r="R262" s="126">
        <v>1.26</v>
      </c>
      <c r="S262" s="126">
        <v>1.63</v>
      </c>
      <c r="T262" s="126">
        <v>2.31</v>
      </c>
      <c r="U262" s="126">
        <v>3.3</v>
      </c>
      <c r="V262" s="126">
        <v>4.09</v>
      </c>
      <c r="W262" s="126">
        <v>4.3099999999999996</v>
      </c>
      <c r="X262" s="126">
        <v>4.41</v>
      </c>
      <c r="Y262" s="126">
        <v>4.4400000000000004</v>
      </c>
      <c r="Z262" s="126">
        <v>4.46</v>
      </c>
    </row>
    <row r="263" spans="2:27">
      <c r="E263" s="27"/>
      <c r="N263" t="str">
        <f t="shared" si="76"/>
        <v>NEP C&amp;E</v>
      </c>
      <c r="O263" t="s">
        <v>202</v>
      </c>
      <c r="P263">
        <v>0.01</v>
      </c>
      <c r="Q263">
        <v>0.03</v>
      </c>
      <c r="R263">
        <v>0.14000000000000001</v>
      </c>
      <c r="S263">
        <v>0.33</v>
      </c>
      <c r="T263">
        <v>0.6</v>
      </c>
      <c r="U263">
        <v>0.97</v>
      </c>
      <c r="V263">
        <v>1.21</v>
      </c>
      <c r="W263">
        <v>1.21</v>
      </c>
      <c r="X263">
        <v>1.23</v>
      </c>
      <c r="Y263">
        <v>1.23</v>
      </c>
      <c r="Z263">
        <v>1.24</v>
      </c>
      <c r="AA263" t="s">
        <v>11</v>
      </c>
    </row>
    <row r="264" spans="2:27">
      <c r="E264" s="27"/>
      <c r="N264" t="str">
        <f t="shared" si="76"/>
        <v>NEP C&amp;E</v>
      </c>
      <c r="O264" t="s">
        <v>378</v>
      </c>
      <c r="P264">
        <v>0.01</v>
      </c>
      <c r="Q264">
        <v>0.02</v>
      </c>
      <c r="R264">
        <v>0.08</v>
      </c>
      <c r="S264">
        <v>0.21</v>
      </c>
      <c r="T264">
        <v>0.46</v>
      </c>
      <c r="U264">
        <v>0.88</v>
      </c>
      <c r="V264">
        <v>1.29</v>
      </c>
      <c r="W264">
        <v>1.48</v>
      </c>
      <c r="X264">
        <v>1.55</v>
      </c>
      <c r="Y264">
        <v>1.58</v>
      </c>
      <c r="Z264">
        <v>1.58</v>
      </c>
      <c r="AA264" t="s">
        <v>11</v>
      </c>
    </row>
    <row r="265" spans="2:27">
      <c r="E265" s="27"/>
      <c r="N265" t="str">
        <f t="shared" si="76"/>
        <v>NEP C&amp;E</v>
      </c>
      <c r="O265" t="s">
        <v>374</v>
      </c>
      <c r="P265">
        <v>0.09</v>
      </c>
      <c r="Q265">
        <v>0.11</v>
      </c>
      <c r="R265">
        <v>0.12</v>
      </c>
      <c r="S265">
        <v>0.1</v>
      </c>
      <c r="T265">
        <v>0.16</v>
      </c>
      <c r="U265">
        <v>0.22</v>
      </c>
      <c r="V265">
        <v>0.27</v>
      </c>
      <c r="W265">
        <v>0.28999999999999998</v>
      </c>
      <c r="X265">
        <v>0.28999999999999998</v>
      </c>
      <c r="Y265">
        <v>0.3</v>
      </c>
      <c r="Z265">
        <v>0.3</v>
      </c>
      <c r="AA265" t="s">
        <v>11</v>
      </c>
    </row>
    <row r="266" spans="2:27">
      <c r="E266" s="27"/>
      <c r="N266" t="str">
        <f t="shared" si="76"/>
        <v>NEP C&amp;E</v>
      </c>
      <c r="O266" t="s">
        <v>364</v>
      </c>
      <c r="P266">
        <v>0.63</v>
      </c>
      <c r="Q266">
        <v>0.8</v>
      </c>
      <c r="R266">
        <v>0.92</v>
      </c>
      <c r="S266">
        <v>0.99</v>
      </c>
      <c r="T266">
        <v>1.1000000000000001</v>
      </c>
      <c r="U266">
        <v>1.23</v>
      </c>
      <c r="V266">
        <v>1.32</v>
      </c>
      <c r="W266">
        <v>1.32</v>
      </c>
      <c r="X266">
        <v>1.33</v>
      </c>
      <c r="Y266">
        <v>1.33</v>
      </c>
      <c r="Z266">
        <v>1.33</v>
      </c>
    </row>
    <row r="267" spans="2:27">
      <c r="E267" s="27"/>
      <c r="N267" t="str">
        <f t="shared" si="76"/>
        <v>NEP C&amp;E</v>
      </c>
      <c r="O267" t="s">
        <v>375</v>
      </c>
      <c r="P267">
        <v>0.04</v>
      </c>
      <c r="Q267">
        <v>0.02</v>
      </c>
      <c r="R267">
        <v>0</v>
      </c>
      <c r="S267">
        <v>0.01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11</v>
      </c>
    </row>
    <row r="268" spans="2:27">
      <c r="E268" s="27"/>
    </row>
    <row r="269" spans="2:27">
      <c r="E269" s="27"/>
      <c r="O269" t="s">
        <v>309</v>
      </c>
    </row>
    <row r="270" spans="2:27">
      <c r="E270" s="27"/>
      <c r="O270" t="s">
        <v>381</v>
      </c>
    </row>
    <row r="271" spans="2:27" ht="15">
      <c r="E271" s="27"/>
      <c r="N271" t="str">
        <f>O269</f>
        <v>NEP E</v>
      </c>
      <c r="O271" s="126" t="s">
        <v>377</v>
      </c>
      <c r="P271" s="126">
        <v>0.81</v>
      </c>
      <c r="Q271" s="126">
        <v>1.01</v>
      </c>
      <c r="R271" s="126">
        <v>1.38</v>
      </c>
      <c r="S271" s="126">
        <v>2.36</v>
      </c>
      <c r="T271" s="126">
        <v>3.68</v>
      </c>
      <c r="U271" s="126">
        <v>5.66</v>
      </c>
      <c r="V271" s="126">
        <v>8.24</v>
      </c>
      <c r="W271" s="126">
        <v>11.94</v>
      </c>
      <c r="X271" s="126">
        <v>16.149999999999999</v>
      </c>
      <c r="Y271" s="126">
        <v>20.57</v>
      </c>
      <c r="Z271" s="126">
        <v>24.22</v>
      </c>
    </row>
    <row r="272" spans="2:27" ht="15">
      <c r="E272" s="27"/>
      <c r="N272" t="str">
        <f t="shared" ref="N272:N282" si="77">N271</f>
        <v>NEP E</v>
      </c>
      <c r="O272" s="126" t="s">
        <v>370</v>
      </c>
      <c r="P272" s="126">
        <v>0.01</v>
      </c>
      <c r="Q272" s="126">
        <v>0.03</v>
      </c>
      <c r="R272" s="126">
        <v>0.12</v>
      </c>
      <c r="S272" s="126">
        <v>0.73</v>
      </c>
      <c r="T272" s="126">
        <v>1.37</v>
      </c>
      <c r="U272" s="126">
        <v>2.35</v>
      </c>
      <c r="V272" s="126">
        <v>4.1500000000000004</v>
      </c>
      <c r="W272" s="126">
        <v>7.63</v>
      </c>
      <c r="X272" s="126">
        <v>11.74</v>
      </c>
      <c r="Y272" s="126">
        <v>16.13</v>
      </c>
      <c r="Z272" s="126">
        <v>19.77</v>
      </c>
    </row>
    <row r="273" spans="5:27">
      <c r="E273" s="27"/>
      <c r="N273" t="str">
        <f t="shared" si="77"/>
        <v>NEP E</v>
      </c>
      <c r="O273" t="s">
        <v>201</v>
      </c>
      <c r="P273">
        <v>0.01</v>
      </c>
      <c r="Q273">
        <v>0.02</v>
      </c>
      <c r="R273">
        <v>0.08</v>
      </c>
      <c r="S273">
        <v>0.28000000000000003</v>
      </c>
      <c r="T273">
        <v>0.52</v>
      </c>
      <c r="U273">
        <v>0.98</v>
      </c>
      <c r="V273">
        <v>1.91</v>
      </c>
      <c r="W273">
        <v>4.4400000000000004</v>
      </c>
      <c r="X273">
        <v>6.74</v>
      </c>
      <c r="Y273">
        <v>9.23</v>
      </c>
      <c r="Z273">
        <v>11.12</v>
      </c>
    </row>
    <row r="274" spans="5:27">
      <c r="E274" s="27"/>
      <c r="N274" t="str">
        <f t="shared" si="77"/>
        <v>NEP E</v>
      </c>
      <c r="O274" t="s">
        <v>363</v>
      </c>
      <c r="P274">
        <v>0</v>
      </c>
      <c r="Q274">
        <v>0.01</v>
      </c>
      <c r="R274">
        <v>0.04</v>
      </c>
      <c r="S274">
        <v>0.35</v>
      </c>
      <c r="T274">
        <v>0.66</v>
      </c>
      <c r="U274">
        <v>0.99</v>
      </c>
      <c r="V274">
        <v>1.46</v>
      </c>
      <c r="W274">
        <v>1.76</v>
      </c>
      <c r="X274">
        <v>2.59</v>
      </c>
      <c r="Y274">
        <v>3.43</v>
      </c>
      <c r="Z274">
        <v>4.26</v>
      </c>
    </row>
    <row r="275" spans="5:27">
      <c r="E275" s="27"/>
      <c r="N275" t="str">
        <f t="shared" si="77"/>
        <v>NEP E</v>
      </c>
      <c r="O275" t="s">
        <v>202</v>
      </c>
      <c r="P275" t="s">
        <v>195</v>
      </c>
      <c r="Q275" t="s">
        <v>195</v>
      </c>
      <c r="R275" t="s">
        <v>195</v>
      </c>
      <c r="S275" t="s">
        <v>195</v>
      </c>
      <c r="T275" t="s">
        <v>195</v>
      </c>
      <c r="U275" t="s">
        <v>195</v>
      </c>
      <c r="V275" t="s">
        <v>195</v>
      </c>
      <c r="W275" t="s">
        <v>195</v>
      </c>
      <c r="X275" t="s">
        <v>195</v>
      </c>
      <c r="Y275" t="s">
        <v>195</v>
      </c>
      <c r="Z275" t="s">
        <v>195</v>
      </c>
      <c r="AA275" t="s">
        <v>11</v>
      </c>
    </row>
    <row r="276" spans="5:27">
      <c r="E276" s="27"/>
      <c r="N276" t="str">
        <f t="shared" si="77"/>
        <v>NEP E</v>
      </c>
      <c r="O276" t="s">
        <v>366</v>
      </c>
      <c r="P276" t="s">
        <v>195</v>
      </c>
      <c r="Q276" t="s">
        <v>195</v>
      </c>
      <c r="R276" t="s">
        <v>195</v>
      </c>
      <c r="S276">
        <v>0.1</v>
      </c>
      <c r="T276">
        <v>0.2</v>
      </c>
      <c r="U276">
        <v>0.39</v>
      </c>
      <c r="V276">
        <v>0.78</v>
      </c>
      <c r="W276">
        <v>1.43</v>
      </c>
      <c r="X276">
        <v>2.41</v>
      </c>
      <c r="Y276">
        <v>3.48</v>
      </c>
      <c r="Z276">
        <v>4.3899999999999997</v>
      </c>
    </row>
    <row r="277" spans="5:27" ht="15">
      <c r="E277" s="27"/>
      <c r="N277" t="str">
        <f t="shared" si="77"/>
        <v>NEP E</v>
      </c>
      <c r="O277" s="126" t="s">
        <v>372</v>
      </c>
      <c r="P277" s="126">
        <v>0.8</v>
      </c>
      <c r="Q277" s="126">
        <v>0.98</v>
      </c>
      <c r="R277" s="126">
        <v>1.26</v>
      </c>
      <c r="S277" s="126">
        <v>1.63</v>
      </c>
      <c r="T277" s="126">
        <v>2.31</v>
      </c>
      <c r="U277" s="126">
        <v>3.3</v>
      </c>
      <c r="V277" s="126">
        <v>4.09</v>
      </c>
      <c r="W277" s="126">
        <v>4.3099999999999996</v>
      </c>
      <c r="X277" s="126">
        <v>4.41</v>
      </c>
      <c r="Y277" s="126">
        <v>4.4400000000000004</v>
      </c>
      <c r="Z277" s="126">
        <v>4.46</v>
      </c>
    </row>
    <row r="278" spans="5:27">
      <c r="E278" s="27"/>
      <c r="N278" t="str">
        <f t="shared" si="77"/>
        <v>NEP E</v>
      </c>
      <c r="O278" t="s">
        <v>202</v>
      </c>
      <c r="P278">
        <v>0.01</v>
      </c>
      <c r="Q278">
        <v>0.03</v>
      </c>
      <c r="R278">
        <v>0.14000000000000001</v>
      </c>
      <c r="S278">
        <v>0.33</v>
      </c>
      <c r="T278">
        <v>0.6</v>
      </c>
      <c r="U278">
        <v>0.97</v>
      </c>
      <c r="V278">
        <v>1.21</v>
      </c>
      <c r="W278">
        <v>1.21</v>
      </c>
      <c r="X278">
        <v>1.23</v>
      </c>
      <c r="Y278">
        <v>1.23</v>
      </c>
      <c r="Z278">
        <v>1.24</v>
      </c>
      <c r="AA278" t="s">
        <v>11</v>
      </c>
    </row>
    <row r="279" spans="5:27">
      <c r="E279" s="27"/>
      <c r="N279" t="str">
        <f t="shared" si="77"/>
        <v>NEP E</v>
      </c>
      <c r="O279" t="s">
        <v>378</v>
      </c>
      <c r="P279">
        <v>0.01</v>
      </c>
      <c r="Q279">
        <v>0.02</v>
      </c>
      <c r="R279">
        <v>0.08</v>
      </c>
      <c r="S279">
        <v>0.21</v>
      </c>
      <c r="T279">
        <v>0.46</v>
      </c>
      <c r="U279">
        <v>0.88</v>
      </c>
      <c r="V279">
        <v>1.29</v>
      </c>
      <c r="W279">
        <v>1.48</v>
      </c>
      <c r="X279">
        <v>1.55</v>
      </c>
      <c r="Y279">
        <v>1.58</v>
      </c>
      <c r="Z279">
        <v>1.58</v>
      </c>
      <c r="AA279" t="s">
        <v>11</v>
      </c>
    </row>
    <row r="280" spans="5:27">
      <c r="E280" s="27"/>
      <c r="N280" t="str">
        <f t="shared" si="77"/>
        <v>NEP E</v>
      </c>
      <c r="O280" t="s">
        <v>374</v>
      </c>
      <c r="P280">
        <v>0.09</v>
      </c>
      <c r="Q280">
        <v>0.11</v>
      </c>
      <c r="R280">
        <v>0.12</v>
      </c>
      <c r="S280">
        <v>0.1</v>
      </c>
      <c r="T280">
        <v>0.16</v>
      </c>
      <c r="U280">
        <v>0.22</v>
      </c>
      <c r="V280">
        <v>0.27</v>
      </c>
      <c r="W280">
        <v>0.28999999999999998</v>
      </c>
      <c r="X280">
        <v>0.28999999999999998</v>
      </c>
      <c r="Y280">
        <v>0.3</v>
      </c>
      <c r="Z280">
        <v>0.3</v>
      </c>
      <c r="AA280" t="s">
        <v>11</v>
      </c>
    </row>
    <row r="281" spans="5:27">
      <c r="E281" s="27"/>
      <c r="N281" t="str">
        <f t="shared" si="77"/>
        <v>NEP E</v>
      </c>
      <c r="O281" t="s">
        <v>364</v>
      </c>
      <c r="P281">
        <v>0.63</v>
      </c>
      <c r="Q281">
        <v>0.8</v>
      </c>
      <c r="R281">
        <v>0.92</v>
      </c>
      <c r="S281">
        <v>0.99</v>
      </c>
      <c r="T281">
        <v>1.1000000000000001</v>
      </c>
      <c r="U281">
        <v>1.23</v>
      </c>
      <c r="V281">
        <v>1.32</v>
      </c>
      <c r="W281">
        <v>1.32</v>
      </c>
      <c r="X281">
        <v>1.33</v>
      </c>
      <c r="Y281">
        <v>1.33</v>
      </c>
      <c r="Z281">
        <v>1.33</v>
      </c>
    </row>
    <row r="282" spans="5:27">
      <c r="E282" s="27"/>
      <c r="N282" t="str">
        <f t="shared" si="77"/>
        <v>NEP E</v>
      </c>
      <c r="O282" t="s">
        <v>375</v>
      </c>
      <c r="P282">
        <v>0.04</v>
      </c>
      <c r="Q282">
        <v>0.02</v>
      </c>
      <c r="R282">
        <v>0</v>
      </c>
      <c r="S282">
        <v>0.01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 t="s">
        <v>11</v>
      </c>
    </row>
    <row r="283" spans="5:27">
      <c r="E283" s="27"/>
    </row>
    <row r="284" spans="5:27">
      <c r="E284" s="27"/>
      <c r="O284" t="s">
        <v>142</v>
      </c>
    </row>
    <row r="285" spans="5:27">
      <c r="E285" s="27"/>
      <c r="O285" t="s">
        <v>382</v>
      </c>
    </row>
    <row r="286" spans="5:27" ht="15">
      <c r="E286" s="27"/>
      <c r="N286" t="str">
        <f>O284</f>
        <v>POM C</v>
      </c>
      <c r="O286" s="126" t="s">
        <v>377</v>
      </c>
      <c r="P286" s="126">
        <v>0.81</v>
      </c>
      <c r="Q286" s="126">
        <v>1.01</v>
      </c>
      <c r="R286" s="126">
        <v>1.38</v>
      </c>
      <c r="S286" s="126">
        <v>1.83</v>
      </c>
      <c r="T286" s="126">
        <v>2.37</v>
      </c>
      <c r="U286" s="126">
        <v>3.15</v>
      </c>
      <c r="V286" s="126">
        <v>4.28</v>
      </c>
      <c r="W286" s="126">
        <v>6.13</v>
      </c>
      <c r="X286" s="126">
        <v>7.37</v>
      </c>
      <c r="Y286" s="126">
        <v>8.9</v>
      </c>
      <c r="Z286" s="126">
        <v>10.25</v>
      </c>
    </row>
    <row r="287" spans="5:27" ht="15">
      <c r="E287" s="27"/>
      <c r="N287" t="str">
        <f t="shared" ref="N287:N297" si="78">N286</f>
        <v>POM C</v>
      </c>
      <c r="O287" s="126" t="s">
        <v>370</v>
      </c>
      <c r="P287" s="126">
        <v>0.01</v>
      </c>
      <c r="Q287" s="126">
        <v>0.03</v>
      </c>
      <c r="R287" s="126">
        <v>0.12</v>
      </c>
      <c r="S287" s="126">
        <v>0.33</v>
      </c>
      <c r="T287" s="126">
        <v>0.57999999999999996</v>
      </c>
      <c r="U287" s="126">
        <v>1</v>
      </c>
      <c r="V287" s="126">
        <v>1.86</v>
      </c>
      <c r="W287" s="126">
        <v>3.69</v>
      </c>
      <c r="X287" s="126">
        <v>4.8899999999999997</v>
      </c>
      <c r="Y287" s="126">
        <v>6.4</v>
      </c>
      <c r="Z287" s="126">
        <v>7.75</v>
      </c>
    </row>
    <row r="288" spans="5:27">
      <c r="E288" s="27"/>
      <c r="N288" t="str">
        <f t="shared" si="78"/>
        <v>POM C</v>
      </c>
      <c r="O288" t="s">
        <v>201</v>
      </c>
      <c r="P288">
        <v>0.01</v>
      </c>
      <c r="Q288">
        <v>0.02</v>
      </c>
      <c r="R288">
        <v>0.08</v>
      </c>
      <c r="S288">
        <v>0.21</v>
      </c>
      <c r="T288">
        <v>0.34</v>
      </c>
      <c r="U288">
        <v>0.55000000000000004</v>
      </c>
      <c r="V288">
        <v>0.96</v>
      </c>
      <c r="W288">
        <v>2.52</v>
      </c>
      <c r="X288">
        <v>3.48</v>
      </c>
      <c r="Y288">
        <v>4.7300000000000004</v>
      </c>
      <c r="Z288">
        <v>5.92</v>
      </c>
    </row>
    <row r="289" spans="5:27">
      <c r="E289" s="27"/>
      <c r="N289" t="str">
        <f t="shared" si="78"/>
        <v>POM C</v>
      </c>
      <c r="O289" t="s">
        <v>363</v>
      </c>
      <c r="P289">
        <v>0</v>
      </c>
      <c r="Q289">
        <v>0.01</v>
      </c>
      <c r="R289">
        <v>0.04</v>
      </c>
      <c r="S289">
        <v>0.09</v>
      </c>
      <c r="T289">
        <v>0.14000000000000001</v>
      </c>
      <c r="U289">
        <v>0.25</v>
      </c>
      <c r="V289">
        <v>0.56999999999999995</v>
      </c>
      <c r="W289">
        <v>0.77</v>
      </c>
      <c r="X289">
        <v>1.02</v>
      </c>
      <c r="Y289">
        <v>1.25</v>
      </c>
      <c r="Z289">
        <v>1.41</v>
      </c>
    </row>
    <row r="290" spans="5:27">
      <c r="E290" s="27"/>
      <c r="N290" t="str">
        <f t="shared" si="78"/>
        <v>POM C</v>
      </c>
      <c r="O290" t="s">
        <v>202</v>
      </c>
      <c r="P290" t="s">
        <v>195</v>
      </c>
      <c r="Q290" t="s">
        <v>195</v>
      </c>
      <c r="R290" t="s">
        <v>195</v>
      </c>
      <c r="S290" t="s">
        <v>195</v>
      </c>
      <c r="T290" t="s">
        <v>195</v>
      </c>
      <c r="U290" t="s">
        <v>195</v>
      </c>
      <c r="V290" t="s">
        <v>195</v>
      </c>
      <c r="W290" t="s">
        <v>195</v>
      </c>
      <c r="X290" t="s">
        <v>195</v>
      </c>
      <c r="Y290" t="s">
        <v>195</v>
      </c>
      <c r="Z290" t="s">
        <v>195</v>
      </c>
      <c r="AA290" t="s">
        <v>11</v>
      </c>
    </row>
    <row r="291" spans="5:27">
      <c r="E291" s="27"/>
      <c r="N291" t="str">
        <f t="shared" si="78"/>
        <v>POM C</v>
      </c>
      <c r="O291" t="s">
        <v>366</v>
      </c>
      <c r="P291" t="s">
        <v>195</v>
      </c>
      <c r="Q291" t="s">
        <v>195</v>
      </c>
      <c r="R291" t="s">
        <v>195</v>
      </c>
      <c r="S291">
        <v>0.03</v>
      </c>
      <c r="T291">
        <v>0.1</v>
      </c>
      <c r="U291">
        <v>0.2</v>
      </c>
      <c r="V291">
        <v>0.33</v>
      </c>
      <c r="W291">
        <v>0.39</v>
      </c>
      <c r="X291">
        <v>0.39</v>
      </c>
      <c r="Y291">
        <v>0.42</v>
      </c>
      <c r="Z291">
        <v>0.42</v>
      </c>
    </row>
    <row r="292" spans="5:27" ht="15">
      <c r="E292" s="27"/>
      <c r="N292" t="str">
        <f t="shared" si="78"/>
        <v>POM C</v>
      </c>
      <c r="O292" s="126" t="s">
        <v>372</v>
      </c>
      <c r="P292" s="126">
        <v>0.8</v>
      </c>
      <c r="Q292" s="126">
        <v>0.98</v>
      </c>
      <c r="R292" s="126">
        <v>1.26</v>
      </c>
      <c r="S292" s="126">
        <v>1.5</v>
      </c>
      <c r="T292" s="126">
        <v>1.79</v>
      </c>
      <c r="U292" s="126">
        <v>2.15</v>
      </c>
      <c r="V292" s="126">
        <v>2.42</v>
      </c>
      <c r="W292" s="126">
        <v>2.44</v>
      </c>
      <c r="X292" s="126">
        <v>2.48</v>
      </c>
      <c r="Y292" s="126">
        <v>2.5</v>
      </c>
      <c r="Z292" s="126">
        <v>2.5</v>
      </c>
    </row>
    <row r="293" spans="5:27">
      <c r="E293" s="27"/>
      <c r="N293" t="str">
        <f t="shared" si="78"/>
        <v>POM C</v>
      </c>
      <c r="O293" t="s">
        <v>202</v>
      </c>
      <c r="P293">
        <v>0.01</v>
      </c>
      <c r="Q293">
        <v>0.03</v>
      </c>
      <c r="R293">
        <v>0.14000000000000001</v>
      </c>
      <c r="S293">
        <v>0.3</v>
      </c>
      <c r="T293">
        <v>0.42</v>
      </c>
      <c r="U293">
        <v>0.56999999999999995</v>
      </c>
      <c r="V293">
        <v>0.69</v>
      </c>
      <c r="W293">
        <v>0.65</v>
      </c>
      <c r="X293">
        <v>0.67</v>
      </c>
      <c r="Y293">
        <v>0.68</v>
      </c>
      <c r="Z293">
        <v>0.68</v>
      </c>
      <c r="AA293" t="s">
        <v>11</v>
      </c>
    </row>
    <row r="294" spans="5:27">
      <c r="E294" s="27"/>
      <c r="N294" t="str">
        <f t="shared" si="78"/>
        <v>POM C</v>
      </c>
      <c r="O294" t="s">
        <v>378</v>
      </c>
      <c r="P294">
        <v>0.01</v>
      </c>
      <c r="Q294">
        <v>0.02</v>
      </c>
      <c r="R294">
        <v>0.08</v>
      </c>
      <c r="S294">
        <v>0.16</v>
      </c>
      <c r="T294">
        <v>0.26</v>
      </c>
      <c r="U294">
        <v>0.38</v>
      </c>
      <c r="V294">
        <v>0.48</v>
      </c>
      <c r="W294">
        <v>0.51</v>
      </c>
      <c r="X294">
        <v>0.52</v>
      </c>
      <c r="Y294">
        <v>0.53</v>
      </c>
      <c r="Z294">
        <v>0.53</v>
      </c>
      <c r="AA294" t="s">
        <v>11</v>
      </c>
    </row>
    <row r="295" spans="5:27">
      <c r="E295" s="27"/>
      <c r="N295" t="str">
        <f t="shared" si="78"/>
        <v>POM C</v>
      </c>
      <c r="O295" t="s">
        <v>374</v>
      </c>
      <c r="P295">
        <v>0.09</v>
      </c>
      <c r="Q295">
        <v>0.11</v>
      </c>
      <c r="R295">
        <v>0.12</v>
      </c>
      <c r="S295">
        <v>0.1</v>
      </c>
      <c r="T295">
        <v>0.16</v>
      </c>
      <c r="U295">
        <v>0.22</v>
      </c>
      <c r="V295">
        <v>0.27</v>
      </c>
      <c r="W295">
        <v>0.28999999999999998</v>
      </c>
      <c r="X295">
        <v>0.28999999999999998</v>
      </c>
      <c r="Y295">
        <v>0.3</v>
      </c>
      <c r="Z295">
        <v>0.3</v>
      </c>
      <c r="AA295" t="s">
        <v>11</v>
      </c>
    </row>
    <row r="296" spans="5:27">
      <c r="E296" s="27"/>
      <c r="N296" t="str">
        <f t="shared" si="78"/>
        <v>POM C</v>
      </c>
      <c r="O296" t="s">
        <v>364</v>
      </c>
      <c r="P296">
        <v>0.63</v>
      </c>
      <c r="Q296">
        <v>0.8</v>
      </c>
      <c r="R296">
        <v>0.92</v>
      </c>
      <c r="S296">
        <v>0.94</v>
      </c>
      <c r="T296">
        <v>0.94</v>
      </c>
      <c r="U296">
        <v>0.97</v>
      </c>
      <c r="V296">
        <v>0.98</v>
      </c>
      <c r="W296">
        <v>0.98</v>
      </c>
      <c r="X296">
        <v>0.99</v>
      </c>
      <c r="Y296">
        <v>0.99</v>
      </c>
      <c r="Z296">
        <v>0.99</v>
      </c>
    </row>
    <row r="297" spans="5:27">
      <c r="E297" s="27"/>
      <c r="N297" t="str">
        <f t="shared" si="78"/>
        <v>POM C</v>
      </c>
      <c r="O297" t="s">
        <v>375</v>
      </c>
      <c r="P297">
        <v>0.04</v>
      </c>
      <c r="Q297">
        <v>0.02</v>
      </c>
      <c r="R297">
        <v>0</v>
      </c>
      <c r="S297">
        <v>0.01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t="s">
        <v>11</v>
      </c>
    </row>
    <row r="298" spans="5:27">
      <c r="E298" s="27"/>
    </row>
    <row r="299" spans="5:27">
      <c r="E299" s="27"/>
      <c r="O299" t="s">
        <v>296</v>
      </c>
    </row>
    <row r="300" spans="5:27">
      <c r="E300" s="27"/>
      <c r="O300" t="s">
        <v>383</v>
      </c>
    </row>
    <row r="301" spans="5:27" ht="15">
      <c r="E301" s="27"/>
      <c r="N301" t="str">
        <f>O299</f>
        <v>POM C&amp;E</v>
      </c>
      <c r="O301" s="126" t="s">
        <v>377</v>
      </c>
      <c r="P301" s="126">
        <v>0.81</v>
      </c>
      <c r="Q301" s="126">
        <v>1.01</v>
      </c>
      <c r="R301" s="126">
        <v>1.38</v>
      </c>
      <c r="S301" s="126">
        <v>2.36</v>
      </c>
      <c r="T301" s="126">
        <v>3.68</v>
      </c>
      <c r="U301" s="126">
        <v>5.66</v>
      </c>
      <c r="V301" s="126">
        <v>8.24</v>
      </c>
      <c r="W301" s="126">
        <v>11.94</v>
      </c>
      <c r="X301" s="126">
        <v>16.149999999999999</v>
      </c>
      <c r="Y301" s="126">
        <v>20.57</v>
      </c>
      <c r="Z301" s="126">
        <v>24.22</v>
      </c>
    </row>
    <row r="302" spans="5:27" ht="15">
      <c r="E302" s="27"/>
      <c r="N302" t="str">
        <f t="shared" ref="N302:N312" si="79">N301</f>
        <v>POM C&amp;E</v>
      </c>
      <c r="O302" s="126" t="s">
        <v>370</v>
      </c>
      <c r="P302" s="126">
        <v>0.01</v>
      </c>
      <c r="Q302" s="126">
        <v>0.03</v>
      </c>
      <c r="R302" s="126">
        <v>0.12</v>
      </c>
      <c r="S302" s="126">
        <v>0.73</v>
      </c>
      <c r="T302" s="126">
        <v>1.37</v>
      </c>
      <c r="U302" s="126">
        <v>2.35</v>
      </c>
      <c r="V302" s="126">
        <v>4.1500000000000004</v>
      </c>
      <c r="W302" s="126">
        <v>7.63</v>
      </c>
      <c r="X302" s="126">
        <v>11.74</v>
      </c>
      <c r="Y302" s="126">
        <v>16.13</v>
      </c>
      <c r="Z302" s="126">
        <v>19.77</v>
      </c>
    </row>
    <row r="303" spans="5:27">
      <c r="E303" s="27"/>
      <c r="N303" t="str">
        <f t="shared" si="79"/>
        <v>POM C&amp;E</v>
      </c>
      <c r="O303" t="s">
        <v>201</v>
      </c>
      <c r="P303">
        <v>0.01</v>
      </c>
      <c r="Q303">
        <v>0.02</v>
      </c>
      <c r="R303">
        <v>0.08</v>
      </c>
      <c r="S303">
        <v>0.28000000000000003</v>
      </c>
      <c r="T303">
        <v>0.52</v>
      </c>
      <c r="U303">
        <v>0.98</v>
      </c>
      <c r="V303">
        <v>1.91</v>
      </c>
      <c r="W303">
        <v>4.4400000000000004</v>
      </c>
      <c r="X303">
        <v>6.74</v>
      </c>
      <c r="Y303">
        <v>9.23</v>
      </c>
      <c r="Z303">
        <v>11.12</v>
      </c>
    </row>
    <row r="304" spans="5:27">
      <c r="E304" s="27"/>
      <c r="N304" t="str">
        <f t="shared" si="79"/>
        <v>POM C&amp;E</v>
      </c>
      <c r="O304" t="s">
        <v>363</v>
      </c>
      <c r="P304">
        <v>0</v>
      </c>
      <c r="Q304">
        <v>0.01</v>
      </c>
      <c r="R304">
        <v>0.04</v>
      </c>
      <c r="S304">
        <v>0.35</v>
      </c>
      <c r="T304">
        <v>0.66</v>
      </c>
      <c r="U304">
        <v>0.99</v>
      </c>
      <c r="V304">
        <v>1.46</v>
      </c>
      <c r="W304">
        <v>1.76</v>
      </c>
      <c r="X304">
        <v>2.59</v>
      </c>
      <c r="Y304">
        <v>3.43</v>
      </c>
      <c r="Z304">
        <v>4.26</v>
      </c>
    </row>
    <row r="305" spans="5:27">
      <c r="E305" s="27"/>
      <c r="N305" t="str">
        <f t="shared" si="79"/>
        <v>POM C&amp;E</v>
      </c>
      <c r="O305" t="s">
        <v>202</v>
      </c>
      <c r="P305" t="s">
        <v>195</v>
      </c>
      <c r="Q305" t="s">
        <v>195</v>
      </c>
      <c r="R305" t="s">
        <v>195</v>
      </c>
      <c r="S305" t="s">
        <v>195</v>
      </c>
      <c r="T305" t="s">
        <v>195</v>
      </c>
      <c r="U305" t="s">
        <v>195</v>
      </c>
      <c r="V305" t="s">
        <v>195</v>
      </c>
      <c r="W305" t="s">
        <v>195</v>
      </c>
      <c r="X305" t="s">
        <v>195</v>
      </c>
      <c r="Y305" t="s">
        <v>195</v>
      </c>
      <c r="Z305" t="s">
        <v>195</v>
      </c>
      <c r="AA305" t="s">
        <v>11</v>
      </c>
    </row>
    <row r="306" spans="5:27">
      <c r="E306" s="27"/>
      <c r="N306" t="str">
        <f t="shared" si="79"/>
        <v>POM C&amp;E</v>
      </c>
      <c r="O306" t="s">
        <v>366</v>
      </c>
      <c r="P306" t="s">
        <v>195</v>
      </c>
      <c r="Q306" t="s">
        <v>195</v>
      </c>
      <c r="R306" t="s">
        <v>195</v>
      </c>
      <c r="S306">
        <v>0.1</v>
      </c>
      <c r="T306">
        <v>0.2</v>
      </c>
      <c r="U306">
        <v>0.39</v>
      </c>
      <c r="V306">
        <v>0.78</v>
      </c>
      <c r="W306">
        <v>1.43</v>
      </c>
      <c r="X306">
        <v>2.41</v>
      </c>
      <c r="Y306">
        <v>3.48</v>
      </c>
      <c r="Z306">
        <v>4.3899999999999997</v>
      </c>
    </row>
    <row r="307" spans="5:27" ht="15">
      <c r="E307" s="27"/>
      <c r="N307" t="str">
        <f t="shared" si="79"/>
        <v>POM C&amp;E</v>
      </c>
      <c r="O307" s="126" t="s">
        <v>372</v>
      </c>
      <c r="P307" s="126">
        <v>0.8</v>
      </c>
      <c r="Q307" s="126">
        <v>0.98</v>
      </c>
      <c r="R307" s="126">
        <v>1.26</v>
      </c>
      <c r="S307" s="126">
        <v>1.63</v>
      </c>
      <c r="T307" s="126">
        <v>2.31</v>
      </c>
      <c r="U307" s="126">
        <v>3.3</v>
      </c>
      <c r="V307" s="126">
        <v>4.09</v>
      </c>
      <c r="W307" s="126">
        <v>4.3099999999999996</v>
      </c>
      <c r="X307" s="126">
        <v>4.41</v>
      </c>
      <c r="Y307" s="126">
        <v>4.4400000000000004</v>
      </c>
      <c r="Z307" s="126">
        <v>4.46</v>
      </c>
    </row>
    <row r="308" spans="5:27">
      <c r="E308" s="27"/>
      <c r="N308" t="str">
        <f t="shared" si="79"/>
        <v>POM C&amp;E</v>
      </c>
      <c r="O308" t="s">
        <v>202</v>
      </c>
      <c r="P308">
        <v>0.01</v>
      </c>
      <c r="Q308">
        <v>0.03</v>
      </c>
      <c r="R308">
        <v>0.14000000000000001</v>
      </c>
      <c r="S308">
        <v>0.33</v>
      </c>
      <c r="T308">
        <v>0.6</v>
      </c>
      <c r="U308">
        <v>0.97</v>
      </c>
      <c r="V308">
        <v>1.21</v>
      </c>
      <c r="W308">
        <v>1.21</v>
      </c>
      <c r="X308">
        <v>1.23</v>
      </c>
      <c r="Y308">
        <v>1.23</v>
      </c>
      <c r="Z308">
        <v>1.24</v>
      </c>
      <c r="AA308" t="s">
        <v>11</v>
      </c>
    </row>
    <row r="309" spans="5:27">
      <c r="E309" s="27"/>
      <c r="N309" t="str">
        <f t="shared" si="79"/>
        <v>POM C&amp;E</v>
      </c>
      <c r="O309" t="s">
        <v>378</v>
      </c>
      <c r="P309">
        <v>0.01</v>
      </c>
      <c r="Q309">
        <v>0.02</v>
      </c>
      <c r="R309">
        <v>0.08</v>
      </c>
      <c r="S309">
        <v>0.21</v>
      </c>
      <c r="T309">
        <v>0.46</v>
      </c>
      <c r="U309">
        <v>0.88</v>
      </c>
      <c r="V309">
        <v>1.29</v>
      </c>
      <c r="W309">
        <v>1.48</v>
      </c>
      <c r="X309">
        <v>1.55</v>
      </c>
      <c r="Y309">
        <v>1.58</v>
      </c>
      <c r="Z309">
        <v>1.58</v>
      </c>
      <c r="AA309" t="s">
        <v>11</v>
      </c>
    </row>
    <row r="310" spans="5:27">
      <c r="E310" s="27"/>
      <c r="N310" t="str">
        <f t="shared" si="79"/>
        <v>POM C&amp;E</v>
      </c>
      <c r="O310" t="s">
        <v>374</v>
      </c>
      <c r="P310">
        <v>0.09</v>
      </c>
      <c r="Q310">
        <v>0.11</v>
      </c>
      <c r="R310">
        <v>0.12</v>
      </c>
      <c r="S310">
        <v>0.1</v>
      </c>
      <c r="T310">
        <v>0.16</v>
      </c>
      <c r="U310">
        <v>0.22</v>
      </c>
      <c r="V310">
        <v>0.27</v>
      </c>
      <c r="W310">
        <v>0.28999999999999998</v>
      </c>
      <c r="X310">
        <v>0.28999999999999998</v>
      </c>
      <c r="Y310">
        <v>0.3</v>
      </c>
      <c r="Z310">
        <v>0.3</v>
      </c>
      <c r="AA310" t="s">
        <v>11</v>
      </c>
    </row>
    <row r="311" spans="5:27">
      <c r="E311" s="27"/>
      <c r="N311" t="str">
        <f t="shared" si="79"/>
        <v>POM C&amp;E</v>
      </c>
      <c r="O311" t="s">
        <v>364</v>
      </c>
      <c r="P311">
        <v>0.63</v>
      </c>
      <c r="Q311">
        <v>0.8</v>
      </c>
      <c r="R311">
        <v>0.92</v>
      </c>
      <c r="S311">
        <v>0.99</v>
      </c>
      <c r="T311">
        <v>1.1000000000000001</v>
      </c>
      <c r="U311">
        <v>1.23</v>
      </c>
      <c r="V311">
        <v>1.32</v>
      </c>
      <c r="W311">
        <v>1.32</v>
      </c>
      <c r="X311">
        <v>1.33</v>
      </c>
      <c r="Y311">
        <v>1.33</v>
      </c>
      <c r="Z311">
        <v>1.33</v>
      </c>
    </row>
    <row r="312" spans="5:27">
      <c r="E312" s="27"/>
      <c r="N312" t="str">
        <f t="shared" si="79"/>
        <v>POM C&amp;E</v>
      </c>
      <c r="O312" t="s">
        <v>375</v>
      </c>
      <c r="P312">
        <v>0.04</v>
      </c>
      <c r="Q312">
        <v>0.02</v>
      </c>
      <c r="R312">
        <v>0</v>
      </c>
      <c r="S312">
        <v>0.01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t="s">
        <v>11</v>
      </c>
    </row>
    <row r="313" spans="5:27">
      <c r="E313" s="27"/>
    </row>
    <row r="314" spans="5:27">
      <c r="E314" s="27"/>
      <c r="O314" t="s">
        <v>143</v>
      </c>
    </row>
    <row r="315" spans="5:27">
      <c r="E315" s="27"/>
      <c r="O315" t="s">
        <v>384</v>
      </c>
    </row>
    <row r="316" spans="5:27" ht="15">
      <c r="E316" s="27"/>
      <c r="N316" t="str">
        <f>O314</f>
        <v>POM E</v>
      </c>
      <c r="O316" s="126" t="s">
        <v>377</v>
      </c>
      <c r="P316" s="126">
        <v>0.81</v>
      </c>
      <c r="Q316" s="126">
        <v>1.01</v>
      </c>
      <c r="R316" s="126">
        <v>1.38</v>
      </c>
      <c r="S316" s="126">
        <v>2.36</v>
      </c>
      <c r="T316" s="126">
        <v>3.68</v>
      </c>
      <c r="U316" s="126">
        <v>5.66</v>
      </c>
      <c r="V316" s="126">
        <v>8.24</v>
      </c>
      <c r="W316" s="126">
        <v>11.94</v>
      </c>
      <c r="X316" s="126">
        <v>16.149999999999999</v>
      </c>
      <c r="Y316" s="126">
        <v>20.57</v>
      </c>
      <c r="Z316" s="126">
        <v>24.22</v>
      </c>
    </row>
    <row r="317" spans="5:27" ht="15">
      <c r="E317" s="27"/>
      <c r="N317" t="str">
        <f t="shared" ref="N317:N327" si="80">N316</f>
        <v>POM E</v>
      </c>
      <c r="O317" s="126" t="s">
        <v>370</v>
      </c>
      <c r="P317" s="126">
        <v>0.01</v>
      </c>
      <c r="Q317" s="126">
        <v>0.03</v>
      </c>
      <c r="R317" s="126">
        <v>0.12</v>
      </c>
      <c r="S317" s="126">
        <v>0.73</v>
      </c>
      <c r="T317" s="126">
        <v>1.37</v>
      </c>
      <c r="U317" s="126">
        <v>2.35</v>
      </c>
      <c r="V317" s="126">
        <v>4.1500000000000004</v>
      </c>
      <c r="W317" s="126">
        <v>7.63</v>
      </c>
      <c r="X317" s="126">
        <v>11.74</v>
      </c>
      <c r="Y317" s="126">
        <v>16.13</v>
      </c>
      <c r="Z317" s="126">
        <v>19.77</v>
      </c>
    </row>
    <row r="318" spans="5:27">
      <c r="E318" s="27"/>
      <c r="N318" t="str">
        <f t="shared" si="80"/>
        <v>POM E</v>
      </c>
      <c r="O318" t="s">
        <v>201</v>
      </c>
      <c r="P318">
        <v>0.01</v>
      </c>
      <c r="Q318">
        <v>0.02</v>
      </c>
      <c r="R318">
        <v>0.08</v>
      </c>
      <c r="S318">
        <v>0.28000000000000003</v>
      </c>
      <c r="T318">
        <v>0.52</v>
      </c>
      <c r="U318">
        <v>0.98</v>
      </c>
      <c r="V318">
        <v>1.91</v>
      </c>
      <c r="W318">
        <v>4.4400000000000004</v>
      </c>
      <c r="X318">
        <v>6.74</v>
      </c>
      <c r="Y318">
        <v>9.23</v>
      </c>
      <c r="Z318">
        <v>11.12</v>
      </c>
    </row>
    <row r="319" spans="5:27">
      <c r="E319" s="27"/>
      <c r="N319" t="str">
        <f t="shared" si="80"/>
        <v>POM E</v>
      </c>
      <c r="O319" t="s">
        <v>363</v>
      </c>
      <c r="P319">
        <v>0</v>
      </c>
      <c r="Q319">
        <v>0.01</v>
      </c>
      <c r="R319">
        <v>0.04</v>
      </c>
      <c r="S319">
        <v>0.35</v>
      </c>
      <c r="T319">
        <v>0.66</v>
      </c>
      <c r="U319">
        <v>0.99</v>
      </c>
      <c r="V319">
        <v>1.46</v>
      </c>
      <c r="W319">
        <v>1.76</v>
      </c>
      <c r="X319">
        <v>2.59</v>
      </c>
      <c r="Y319">
        <v>3.43</v>
      </c>
      <c r="Z319">
        <v>4.26</v>
      </c>
    </row>
    <row r="320" spans="5:27">
      <c r="E320" s="27"/>
      <c r="N320" t="str">
        <f t="shared" si="80"/>
        <v>POM E</v>
      </c>
      <c r="O320" t="s">
        <v>202</v>
      </c>
      <c r="P320" t="s">
        <v>195</v>
      </c>
      <c r="Q320" t="s">
        <v>195</v>
      </c>
      <c r="R320" t="s">
        <v>195</v>
      </c>
      <c r="S320" t="s">
        <v>195</v>
      </c>
      <c r="T320" t="s">
        <v>195</v>
      </c>
      <c r="U320" t="s">
        <v>195</v>
      </c>
      <c r="V320" t="s">
        <v>195</v>
      </c>
      <c r="W320" t="s">
        <v>195</v>
      </c>
      <c r="X320" t="s">
        <v>195</v>
      </c>
      <c r="Y320" t="s">
        <v>195</v>
      </c>
      <c r="Z320" t="s">
        <v>195</v>
      </c>
      <c r="AA320" t="s">
        <v>11</v>
      </c>
    </row>
    <row r="321" spans="5:27">
      <c r="E321" s="27"/>
      <c r="N321" t="str">
        <f t="shared" si="80"/>
        <v>POM E</v>
      </c>
      <c r="O321" t="s">
        <v>366</v>
      </c>
      <c r="P321" t="s">
        <v>195</v>
      </c>
      <c r="Q321" t="s">
        <v>195</v>
      </c>
      <c r="R321" t="s">
        <v>195</v>
      </c>
      <c r="S321">
        <v>0.1</v>
      </c>
      <c r="T321">
        <v>0.2</v>
      </c>
      <c r="U321">
        <v>0.39</v>
      </c>
      <c r="V321">
        <v>0.78</v>
      </c>
      <c r="W321">
        <v>1.43</v>
      </c>
      <c r="X321">
        <v>2.41</v>
      </c>
      <c r="Y321">
        <v>3.48</v>
      </c>
      <c r="Z321">
        <v>4.3899999999999997</v>
      </c>
    </row>
    <row r="322" spans="5:27" ht="15">
      <c r="E322" s="27"/>
      <c r="N322" t="str">
        <f t="shared" si="80"/>
        <v>POM E</v>
      </c>
      <c r="O322" s="126" t="s">
        <v>372</v>
      </c>
      <c r="P322" s="126">
        <v>0.8</v>
      </c>
      <c r="Q322" s="126">
        <v>0.98</v>
      </c>
      <c r="R322" s="126">
        <v>1.26</v>
      </c>
      <c r="S322" s="126">
        <v>1.63</v>
      </c>
      <c r="T322" s="126">
        <v>2.31</v>
      </c>
      <c r="U322" s="126">
        <v>3.3</v>
      </c>
      <c r="V322" s="126">
        <v>4.09</v>
      </c>
      <c r="W322" s="126">
        <v>4.3099999999999996</v>
      </c>
      <c r="X322" s="126">
        <v>4.41</v>
      </c>
      <c r="Y322" s="126">
        <v>4.4400000000000004</v>
      </c>
      <c r="Z322" s="126">
        <v>4.46</v>
      </c>
    </row>
    <row r="323" spans="5:27">
      <c r="E323" s="27"/>
      <c r="N323" t="str">
        <f t="shared" si="80"/>
        <v>POM E</v>
      </c>
      <c r="O323" t="s">
        <v>202</v>
      </c>
      <c r="P323">
        <v>0.01</v>
      </c>
      <c r="Q323">
        <v>0.03</v>
      </c>
      <c r="R323">
        <v>0.14000000000000001</v>
      </c>
      <c r="S323">
        <v>0.33</v>
      </c>
      <c r="T323">
        <v>0.6</v>
      </c>
      <c r="U323">
        <v>0.97</v>
      </c>
      <c r="V323">
        <v>1.21</v>
      </c>
      <c r="W323">
        <v>1.21</v>
      </c>
      <c r="X323">
        <v>1.23</v>
      </c>
      <c r="Y323">
        <v>1.23</v>
      </c>
      <c r="Z323">
        <v>1.24</v>
      </c>
      <c r="AA323" t="s">
        <v>11</v>
      </c>
    </row>
    <row r="324" spans="5:27">
      <c r="E324" s="27"/>
      <c r="N324" t="str">
        <f t="shared" si="80"/>
        <v>POM E</v>
      </c>
      <c r="O324" t="s">
        <v>378</v>
      </c>
      <c r="P324">
        <v>0.01</v>
      </c>
      <c r="Q324">
        <v>0.02</v>
      </c>
      <c r="R324">
        <v>0.08</v>
      </c>
      <c r="S324">
        <v>0.21</v>
      </c>
      <c r="T324">
        <v>0.46</v>
      </c>
      <c r="U324">
        <v>0.88</v>
      </c>
      <c r="V324">
        <v>1.29</v>
      </c>
      <c r="W324">
        <v>1.48</v>
      </c>
      <c r="X324">
        <v>1.55</v>
      </c>
      <c r="Y324">
        <v>1.58</v>
      </c>
      <c r="Z324">
        <v>1.58</v>
      </c>
      <c r="AA324" t="s">
        <v>11</v>
      </c>
    </row>
    <row r="325" spans="5:27">
      <c r="E325" s="27"/>
      <c r="N325" t="str">
        <f t="shared" si="80"/>
        <v>POM E</v>
      </c>
      <c r="O325" t="s">
        <v>374</v>
      </c>
      <c r="P325">
        <v>0.09</v>
      </c>
      <c r="Q325">
        <v>0.11</v>
      </c>
      <c r="R325">
        <v>0.12</v>
      </c>
      <c r="S325">
        <v>0.1</v>
      </c>
      <c r="T325">
        <v>0.16</v>
      </c>
      <c r="U325">
        <v>0.22</v>
      </c>
      <c r="V325">
        <v>0.27</v>
      </c>
      <c r="W325">
        <v>0.28999999999999998</v>
      </c>
      <c r="X325">
        <v>0.28999999999999998</v>
      </c>
      <c r="Y325">
        <v>0.3</v>
      </c>
      <c r="Z325">
        <v>0.3</v>
      </c>
      <c r="AA325" t="s">
        <v>11</v>
      </c>
    </row>
    <row r="326" spans="5:27">
      <c r="E326" s="27"/>
      <c r="N326" t="str">
        <f t="shared" si="80"/>
        <v>POM E</v>
      </c>
      <c r="O326" t="s">
        <v>364</v>
      </c>
      <c r="P326">
        <v>0.63</v>
      </c>
      <c r="Q326">
        <v>0.8</v>
      </c>
      <c r="R326">
        <v>0.92</v>
      </c>
      <c r="S326">
        <v>0.99</v>
      </c>
      <c r="T326">
        <v>1.1000000000000001</v>
      </c>
      <c r="U326">
        <v>1.23</v>
      </c>
      <c r="V326">
        <v>1.32</v>
      </c>
      <c r="W326">
        <v>1.32</v>
      </c>
      <c r="X326">
        <v>1.33</v>
      </c>
      <c r="Y326">
        <v>1.33</v>
      </c>
      <c r="Z326">
        <v>1.33</v>
      </c>
    </row>
    <row r="327" spans="5:27">
      <c r="E327" s="27"/>
      <c r="N327" t="str">
        <f t="shared" si="80"/>
        <v>POM E</v>
      </c>
      <c r="O327" t="s">
        <v>375</v>
      </c>
      <c r="P327">
        <v>0.04</v>
      </c>
      <c r="Q327">
        <v>0.02</v>
      </c>
      <c r="R327">
        <v>0</v>
      </c>
      <c r="S327">
        <v>0.01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11</v>
      </c>
    </row>
    <row r="328" spans="5:27">
      <c r="E328" s="27"/>
    </row>
    <row r="329" spans="5:27">
      <c r="E329" s="27"/>
    </row>
    <row r="330" spans="5:27" ht="15">
      <c r="E330" s="27"/>
      <c r="N330" s="126" t="s">
        <v>447</v>
      </c>
    </row>
    <row r="331" spans="5:27">
      <c r="E331" s="27"/>
    </row>
    <row r="332" spans="5:27" ht="15">
      <c r="E332" s="27"/>
      <c r="N332" s="126"/>
    </row>
    <row r="333" spans="5:27">
      <c r="E333" s="27"/>
      <c r="O333" t="s">
        <v>457</v>
      </c>
    </row>
    <row r="334" spans="5:27">
      <c r="E334" s="27"/>
      <c r="P334">
        <v>2000</v>
      </c>
      <c r="Q334">
        <v>2005</v>
      </c>
      <c r="R334">
        <v>2010</v>
      </c>
      <c r="S334">
        <v>2015</v>
      </c>
      <c r="T334">
        <v>2020</v>
      </c>
      <c r="U334">
        <v>2025</v>
      </c>
      <c r="V334">
        <v>2030</v>
      </c>
      <c r="W334">
        <v>2035</v>
      </c>
      <c r="X334">
        <v>2040</v>
      </c>
      <c r="Y334">
        <v>2045</v>
      </c>
      <c r="Z334">
        <v>2050</v>
      </c>
    </row>
    <row r="335" spans="5:27" ht="15">
      <c r="E335" s="27"/>
      <c r="N335" t="s">
        <v>142</v>
      </c>
      <c r="O335" s="171" t="s">
        <v>448</v>
      </c>
      <c r="P335">
        <v>38.380000000000003</v>
      </c>
      <c r="Q335">
        <v>34.340000000000003</v>
      </c>
      <c r="R335">
        <v>35.42</v>
      </c>
      <c r="S335">
        <v>38.76</v>
      </c>
      <c r="T335">
        <v>41.48</v>
      </c>
      <c r="U335">
        <v>41.65</v>
      </c>
      <c r="V335">
        <v>41.77</v>
      </c>
      <c r="W335">
        <v>41.75</v>
      </c>
      <c r="X335">
        <v>41.86</v>
      </c>
      <c r="Y335">
        <v>41.6</v>
      </c>
      <c r="Z335">
        <v>41.58</v>
      </c>
    </row>
    <row r="336" spans="5:27">
      <c r="E336" s="27"/>
      <c r="N336" t="s">
        <v>142</v>
      </c>
      <c r="O336" s="130" t="s">
        <v>450</v>
      </c>
      <c r="P336">
        <v>38.380000000000003</v>
      </c>
      <c r="Q336">
        <v>34.340000000000003</v>
      </c>
      <c r="R336">
        <v>35.42</v>
      </c>
      <c r="S336">
        <v>36.950000000000003</v>
      </c>
      <c r="T336">
        <v>36.869999999999997</v>
      </c>
      <c r="U336">
        <v>36.83</v>
      </c>
      <c r="V336">
        <v>36.75</v>
      </c>
      <c r="W336">
        <v>36.54</v>
      </c>
      <c r="X336">
        <v>36.409999999999997</v>
      </c>
      <c r="Y336">
        <v>35.85</v>
      </c>
      <c r="Z336">
        <v>35.57</v>
      </c>
      <c r="AA336" t="s">
        <v>145</v>
      </c>
    </row>
    <row r="337" spans="5:27">
      <c r="E337" s="27"/>
      <c r="N337" t="s">
        <v>142</v>
      </c>
      <c r="O337" s="130" t="s">
        <v>451</v>
      </c>
      <c r="P337" t="s">
        <v>195</v>
      </c>
      <c r="Q337" t="s">
        <v>195</v>
      </c>
      <c r="R337" t="s">
        <v>195</v>
      </c>
      <c r="S337">
        <v>1.81</v>
      </c>
      <c r="T337">
        <v>4.6100000000000003</v>
      </c>
      <c r="U337">
        <v>4.82</v>
      </c>
      <c r="V337">
        <v>5.01</v>
      </c>
      <c r="W337">
        <v>5.21</v>
      </c>
      <c r="X337">
        <v>5.45</v>
      </c>
      <c r="Y337">
        <v>5.75</v>
      </c>
      <c r="Z337">
        <v>6.01</v>
      </c>
      <c r="AA337" t="s">
        <v>462</v>
      </c>
    </row>
    <row r="338" spans="5:27" ht="15">
      <c r="E338" s="27"/>
      <c r="N338" t="s">
        <v>142</v>
      </c>
      <c r="O338" s="171" t="s">
        <v>449</v>
      </c>
      <c r="P338">
        <v>24.73</v>
      </c>
      <c r="Q338">
        <v>21.9</v>
      </c>
      <c r="R338">
        <v>25.13</v>
      </c>
      <c r="S338">
        <v>24.58</v>
      </c>
      <c r="T338">
        <v>21.68</v>
      </c>
      <c r="U338">
        <v>15.98</v>
      </c>
      <c r="V338">
        <v>8.81</v>
      </c>
      <c r="W338" t="s">
        <v>195</v>
      </c>
      <c r="X338" t="s">
        <v>195</v>
      </c>
      <c r="Y338" t="s">
        <v>195</v>
      </c>
      <c r="Z338" t="s">
        <v>195</v>
      </c>
    </row>
    <row r="339" spans="5:27">
      <c r="E339" s="27"/>
      <c r="N339" t="s">
        <v>142</v>
      </c>
      <c r="O339" s="130" t="s">
        <v>452</v>
      </c>
      <c r="P339">
        <v>24.73</v>
      </c>
      <c r="Q339">
        <v>21.9</v>
      </c>
      <c r="R339">
        <v>25.13</v>
      </c>
      <c r="S339">
        <v>24.58</v>
      </c>
      <c r="T339">
        <v>21.68</v>
      </c>
      <c r="U339">
        <v>15.98</v>
      </c>
      <c r="V339">
        <v>8.81</v>
      </c>
      <c r="W339" t="s">
        <v>195</v>
      </c>
      <c r="X339" t="s">
        <v>195</v>
      </c>
      <c r="Y339" t="s">
        <v>195</v>
      </c>
      <c r="Z339" t="s">
        <v>195</v>
      </c>
      <c r="AA339" t="s">
        <v>95</v>
      </c>
    </row>
    <row r="340" spans="5:27">
      <c r="E340" s="27"/>
      <c r="N340" t="s">
        <v>142</v>
      </c>
      <c r="O340" s="130" t="s">
        <v>453</v>
      </c>
      <c r="P340" t="s">
        <v>195</v>
      </c>
      <c r="Q340" t="s">
        <v>195</v>
      </c>
      <c r="R340" t="s">
        <v>195</v>
      </c>
      <c r="S340" t="s">
        <v>195</v>
      </c>
      <c r="T340" t="s">
        <v>195</v>
      </c>
      <c r="U340" t="s">
        <v>195</v>
      </c>
      <c r="V340" t="s">
        <v>195</v>
      </c>
      <c r="W340" t="s">
        <v>195</v>
      </c>
      <c r="X340" t="s">
        <v>195</v>
      </c>
      <c r="Y340" t="s">
        <v>195</v>
      </c>
      <c r="Z340" t="s">
        <v>195</v>
      </c>
    </row>
    <row r="341" spans="5:27" ht="15">
      <c r="E341" s="27"/>
      <c r="N341" t="s">
        <v>142</v>
      </c>
      <c r="O341" s="171" t="s">
        <v>454</v>
      </c>
      <c r="P341">
        <v>1.79</v>
      </c>
      <c r="Q341">
        <v>2.0699999999999998</v>
      </c>
      <c r="R341">
        <v>2.1800000000000002</v>
      </c>
      <c r="S341">
        <v>2.65</v>
      </c>
      <c r="T341">
        <v>3.94</v>
      </c>
      <c r="U341">
        <v>6.9</v>
      </c>
      <c r="V341">
        <v>10.02</v>
      </c>
      <c r="W341">
        <v>22.28</v>
      </c>
      <c r="X341">
        <v>21.6</v>
      </c>
      <c r="Y341">
        <v>21.98</v>
      </c>
      <c r="Z341">
        <v>21.66</v>
      </c>
    </row>
    <row r="342" spans="5:27">
      <c r="E342" s="27"/>
      <c r="N342" t="s">
        <v>142</v>
      </c>
      <c r="O342" s="130" t="s">
        <v>411</v>
      </c>
      <c r="P342">
        <v>1.79</v>
      </c>
      <c r="Q342">
        <v>2.0699999999999998</v>
      </c>
      <c r="R342">
        <v>2.1800000000000002</v>
      </c>
      <c r="S342">
        <v>1.76</v>
      </c>
      <c r="T342">
        <v>1.48</v>
      </c>
      <c r="U342">
        <v>0.92</v>
      </c>
      <c r="V342">
        <v>0.57999999999999996</v>
      </c>
      <c r="W342">
        <v>0.32</v>
      </c>
      <c r="X342" t="s">
        <v>195</v>
      </c>
      <c r="Y342" t="s">
        <v>195</v>
      </c>
      <c r="Z342" t="s">
        <v>195</v>
      </c>
      <c r="AA342" t="s">
        <v>460</v>
      </c>
    </row>
    <row r="343" spans="5:27">
      <c r="E343" s="27"/>
      <c r="N343" t="s">
        <v>142</v>
      </c>
      <c r="O343" s="130" t="s">
        <v>412</v>
      </c>
      <c r="P343" t="s">
        <v>195</v>
      </c>
      <c r="Q343" t="s">
        <v>195</v>
      </c>
      <c r="R343" t="s">
        <v>195</v>
      </c>
      <c r="S343" t="s">
        <v>195</v>
      </c>
      <c r="T343">
        <v>0.97</v>
      </c>
      <c r="U343">
        <v>3.78</v>
      </c>
      <c r="V343">
        <v>6.74</v>
      </c>
      <c r="W343">
        <v>19.05</v>
      </c>
      <c r="X343">
        <v>18.5</v>
      </c>
      <c r="Y343">
        <v>18.87</v>
      </c>
      <c r="Z343">
        <v>18.54</v>
      </c>
      <c r="AA343" t="s">
        <v>441</v>
      </c>
    </row>
    <row r="344" spans="5:27">
      <c r="E344" s="27"/>
      <c r="N344" t="s">
        <v>142</v>
      </c>
      <c r="O344" s="172" t="s">
        <v>354</v>
      </c>
      <c r="P344" t="s">
        <v>195</v>
      </c>
      <c r="Q344" t="s">
        <v>195</v>
      </c>
      <c r="R344" t="s">
        <v>195</v>
      </c>
      <c r="S344">
        <v>0.89</v>
      </c>
      <c r="T344">
        <v>1.49</v>
      </c>
      <c r="U344">
        <v>2.2000000000000002</v>
      </c>
      <c r="V344">
        <v>2.7</v>
      </c>
      <c r="W344">
        <v>2.92</v>
      </c>
      <c r="X344">
        <v>3.1</v>
      </c>
      <c r="Y344">
        <v>3.11</v>
      </c>
      <c r="Z344">
        <v>3.11</v>
      </c>
      <c r="AA344" t="s">
        <v>441</v>
      </c>
    </row>
    <row r="345" spans="5:27" ht="15">
      <c r="E345" s="27"/>
      <c r="N345" t="s">
        <v>142</v>
      </c>
      <c r="O345" s="171" t="s">
        <v>377</v>
      </c>
      <c r="P345">
        <v>0.81</v>
      </c>
      <c r="Q345">
        <v>1.01</v>
      </c>
      <c r="R345">
        <v>1.38</v>
      </c>
      <c r="S345">
        <v>1.83</v>
      </c>
      <c r="T345">
        <v>2.37</v>
      </c>
      <c r="U345">
        <v>3.15</v>
      </c>
      <c r="V345">
        <v>4.28</v>
      </c>
      <c r="W345">
        <v>6.13</v>
      </c>
      <c r="X345">
        <v>7.37</v>
      </c>
      <c r="Y345">
        <v>8.9</v>
      </c>
      <c r="Z345">
        <v>10.25</v>
      </c>
    </row>
    <row r="346" spans="5:27">
      <c r="E346" s="27"/>
      <c r="N346" t="s">
        <v>142</v>
      </c>
      <c r="O346" s="130" t="s">
        <v>455</v>
      </c>
      <c r="P346">
        <v>0.81</v>
      </c>
      <c r="Q346">
        <v>1.01</v>
      </c>
      <c r="R346">
        <v>1.38</v>
      </c>
      <c r="S346">
        <v>1.03</v>
      </c>
      <c r="T346">
        <v>0.92</v>
      </c>
      <c r="U346">
        <v>0.7</v>
      </c>
      <c r="V346">
        <v>0.4</v>
      </c>
      <c r="W346">
        <v>0.1</v>
      </c>
      <c r="X346">
        <v>0.01</v>
      </c>
      <c r="Y346" t="s">
        <v>195</v>
      </c>
      <c r="Z346" t="s">
        <v>195</v>
      </c>
    </row>
    <row r="347" spans="5:27">
      <c r="E347" s="27"/>
      <c r="N347" t="s">
        <v>142</v>
      </c>
      <c r="O347" s="130" t="s">
        <v>456</v>
      </c>
      <c r="P347" t="s">
        <v>195</v>
      </c>
      <c r="Q347" t="s">
        <v>195</v>
      </c>
      <c r="R347" t="s">
        <v>195</v>
      </c>
      <c r="S347">
        <v>0.8</v>
      </c>
      <c r="T347">
        <v>1.45</v>
      </c>
      <c r="U347">
        <v>2.4500000000000002</v>
      </c>
      <c r="V347">
        <v>3.88</v>
      </c>
      <c r="W347">
        <v>6.03</v>
      </c>
      <c r="X347">
        <v>7.36</v>
      </c>
      <c r="Y347">
        <v>8.9</v>
      </c>
      <c r="Z347">
        <v>10.25</v>
      </c>
    </row>
    <row r="348" spans="5:27" ht="15">
      <c r="E348" s="27"/>
      <c r="N348" t="s">
        <v>142</v>
      </c>
      <c r="O348" s="171" t="s">
        <v>459</v>
      </c>
      <c r="P348">
        <v>2.2200000000000002</v>
      </c>
      <c r="Q348">
        <v>2.2200000000000002</v>
      </c>
      <c r="R348">
        <v>2.56</v>
      </c>
      <c r="S348">
        <v>4.34</v>
      </c>
      <c r="T348">
        <v>7.54</v>
      </c>
      <c r="U348">
        <v>7.54</v>
      </c>
      <c r="V348">
        <v>7.54</v>
      </c>
      <c r="W348">
        <v>7.54</v>
      </c>
      <c r="X348">
        <v>7.54</v>
      </c>
      <c r="Y348">
        <v>7.54</v>
      </c>
      <c r="Z348">
        <v>7.54</v>
      </c>
      <c r="AA348" t="s">
        <v>461</v>
      </c>
    </row>
    <row r="349" spans="5:27">
      <c r="E349" s="27"/>
    </row>
    <row r="350" spans="5:27">
      <c r="E350" s="27"/>
      <c r="O350" t="s">
        <v>399</v>
      </c>
    </row>
    <row r="351" spans="5:27">
      <c r="E351" s="27"/>
      <c r="O351">
        <v>2000</v>
      </c>
      <c r="P351">
        <v>2005</v>
      </c>
      <c r="Q351">
        <v>2010</v>
      </c>
      <c r="R351">
        <v>2015</v>
      </c>
      <c r="S351">
        <v>2020</v>
      </c>
      <c r="T351">
        <v>2025</v>
      </c>
      <c r="U351">
        <v>2030</v>
      </c>
      <c r="V351">
        <v>2035</v>
      </c>
      <c r="W351">
        <v>2040</v>
      </c>
      <c r="X351">
        <v>2045</v>
      </c>
      <c r="Y351">
        <v>2050</v>
      </c>
    </row>
    <row r="352" spans="5:27" ht="15">
      <c r="E352" s="27"/>
      <c r="N352" t="s">
        <v>296</v>
      </c>
      <c r="O352" s="171" t="s">
        <v>448</v>
      </c>
      <c r="P352">
        <v>38.380000000000003</v>
      </c>
      <c r="Q352">
        <v>34.340000000000003</v>
      </c>
      <c r="R352">
        <v>35.42</v>
      </c>
      <c r="S352">
        <v>39</v>
      </c>
      <c r="T352">
        <v>41.96</v>
      </c>
      <c r="U352">
        <v>42.35</v>
      </c>
      <c r="V352">
        <v>42.67</v>
      </c>
      <c r="W352">
        <v>43.02</v>
      </c>
      <c r="X352">
        <v>43.44</v>
      </c>
      <c r="Y352">
        <v>43.82</v>
      </c>
      <c r="Z352">
        <v>44.15</v>
      </c>
    </row>
    <row r="353" spans="5:27">
      <c r="E353" s="27"/>
      <c r="N353" t="s">
        <v>296</v>
      </c>
      <c r="O353" s="130" t="s">
        <v>450</v>
      </c>
      <c r="P353">
        <v>38.380000000000003</v>
      </c>
      <c r="Q353">
        <v>34.340000000000003</v>
      </c>
      <c r="R353">
        <v>35.42</v>
      </c>
      <c r="S353">
        <v>36.950000000000003</v>
      </c>
      <c r="T353">
        <v>36.869999999999997</v>
      </c>
      <c r="U353">
        <v>36.83</v>
      </c>
      <c r="V353">
        <v>36.75</v>
      </c>
      <c r="W353">
        <v>36.54</v>
      </c>
      <c r="X353">
        <v>36.409999999999997</v>
      </c>
      <c r="Y353">
        <v>35.85</v>
      </c>
      <c r="Z353">
        <v>35.57</v>
      </c>
      <c r="AA353" t="s">
        <v>145</v>
      </c>
    </row>
    <row r="354" spans="5:27">
      <c r="E354" s="27"/>
      <c r="N354" t="s">
        <v>296</v>
      </c>
      <c r="O354" s="130" t="s">
        <v>451</v>
      </c>
      <c r="P354" t="s">
        <v>195</v>
      </c>
      <c r="Q354" t="s">
        <v>195</v>
      </c>
      <c r="R354" t="s">
        <v>195</v>
      </c>
      <c r="S354">
        <v>2.0499999999999998</v>
      </c>
      <c r="T354">
        <v>5.09</v>
      </c>
      <c r="U354">
        <v>5.52</v>
      </c>
      <c r="V354">
        <v>5.91</v>
      </c>
      <c r="W354">
        <v>6.48</v>
      </c>
      <c r="X354">
        <v>7.02</v>
      </c>
      <c r="Y354">
        <v>7.96</v>
      </c>
      <c r="Z354">
        <v>8.57</v>
      </c>
      <c r="AA354" t="s">
        <v>462</v>
      </c>
    </row>
    <row r="355" spans="5:27" ht="15">
      <c r="E355" s="27"/>
      <c r="N355" t="s">
        <v>296</v>
      </c>
      <c r="O355" s="171" t="s">
        <v>449</v>
      </c>
      <c r="P355">
        <v>24.73</v>
      </c>
      <c r="Q355">
        <v>21.9</v>
      </c>
      <c r="R355">
        <v>25.13</v>
      </c>
      <c r="S355">
        <v>24.58</v>
      </c>
      <c r="T355">
        <v>21.68</v>
      </c>
      <c r="U355">
        <v>15.98</v>
      </c>
      <c r="V355">
        <v>8.81</v>
      </c>
      <c r="W355" t="s">
        <v>195</v>
      </c>
      <c r="X355" t="s">
        <v>195</v>
      </c>
      <c r="Y355" t="s">
        <v>195</v>
      </c>
      <c r="Z355" t="s">
        <v>195</v>
      </c>
    </row>
    <row r="356" spans="5:27">
      <c r="E356" s="27"/>
      <c r="N356" t="s">
        <v>296</v>
      </c>
      <c r="O356" s="130" t="s">
        <v>452</v>
      </c>
      <c r="P356">
        <v>24.73</v>
      </c>
      <c r="Q356">
        <v>21.9</v>
      </c>
      <c r="R356">
        <v>25.13</v>
      </c>
      <c r="S356">
        <v>24.58</v>
      </c>
      <c r="T356">
        <v>21.68</v>
      </c>
      <c r="U356">
        <v>15.98</v>
      </c>
      <c r="V356">
        <v>8.81</v>
      </c>
      <c r="W356" t="s">
        <v>195</v>
      </c>
      <c r="X356" t="s">
        <v>195</v>
      </c>
      <c r="Y356" t="s">
        <v>195</v>
      </c>
      <c r="Z356" t="s">
        <v>195</v>
      </c>
      <c r="AA356" t="s">
        <v>95</v>
      </c>
    </row>
    <row r="357" spans="5:27">
      <c r="E357" s="27"/>
      <c r="N357" t="s">
        <v>296</v>
      </c>
      <c r="O357" s="130" t="s">
        <v>453</v>
      </c>
      <c r="P357" t="s">
        <v>195</v>
      </c>
      <c r="Q357" t="s">
        <v>195</v>
      </c>
      <c r="R357" t="s">
        <v>195</v>
      </c>
      <c r="S357" t="s">
        <v>195</v>
      </c>
      <c r="T357" t="s">
        <v>195</v>
      </c>
      <c r="U357" t="s">
        <v>195</v>
      </c>
      <c r="V357" t="s">
        <v>195</v>
      </c>
      <c r="W357" t="s">
        <v>195</v>
      </c>
      <c r="X357" t="s">
        <v>195</v>
      </c>
      <c r="Y357" t="s">
        <v>195</v>
      </c>
    </row>
    <row r="358" spans="5:27" ht="15">
      <c r="E358" s="27"/>
      <c r="N358" t="s">
        <v>296</v>
      </c>
      <c r="O358" s="171" t="s">
        <v>454</v>
      </c>
      <c r="P358">
        <v>1.79</v>
      </c>
      <c r="Q358">
        <v>2.0699999999999998</v>
      </c>
      <c r="R358">
        <v>2.1800000000000002</v>
      </c>
      <c r="S358">
        <v>2.7</v>
      </c>
      <c r="T358">
        <v>3.13</v>
      </c>
      <c r="U358">
        <v>5.39</v>
      </c>
      <c r="V358">
        <v>7.79</v>
      </c>
      <c r="W358">
        <v>15.2</v>
      </c>
      <c r="X358">
        <v>12.87</v>
      </c>
      <c r="Y358">
        <v>11.81</v>
      </c>
      <c r="Z358">
        <v>10.65</v>
      </c>
    </row>
    <row r="359" spans="5:27">
      <c r="E359" s="27"/>
      <c r="N359" t="s">
        <v>296</v>
      </c>
      <c r="O359" s="130" t="s">
        <v>411</v>
      </c>
      <c r="P359">
        <v>1.79</v>
      </c>
      <c r="Q359">
        <v>2.0699999999999998</v>
      </c>
      <c r="R359">
        <v>2.1800000000000002</v>
      </c>
      <c r="S359">
        <v>1.76</v>
      </c>
      <c r="T359">
        <v>1.48</v>
      </c>
      <c r="U359">
        <v>0.92</v>
      </c>
      <c r="V359">
        <v>0.57999999999999996</v>
      </c>
      <c r="W359">
        <v>0.32</v>
      </c>
      <c r="X359" t="s">
        <v>195</v>
      </c>
      <c r="Y359" t="s">
        <v>195</v>
      </c>
      <c r="Z359" t="s">
        <v>195</v>
      </c>
      <c r="AA359" t="s">
        <v>460</v>
      </c>
    </row>
    <row r="360" spans="5:27">
      <c r="E360" s="27"/>
      <c r="N360" t="s">
        <v>296</v>
      </c>
      <c r="O360" s="130" t="s">
        <v>412</v>
      </c>
      <c r="P360" t="s">
        <v>195</v>
      </c>
      <c r="Q360" t="s">
        <v>195</v>
      </c>
      <c r="R360" t="s">
        <v>195</v>
      </c>
      <c r="S360" t="s">
        <v>195</v>
      </c>
      <c r="T360" t="s">
        <v>195</v>
      </c>
      <c r="U360">
        <v>2.0099999999999998</v>
      </c>
      <c r="V360">
        <v>4.17</v>
      </c>
      <c r="W360">
        <v>11.63</v>
      </c>
      <c r="X360">
        <v>9.43</v>
      </c>
      <c r="Y360">
        <v>8.36</v>
      </c>
      <c r="Z360">
        <v>7.2</v>
      </c>
      <c r="AA360" t="s">
        <v>441</v>
      </c>
    </row>
    <row r="361" spans="5:27">
      <c r="E361" s="27"/>
      <c r="N361" t="s">
        <v>296</v>
      </c>
      <c r="O361" s="172" t="s">
        <v>354</v>
      </c>
      <c r="P361" t="s">
        <v>195</v>
      </c>
      <c r="Q361" t="s">
        <v>195</v>
      </c>
      <c r="R361" t="s">
        <v>195</v>
      </c>
      <c r="S361">
        <v>0.94</v>
      </c>
      <c r="T361">
        <v>1.65</v>
      </c>
      <c r="U361">
        <v>2.4700000000000002</v>
      </c>
      <c r="V361">
        <v>3.04</v>
      </c>
      <c r="W361">
        <v>3.26</v>
      </c>
      <c r="X361">
        <v>3.44</v>
      </c>
      <c r="Y361">
        <v>3.45</v>
      </c>
      <c r="Z361">
        <v>3.45</v>
      </c>
      <c r="AA361" t="s">
        <v>441</v>
      </c>
    </row>
    <row r="362" spans="5:27" ht="15">
      <c r="E362" s="27"/>
      <c r="N362" t="s">
        <v>296</v>
      </c>
      <c r="O362" s="171" t="s">
        <v>377</v>
      </c>
      <c r="P362">
        <v>0.81</v>
      </c>
      <c r="Q362">
        <v>1.01</v>
      </c>
      <c r="R362">
        <v>1.38</v>
      </c>
      <c r="S362">
        <v>2.36</v>
      </c>
      <c r="T362">
        <v>3.68</v>
      </c>
      <c r="U362">
        <v>5.66</v>
      </c>
      <c r="V362">
        <v>8.24</v>
      </c>
      <c r="W362">
        <v>11.94</v>
      </c>
      <c r="X362">
        <v>16.149999999999999</v>
      </c>
      <c r="Y362">
        <v>20.57</v>
      </c>
      <c r="Z362">
        <v>24.22</v>
      </c>
    </row>
    <row r="363" spans="5:27">
      <c r="E363" s="27"/>
      <c r="N363" t="s">
        <v>296</v>
      </c>
      <c r="O363" s="130" t="s">
        <v>455</v>
      </c>
      <c r="P363">
        <v>0.81</v>
      </c>
      <c r="Q363">
        <v>1.01</v>
      </c>
      <c r="R363">
        <v>1.38</v>
      </c>
      <c r="S363">
        <v>1.03</v>
      </c>
      <c r="T363">
        <v>0.92</v>
      </c>
      <c r="U363">
        <v>0.7</v>
      </c>
      <c r="V363">
        <v>0.4</v>
      </c>
      <c r="W363">
        <v>0.1</v>
      </c>
      <c r="X363">
        <v>0.01</v>
      </c>
      <c r="Y363" t="s">
        <v>195</v>
      </c>
      <c r="Z363" t="s">
        <v>195</v>
      </c>
    </row>
    <row r="364" spans="5:27">
      <c r="E364" s="27"/>
      <c r="N364" t="s">
        <v>296</v>
      </c>
      <c r="O364" s="130" t="s">
        <v>456</v>
      </c>
      <c r="P364" t="s">
        <v>195</v>
      </c>
      <c r="Q364" t="s">
        <v>195</v>
      </c>
      <c r="R364" t="s">
        <v>195</v>
      </c>
      <c r="S364">
        <v>1.34</v>
      </c>
      <c r="T364">
        <v>2.77</v>
      </c>
      <c r="U364">
        <v>4.95</v>
      </c>
      <c r="V364">
        <v>7.84</v>
      </c>
      <c r="W364">
        <v>11.84</v>
      </c>
      <c r="X364">
        <v>16.14</v>
      </c>
      <c r="Y364">
        <v>20.57</v>
      </c>
      <c r="Z364">
        <v>24.22</v>
      </c>
    </row>
    <row r="365" spans="5:27" ht="15">
      <c r="E365" s="27"/>
      <c r="N365" t="s">
        <v>296</v>
      </c>
      <c r="O365" s="171" t="s">
        <v>459</v>
      </c>
      <c r="P365">
        <v>2.2200000000000002</v>
      </c>
      <c r="Q365">
        <v>2.2200000000000002</v>
      </c>
      <c r="R365">
        <v>2.56</v>
      </c>
      <c r="S365">
        <v>4.34</v>
      </c>
      <c r="T365">
        <v>7.54</v>
      </c>
      <c r="U365">
        <v>7.54</v>
      </c>
      <c r="V365">
        <v>7.54</v>
      </c>
      <c r="W365">
        <v>7.54</v>
      </c>
      <c r="X365">
        <v>7.54</v>
      </c>
      <c r="Y365">
        <v>7.54</v>
      </c>
      <c r="Z365">
        <v>7.54</v>
      </c>
      <c r="AA365" t="s">
        <v>461</v>
      </c>
    </row>
    <row r="366" spans="5:27">
      <c r="E366" s="27"/>
    </row>
    <row r="367" spans="5:27">
      <c r="E367" s="27"/>
      <c r="O367" t="s">
        <v>458</v>
      </c>
    </row>
    <row r="368" spans="5:27">
      <c r="E368" s="27"/>
      <c r="O368">
        <v>2000</v>
      </c>
      <c r="P368">
        <v>2005</v>
      </c>
      <c r="Q368">
        <v>2010</v>
      </c>
      <c r="R368">
        <v>2015</v>
      </c>
      <c r="S368">
        <v>2020</v>
      </c>
      <c r="T368">
        <v>2025</v>
      </c>
      <c r="U368">
        <v>2030</v>
      </c>
      <c r="V368">
        <v>2035</v>
      </c>
      <c r="W368">
        <v>2040</v>
      </c>
      <c r="X368">
        <v>2045</v>
      </c>
      <c r="Y368">
        <v>2050</v>
      </c>
    </row>
    <row r="369" spans="5:27" ht="15">
      <c r="E369" s="27"/>
      <c r="N369" t="s">
        <v>143</v>
      </c>
      <c r="O369" s="171" t="s">
        <v>448</v>
      </c>
      <c r="P369">
        <v>38.380000000000003</v>
      </c>
      <c r="Q369">
        <v>34.340000000000003</v>
      </c>
      <c r="R369">
        <v>35.42</v>
      </c>
      <c r="S369">
        <v>39</v>
      </c>
      <c r="T369">
        <v>41.96</v>
      </c>
      <c r="U369">
        <v>42.35</v>
      </c>
      <c r="V369">
        <v>42.67</v>
      </c>
      <c r="W369">
        <v>43.02</v>
      </c>
      <c r="X369">
        <v>43.44</v>
      </c>
      <c r="Y369">
        <v>43.82</v>
      </c>
      <c r="Z369">
        <v>44.15</v>
      </c>
    </row>
    <row r="370" spans="5:27">
      <c r="E370" s="27"/>
      <c r="N370" t="s">
        <v>143</v>
      </c>
      <c r="O370" s="130" t="s">
        <v>450</v>
      </c>
      <c r="P370">
        <v>38.380000000000003</v>
      </c>
      <c r="Q370">
        <v>34.340000000000003</v>
      </c>
      <c r="R370">
        <v>35.42</v>
      </c>
      <c r="S370">
        <v>36.950000000000003</v>
      </c>
      <c r="T370">
        <v>36.869999999999997</v>
      </c>
      <c r="U370">
        <v>36.83</v>
      </c>
      <c r="V370">
        <v>36.75</v>
      </c>
      <c r="W370">
        <v>36.54</v>
      </c>
      <c r="X370">
        <v>36.409999999999997</v>
      </c>
      <c r="Y370">
        <v>35.85</v>
      </c>
      <c r="Z370">
        <v>35.57</v>
      </c>
      <c r="AA370" t="s">
        <v>145</v>
      </c>
    </row>
    <row r="371" spans="5:27">
      <c r="E371" s="27"/>
      <c r="N371" t="s">
        <v>143</v>
      </c>
      <c r="O371" s="130" t="s">
        <v>451</v>
      </c>
      <c r="P371" t="s">
        <v>195</v>
      </c>
      <c r="Q371" t="s">
        <v>195</v>
      </c>
      <c r="R371" t="s">
        <v>195</v>
      </c>
      <c r="S371">
        <v>2.0499999999999998</v>
      </c>
      <c r="T371">
        <v>5.09</v>
      </c>
      <c r="U371">
        <v>5.52</v>
      </c>
      <c r="V371">
        <v>5.91</v>
      </c>
      <c r="W371">
        <v>6.48</v>
      </c>
      <c r="X371">
        <v>7.02</v>
      </c>
      <c r="Y371">
        <v>7.96</v>
      </c>
      <c r="Z371">
        <v>8.57</v>
      </c>
      <c r="AA371" t="s">
        <v>462</v>
      </c>
    </row>
    <row r="372" spans="5:27" ht="15">
      <c r="E372" s="27"/>
      <c r="N372" t="s">
        <v>143</v>
      </c>
      <c r="O372" s="171" t="s">
        <v>449</v>
      </c>
      <c r="P372">
        <v>24.73</v>
      </c>
      <c r="Q372">
        <v>21.9</v>
      </c>
      <c r="R372">
        <v>25.13</v>
      </c>
      <c r="S372">
        <v>24.58</v>
      </c>
      <c r="T372">
        <v>21.68</v>
      </c>
      <c r="U372">
        <v>15.98</v>
      </c>
      <c r="V372">
        <v>8.81</v>
      </c>
      <c r="W372" t="s">
        <v>195</v>
      </c>
      <c r="X372" t="s">
        <v>195</v>
      </c>
      <c r="Y372" t="s">
        <v>195</v>
      </c>
      <c r="Z372" t="s">
        <v>195</v>
      </c>
    </row>
    <row r="373" spans="5:27">
      <c r="E373" s="27"/>
      <c r="N373" t="s">
        <v>143</v>
      </c>
      <c r="O373" s="130" t="s">
        <v>452</v>
      </c>
      <c r="P373">
        <v>24.73</v>
      </c>
      <c r="Q373">
        <v>21.9</v>
      </c>
      <c r="R373">
        <v>25.13</v>
      </c>
      <c r="S373">
        <v>24.58</v>
      </c>
      <c r="T373">
        <v>21.68</v>
      </c>
      <c r="U373">
        <v>15.98</v>
      </c>
      <c r="V373">
        <v>8.81</v>
      </c>
      <c r="W373" t="s">
        <v>195</v>
      </c>
      <c r="X373" t="s">
        <v>195</v>
      </c>
      <c r="Y373" t="s">
        <v>195</v>
      </c>
      <c r="Z373" t="s">
        <v>195</v>
      </c>
      <c r="AA373" t="s">
        <v>95</v>
      </c>
    </row>
    <row r="374" spans="5:27">
      <c r="E374" s="27"/>
      <c r="N374" t="s">
        <v>143</v>
      </c>
      <c r="O374" s="130" t="s">
        <v>453</v>
      </c>
      <c r="P374" t="s">
        <v>195</v>
      </c>
      <c r="Q374" t="s">
        <v>195</v>
      </c>
      <c r="R374" t="s">
        <v>195</v>
      </c>
      <c r="S374" t="s">
        <v>195</v>
      </c>
      <c r="T374" t="s">
        <v>195</v>
      </c>
      <c r="U374" t="s">
        <v>195</v>
      </c>
      <c r="V374" t="s">
        <v>195</v>
      </c>
      <c r="W374" t="s">
        <v>195</v>
      </c>
      <c r="X374" t="s">
        <v>195</v>
      </c>
      <c r="Y374" t="s">
        <v>195</v>
      </c>
      <c r="Z374" t="s">
        <v>195</v>
      </c>
    </row>
    <row r="375" spans="5:27" ht="15">
      <c r="E375" s="27"/>
      <c r="N375" t="s">
        <v>143</v>
      </c>
      <c r="O375" s="171" t="s">
        <v>454</v>
      </c>
      <c r="P375">
        <v>1.79</v>
      </c>
      <c r="Q375">
        <v>2.0699999999999998</v>
      </c>
      <c r="R375">
        <v>2.1800000000000002</v>
      </c>
      <c r="S375">
        <v>2.7</v>
      </c>
      <c r="T375">
        <v>3.13</v>
      </c>
      <c r="U375">
        <v>3.38</v>
      </c>
      <c r="V375">
        <v>3.62</v>
      </c>
      <c r="W375">
        <v>3.58</v>
      </c>
      <c r="X375">
        <v>3.44</v>
      </c>
      <c r="Y375">
        <v>3.45</v>
      </c>
      <c r="Z375">
        <v>3.45</v>
      </c>
    </row>
    <row r="376" spans="5:27">
      <c r="E376" s="27"/>
      <c r="N376" t="s">
        <v>143</v>
      </c>
      <c r="O376" s="130" t="s">
        <v>411</v>
      </c>
      <c r="P376">
        <v>1.79</v>
      </c>
      <c r="Q376">
        <v>2.0699999999999998</v>
      </c>
      <c r="R376">
        <v>2.1800000000000002</v>
      </c>
      <c r="S376">
        <v>1.76</v>
      </c>
      <c r="T376">
        <v>1.48</v>
      </c>
      <c r="U376">
        <v>0.92</v>
      </c>
      <c r="V376">
        <v>0.57999999999999996</v>
      </c>
      <c r="W376">
        <v>0.32</v>
      </c>
      <c r="X376" t="s">
        <v>195</v>
      </c>
      <c r="Y376" t="s">
        <v>195</v>
      </c>
      <c r="Z376" t="s">
        <v>195</v>
      </c>
      <c r="AA376" t="s">
        <v>460</v>
      </c>
    </row>
    <row r="377" spans="5:27">
      <c r="E377" s="27"/>
      <c r="N377" t="s">
        <v>143</v>
      </c>
      <c r="O377" s="130" t="s">
        <v>412</v>
      </c>
      <c r="P377" t="s">
        <v>195</v>
      </c>
      <c r="Q377" t="s">
        <v>195</v>
      </c>
      <c r="R377" t="s">
        <v>195</v>
      </c>
      <c r="S377" t="s">
        <v>195</v>
      </c>
      <c r="T377" t="s">
        <v>195</v>
      </c>
      <c r="U377" t="s">
        <v>195</v>
      </c>
      <c r="V377" t="s">
        <v>195</v>
      </c>
      <c r="W377" t="s">
        <v>195</v>
      </c>
      <c r="X377" t="s">
        <v>195</v>
      </c>
      <c r="Y377" t="s">
        <v>195</v>
      </c>
      <c r="Z377" t="s">
        <v>195</v>
      </c>
      <c r="AA377" t="s">
        <v>441</v>
      </c>
    </row>
    <row r="378" spans="5:27">
      <c r="E378" s="27"/>
      <c r="N378" t="s">
        <v>143</v>
      </c>
      <c r="O378" s="172" t="s">
        <v>354</v>
      </c>
      <c r="P378" t="s">
        <v>195</v>
      </c>
      <c r="Q378" t="s">
        <v>195</v>
      </c>
      <c r="R378" t="s">
        <v>195</v>
      </c>
      <c r="S378">
        <v>0.94</v>
      </c>
      <c r="T378">
        <v>1.65</v>
      </c>
      <c r="U378">
        <v>2.4700000000000002</v>
      </c>
      <c r="V378">
        <v>3.04</v>
      </c>
      <c r="W378">
        <v>3.26</v>
      </c>
      <c r="X378">
        <v>3.44</v>
      </c>
      <c r="Y378">
        <v>3.45</v>
      </c>
      <c r="Z378">
        <v>3.45</v>
      </c>
      <c r="AA378" t="s">
        <v>441</v>
      </c>
    </row>
    <row r="379" spans="5:27" ht="15">
      <c r="E379" s="27"/>
      <c r="N379" t="s">
        <v>143</v>
      </c>
      <c r="O379" s="171" t="s">
        <v>377</v>
      </c>
      <c r="P379">
        <v>0.81</v>
      </c>
      <c r="Q379">
        <v>1.01</v>
      </c>
      <c r="R379">
        <v>1.38</v>
      </c>
      <c r="S379">
        <v>2.36</v>
      </c>
      <c r="T379">
        <v>3.68</v>
      </c>
      <c r="U379">
        <v>5.66</v>
      </c>
      <c r="V379">
        <v>8.24</v>
      </c>
      <c r="W379">
        <v>11.94</v>
      </c>
      <c r="X379">
        <v>16.149999999999999</v>
      </c>
      <c r="Y379">
        <v>20.57</v>
      </c>
      <c r="Z379">
        <v>24.22</v>
      </c>
    </row>
    <row r="380" spans="5:27">
      <c r="E380" s="27"/>
      <c r="N380" t="s">
        <v>143</v>
      </c>
      <c r="O380" s="130" t="s">
        <v>455</v>
      </c>
      <c r="P380">
        <v>0.81</v>
      </c>
      <c r="Q380">
        <v>1.01</v>
      </c>
      <c r="R380">
        <v>1.38</v>
      </c>
      <c r="S380">
        <v>1.03</v>
      </c>
      <c r="T380">
        <v>0.92</v>
      </c>
      <c r="U380">
        <v>0.7</v>
      </c>
      <c r="V380">
        <v>0.4</v>
      </c>
      <c r="W380">
        <v>0.1</v>
      </c>
      <c r="X380">
        <v>0.01</v>
      </c>
      <c r="Y380" t="s">
        <v>195</v>
      </c>
      <c r="Z380" t="s">
        <v>195</v>
      </c>
    </row>
    <row r="381" spans="5:27">
      <c r="E381" s="27"/>
      <c r="N381" t="s">
        <v>143</v>
      </c>
      <c r="O381" s="130" t="s">
        <v>456</v>
      </c>
      <c r="P381" t="s">
        <v>195</v>
      </c>
      <c r="Q381" t="s">
        <v>195</v>
      </c>
      <c r="R381" t="s">
        <v>195</v>
      </c>
      <c r="S381">
        <v>1.34</v>
      </c>
      <c r="T381">
        <v>2.77</v>
      </c>
      <c r="U381">
        <v>4.95</v>
      </c>
      <c r="V381">
        <v>7.84</v>
      </c>
      <c r="W381">
        <v>11.84</v>
      </c>
      <c r="X381">
        <v>16.14</v>
      </c>
      <c r="Y381">
        <v>20.57</v>
      </c>
      <c r="Z381">
        <v>24.22</v>
      </c>
    </row>
    <row r="382" spans="5:27" ht="15">
      <c r="E382" s="27"/>
      <c r="N382" t="s">
        <v>143</v>
      </c>
      <c r="O382" s="171" t="s">
        <v>459</v>
      </c>
      <c r="P382">
        <v>2.2200000000000002</v>
      </c>
      <c r="Q382">
        <v>2.2200000000000002</v>
      </c>
      <c r="R382">
        <v>2.56</v>
      </c>
      <c r="S382">
        <v>4.34</v>
      </c>
      <c r="T382">
        <v>7.54</v>
      </c>
      <c r="U382">
        <v>7.54</v>
      </c>
      <c r="V382">
        <v>7.54</v>
      </c>
      <c r="W382">
        <v>7.54</v>
      </c>
      <c r="X382">
        <v>7.54</v>
      </c>
      <c r="Y382">
        <v>7.54</v>
      </c>
      <c r="Z382">
        <v>7.54</v>
      </c>
      <c r="AA382" t="s">
        <v>461</v>
      </c>
    </row>
    <row r="383" spans="5:27">
      <c r="E383" s="27"/>
    </row>
  </sheetData>
  <mergeCells count="2">
    <mergeCell ref="L127:L174"/>
    <mergeCell ref="AA147:AA154"/>
  </mergeCells>
  <pageMargins left="0" right="0" top="0.39374999999999999" bottom="0.39374999999999999" header="0" footer="0"/>
  <pageSetup paperSize="9" orientation="portrait" verticalDpi="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70"/>
  <sheetViews>
    <sheetView workbookViewId="0"/>
  </sheetViews>
  <sheetFormatPr defaultRowHeight="14.25"/>
  <cols>
    <col min="1" max="20" width="10.625" customWidth="1"/>
  </cols>
  <sheetData>
    <row r="3" spans="2:20">
      <c r="E3">
        <f>COUNTA(E4:E11)</f>
        <v>7</v>
      </c>
      <c r="F3">
        <f>COUNTA(F4:F11)</f>
        <v>8</v>
      </c>
      <c r="G3">
        <f>PRODUCT(E3:F3)</f>
        <v>56</v>
      </c>
    </row>
    <row r="4" spans="2:20">
      <c r="E4" t="s">
        <v>145</v>
      </c>
      <c r="F4">
        <v>2015</v>
      </c>
    </row>
    <row r="5" spans="2:20">
      <c r="E5" t="s">
        <v>95</v>
      </c>
      <c r="F5">
        <v>2020</v>
      </c>
    </row>
    <row r="6" spans="2:20">
      <c r="E6" t="s">
        <v>300</v>
      </c>
      <c r="F6">
        <v>2025</v>
      </c>
    </row>
    <row r="7" spans="2:20">
      <c r="E7" t="s">
        <v>299</v>
      </c>
      <c r="F7">
        <v>2030</v>
      </c>
    </row>
    <row r="8" spans="2:20">
      <c r="E8" t="s">
        <v>110</v>
      </c>
      <c r="F8">
        <v>2035</v>
      </c>
    </row>
    <row r="9" spans="2:20">
      <c r="E9" t="s">
        <v>301</v>
      </c>
      <c r="F9">
        <v>2040</v>
      </c>
    </row>
    <row r="10" spans="2:20">
      <c r="E10" t="s">
        <v>302</v>
      </c>
      <c r="F10">
        <v>2045</v>
      </c>
    </row>
    <row r="11" spans="2:20">
      <c r="F11">
        <v>2050</v>
      </c>
      <c r="I11" t="s">
        <v>385</v>
      </c>
    </row>
    <row r="12" spans="2:20">
      <c r="J12">
        <v>2000</v>
      </c>
      <c r="K12">
        <v>2005</v>
      </c>
      <c r="L12">
        <v>2010</v>
      </c>
      <c r="M12">
        <v>2015</v>
      </c>
      <c r="N12">
        <v>2020</v>
      </c>
      <c r="O12">
        <v>2025</v>
      </c>
      <c r="P12">
        <v>2030</v>
      </c>
      <c r="Q12">
        <v>2035</v>
      </c>
      <c r="R12">
        <v>2040</v>
      </c>
      <c r="S12">
        <v>2045</v>
      </c>
      <c r="T12">
        <v>2050</v>
      </c>
    </row>
    <row r="13" spans="2:20">
      <c r="H13" t="s">
        <v>145</v>
      </c>
      <c r="I13" t="s">
        <v>386</v>
      </c>
      <c r="J13">
        <v>13510</v>
      </c>
      <c r="K13">
        <v>13539</v>
      </c>
      <c r="L13">
        <v>13730</v>
      </c>
      <c r="M13">
        <v>13730</v>
      </c>
      <c r="N13">
        <v>13730</v>
      </c>
      <c r="O13">
        <v>13730</v>
      </c>
      <c r="P13">
        <v>13730</v>
      </c>
      <c r="Q13">
        <v>13730</v>
      </c>
      <c r="R13">
        <v>13730</v>
      </c>
      <c r="S13">
        <v>13730</v>
      </c>
      <c r="T13">
        <v>13730</v>
      </c>
    </row>
    <row r="14" spans="2:20">
      <c r="B14" t="s">
        <v>128</v>
      </c>
      <c r="C14" t="s">
        <v>130</v>
      </c>
      <c r="D14" t="s">
        <v>387</v>
      </c>
      <c r="I14" t="s">
        <v>388</v>
      </c>
      <c r="J14">
        <v>38.380000000000003</v>
      </c>
      <c r="K14">
        <v>34.340000000000003</v>
      </c>
      <c r="L14">
        <v>35.42</v>
      </c>
      <c r="M14">
        <v>36.950000000000003</v>
      </c>
      <c r="N14">
        <v>36.869999999999997</v>
      </c>
      <c r="O14">
        <v>36.83</v>
      </c>
      <c r="P14">
        <v>36.75</v>
      </c>
      <c r="Q14">
        <v>36.54</v>
      </c>
      <c r="R14">
        <v>36.409999999999997</v>
      </c>
      <c r="S14">
        <v>35.85</v>
      </c>
      <c r="T14">
        <v>35.57</v>
      </c>
    </row>
    <row r="15" spans="2:20">
      <c r="B15" t="str">
        <f t="shared" ref="B15:B46" si="0">INDEX($E$4:$E$11,E15)</f>
        <v>HYD_TOT</v>
      </c>
      <c r="C15">
        <f t="shared" ref="C15:C46" si="1">INDEX($F$4:$F$11,F15)</f>
        <v>2015</v>
      </c>
      <c r="D15">
        <f t="shared" ref="D15:D46" si="2">INDEX($J$13:$T$65,MATCH(B15,$H$13:$H$65,0),MATCH(C15,$J$12:$T$12,0))</f>
        <v>13730</v>
      </c>
      <c r="E15">
        <v>1</v>
      </c>
      <c r="F15">
        <v>1</v>
      </c>
      <c r="I15" t="s">
        <v>389</v>
      </c>
      <c r="J15">
        <v>17.71</v>
      </c>
      <c r="K15">
        <v>15.56</v>
      </c>
      <c r="L15">
        <v>14.16</v>
      </c>
      <c r="M15">
        <v>15.95</v>
      </c>
      <c r="N15">
        <v>16.09</v>
      </c>
      <c r="O15">
        <v>16.239999999999998</v>
      </c>
      <c r="P15">
        <v>16.39</v>
      </c>
      <c r="Q15">
        <v>16.47</v>
      </c>
      <c r="R15">
        <v>16.59</v>
      </c>
      <c r="S15">
        <v>16.53</v>
      </c>
      <c r="T15">
        <v>16.63</v>
      </c>
    </row>
    <row r="16" spans="2:20">
      <c r="B16" t="str">
        <f t="shared" si="0"/>
        <v>NUC_ELC</v>
      </c>
      <c r="C16">
        <f t="shared" si="1"/>
        <v>2015</v>
      </c>
      <c r="D16">
        <f t="shared" si="2"/>
        <v>3263</v>
      </c>
      <c r="E16">
        <f t="shared" ref="E16:E47" si="3">IF(E15=$E$3,1,E15+1)</f>
        <v>2</v>
      </c>
      <c r="F16">
        <f t="shared" ref="F16:F47" si="4">IF(E16=1,IF(F15=$F$3,1,F15+1),F15)</f>
        <v>1</v>
      </c>
      <c r="I16" t="s">
        <v>390</v>
      </c>
      <c r="J16">
        <v>20.67</v>
      </c>
      <c r="K16">
        <v>18.78</v>
      </c>
      <c r="L16">
        <v>21.26</v>
      </c>
      <c r="M16">
        <v>21</v>
      </c>
      <c r="N16">
        <v>20.78</v>
      </c>
      <c r="O16">
        <v>20.58</v>
      </c>
      <c r="P16">
        <v>20.37</v>
      </c>
      <c r="Q16">
        <v>20.07</v>
      </c>
      <c r="R16">
        <v>19.82</v>
      </c>
      <c r="S16">
        <v>19.32</v>
      </c>
      <c r="T16">
        <v>18.95</v>
      </c>
    </row>
    <row r="17" spans="2:20">
      <c r="B17" t="str">
        <f t="shared" si="0"/>
        <v>FSS_ELC</v>
      </c>
      <c r="C17">
        <f t="shared" si="1"/>
        <v>2015</v>
      </c>
      <c r="D17">
        <f t="shared" si="2"/>
        <v>0</v>
      </c>
      <c r="E17">
        <f t="shared" si="3"/>
        <v>3</v>
      </c>
      <c r="F17">
        <f t="shared" si="4"/>
        <v>1</v>
      </c>
    </row>
    <row r="18" spans="2:20">
      <c r="B18" t="str">
        <f t="shared" si="0"/>
        <v>FSS_CHP</v>
      </c>
      <c r="C18">
        <f t="shared" si="1"/>
        <v>2015</v>
      </c>
      <c r="D18">
        <f t="shared" si="2"/>
        <v>354</v>
      </c>
      <c r="E18">
        <f t="shared" si="3"/>
        <v>4</v>
      </c>
      <c r="F18">
        <f t="shared" si="4"/>
        <v>1</v>
      </c>
      <c r="J18" t="s">
        <v>330</v>
      </c>
    </row>
    <row r="19" spans="2:20">
      <c r="B19" t="str">
        <f t="shared" si="0"/>
        <v>WAS_ELC</v>
      </c>
      <c r="C19">
        <f t="shared" si="1"/>
        <v>2015</v>
      </c>
      <c r="D19">
        <f t="shared" si="2"/>
        <v>207</v>
      </c>
      <c r="E19">
        <f t="shared" si="3"/>
        <v>5</v>
      </c>
      <c r="F19">
        <f t="shared" si="4"/>
        <v>1</v>
      </c>
      <c r="J19" t="s">
        <v>391</v>
      </c>
    </row>
    <row r="20" spans="2:20">
      <c r="B20" t="str">
        <f t="shared" si="0"/>
        <v>REN_CHP</v>
      </c>
      <c r="C20">
        <f t="shared" si="1"/>
        <v>2015</v>
      </c>
      <c r="D20">
        <f t="shared" si="2"/>
        <v>77</v>
      </c>
      <c r="E20">
        <f t="shared" si="3"/>
        <v>6</v>
      </c>
      <c r="F20">
        <f t="shared" si="4"/>
        <v>1</v>
      </c>
      <c r="J20">
        <v>2000</v>
      </c>
      <c r="K20">
        <v>2005</v>
      </c>
      <c r="L20">
        <v>2010</v>
      </c>
      <c r="M20">
        <v>2015</v>
      </c>
      <c r="N20">
        <v>2020</v>
      </c>
      <c r="O20">
        <v>2025</v>
      </c>
      <c r="P20">
        <v>2030</v>
      </c>
      <c r="Q20">
        <v>2035</v>
      </c>
      <c r="R20">
        <v>2040</v>
      </c>
      <c r="S20">
        <v>2045</v>
      </c>
      <c r="T20">
        <v>2050</v>
      </c>
    </row>
    <row r="21" spans="2:20">
      <c r="B21" t="str">
        <f t="shared" si="0"/>
        <v>SOL_WIN</v>
      </c>
      <c r="C21">
        <f t="shared" si="1"/>
        <v>2015</v>
      </c>
      <c r="D21">
        <f t="shared" si="2"/>
        <v>151</v>
      </c>
      <c r="E21">
        <f t="shared" si="3"/>
        <v>7</v>
      </c>
      <c r="F21">
        <f t="shared" si="4"/>
        <v>1</v>
      </c>
      <c r="H21" t="s">
        <v>95</v>
      </c>
      <c r="I21" t="s">
        <v>386</v>
      </c>
      <c r="J21">
        <v>3170</v>
      </c>
      <c r="K21">
        <v>3220</v>
      </c>
      <c r="L21">
        <v>3263</v>
      </c>
      <c r="M21">
        <v>3263</v>
      </c>
      <c r="N21">
        <v>2898</v>
      </c>
      <c r="O21">
        <v>2160</v>
      </c>
      <c r="P21">
        <v>1190</v>
      </c>
      <c r="Q21">
        <v>0</v>
      </c>
      <c r="R21">
        <v>0</v>
      </c>
      <c r="S21">
        <v>0</v>
      </c>
      <c r="T21">
        <v>0</v>
      </c>
    </row>
    <row r="22" spans="2:20">
      <c r="B22" t="str">
        <f t="shared" si="0"/>
        <v>HYD_TOT</v>
      </c>
      <c r="C22">
        <f t="shared" si="1"/>
        <v>2020</v>
      </c>
      <c r="D22">
        <f t="shared" si="2"/>
        <v>13730</v>
      </c>
      <c r="E22">
        <f t="shared" si="3"/>
        <v>1</v>
      </c>
      <c r="F22">
        <f t="shared" si="4"/>
        <v>2</v>
      </c>
      <c r="I22" t="s">
        <v>388</v>
      </c>
      <c r="J22">
        <v>24.73</v>
      </c>
      <c r="K22">
        <v>21.9</v>
      </c>
      <c r="L22">
        <v>25.13</v>
      </c>
      <c r="M22">
        <v>24.58</v>
      </c>
      <c r="N22">
        <v>21.68</v>
      </c>
      <c r="O22">
        <v>15.98</v>
      </c>
      <c r="P22">
        <v>8.81</v>
      </c>
      <c r="Q22">
        <v>0</v>
      </c>
      <c r="R22">
        <v>0</v>
      </c>
      <c r="S22">
        <v>0</v>
      </c>
      <c r="T22">
        <v>0</v>
      </c>
    </row>
    <row r="23" spans="2:20">
      <c r="B23" t="str">
        <f t="shared" si="0"/>
        <v>NUC_ELC</v>
      </c>
      <c r="C23">
        <f t="shared" si="1"/>
        <v>2020</v>
      </c>
      <c r="D23">
        <f t="shared" si="2"/>
        <v>2898</v>
      </c>
      <c r="E23">
        <f t="shared" si="3"/>
        <v>2</v>
      </c>
      <c r="F23">
        <f t="shared" si="4"/>
        <v>2</v>
      </c>
      <c r="I23" t="s">
        <v>389</v>
      </c>
      <c r="J23">
        <v>13.72</v>
      </c>
      <c r="K23">
        <v>13.94</v>
      </c>
      <c r="L23">
        <v>13.72</v>
      </c>
      <c r="M23">
        <v>13.5</v>
      </c>
      <c r="N23">
        <v>11.91</v>
      </c>
      <c r="O23">
        <v>8.7799999999999994</v>
      </c>
      <c r="P23">
        <v>4.84</v>
      </c>
      <c r="Q23">
        <v>0</v>
      </c>
      <c r="R23">
        <v>0</v>
      </c>
      <c r="S23">
        <v>0</v>
      </c>
      <c r="T23">
        <v>0</v>
      </c>
    </row>
    <row r="24" spans="2:20">
      <c r="B24" t="str">
        <f t="shared" si="0"/>
        <v>FSS_ELC</v>
      </c>
      <c r="C24">
        <f t="shared" si="1"/>
        <v>2020</v>
      </c>
      <c r="D24">
        <f t="shared" si="2"/>
        <v>0</v>
      </c>
      <c r="E24">
        <f t="shared" si="3"/>
        <v>3</v>
      </c>
      <c r="F24">
        <f t="shared" si="4"/>
        <v>2</v>
      </c>
      <c r="I24" t="s">
        <v>390</v>
      </c>
      <c r="J24">
        <v>11.01</v>
      </c>
      <c r="K24">
        <v>7.97</v>
      </c>
      <c r="L24">
        <v>11.01</v>
      </c>
      <c r="M24">
        <v>11.08</v>
      </c>
      <c r="N24">
        <v>9.77</v>
      </c>
      <c r="O24">
        <v>7.21</v>
      </c>
      <c r="P24">
        <v>3.97</v>
      </c>
      <c r="Q24">
        <v>0</v>
      </c>
      <c r="R24">
        <v>0</v>
      </c>
      <c r="S24">
        <v>0</v>
      </c>
      <c r="T24">
        <v>0</v>
      </c>
    </row>
    <row r="25" spans="2:20">
      <c r="B25" t="str">
        <f t="shared" si="0"/>
        <v>FSS_CHP</v>
      </c>
      <c r="C25">
        <f t="shared" si="1"/>
        <v>2020</v>
      </c>
      <c r="D25">
        <f t="shared" si="2"/>
        <v>277</v>
      </c>
      <c r="E25">
        <f t="shared" si="3"/>
        <v>4</v>
      </c>
      <c r="F25">
        <f t="shared" si="4"/>
        <v>2</v>
      </c>
      <c r="J25">
        <f t="shared" ref="J25:T25" si="5">SUM(J23:J24)-J22</f>
        <v>0</v>
      </c>
      <c r="K25">
        <f t="shared" si="5"/>
        <v>1.0000000000001563E-2</v>
      </c>
      <c r="L25">
        <f t="shared" si="5"/>
        <v>-0.39999999999999858</v>
      </c>
      <c r="M25">
        <f t="shared" si="5"/>
        <v>0</v>
      </c>
      <c r="N25">
        <f t="shared" si="5"/>
        <v>0</v>
      </c>
      <c r="O25">
        <f t="shared" si="5"/>
        <v>9.9999999999980105E-3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</row>
    <row r="26" spans="2:20">
      <c r="B26" t="str">
        <f t="shared" si="0"/>
        <v>WAS_ELC</v>
      </c>
      <c r="C26">
        <f t="shared" si="1"/>
        <v>2020</v>
      </c>
      <c r="D26">
        <f t="shared" si="2"/>
        <v>193</v>
      </c>
      <c r="E26">
        <f t="shared" si="3"/>
        <v>5</v>
      </c>
      <c r="F26">
        <f t="shared" si="4"/>
        <v>2</v>
      </c>
    </row>
    <row r="27" spans="2:20">
      <c r="B27" t="str">
        <f t="shared" si="0"/>
        <v>REN_CHP</v>
      </c>
      <c r="C27">
        <f t="shared" si="1"/>
        <v>2020</v>
      </c>
      <c r="D27">
        <f t="shared" si="2"/>
        <v>60</v>
      </c>
      <c r="E27">
        <f t="shared" si="3"/>
        <v>6</v>
      </c>
      <c r="F27">
        <f t="shared" si="4"/>
        <v>2</v>
      </c>
      <c r="J27" t="s">
        <v>392</v>
      </c>
    </row>
    <row r="28" spans="2:20">
      <c r="B28" t="str">
        <f t="shared" si="0"/>
        <v>SOL_WIN</v>
      </c>
      <c r="C28">
        <f t="shared" si="1"/>
        <v>2020</v>
      </c>
      <c r="D28">
        <f t="shared" si="2"/>
        <v>142</v>
      </c>
      <c r="E28">
        <f t="shared" si="3"/>
        <v>7</v>
      </c>
      <c r="F28">
        <f t="shared" si="4"/>
        <v>2</v>
      </c>
      <c r="J28">
        <v>2000</v>
      </c>
      <c r="K28">
        <v>2005</v>
      </c>
      <c r="L28">
        <v>2010</v>
      </c>
      <c r="M28">
        <v>2015</v>
      </c>
      <c r="N28">
        <v>2020</v>
      </c>
      <c r="O28">
        <v>2025</v>
      </c>
      <c r="P28">
        <v>2030</v>
      </c>
      <c r="Q28">
        <v>2035</v>
      </c>
      <c r="R28">
        <v>2040</v>
      </c>
      <c r="S28">
        <v>2045</v>
      </c>
      <c r="T28">
        <v>2050</v>
      </c>
    </row>
    <row r="29" spans="2:20">
      <c r="B29" t="str">
        <f t="shared" si="0"/>
        <v>HYD_TOT</v>
      </c>
      <c r="C29">
        <f t="shared" si="1"/>
        <v>2025</v>
      </c>
      <c r="D29">
        <f t="shared" si="2"/>
        <v>13730</v>
      </c>
      <c r="E29">
        <f t="shared" si="3"/>
        <v>1</v>
      </c>
      <c r="F29">
        <f t="shared" si="4"/>
        <v>3</v>
      </c>
      <c r="H29" t="s">
        <v>300</v>
      </c>
      <c r="I29" t="s">
        <v>386</v>
      </c>
      <c r="J29">
        <v>75</v>
      </c>
      <c r="K29">
        <v>75</v>
      </c>
      <c r="L29">
        <v>75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2:20">
      <c r="B30" t="str">
        <f t="shared" si="0"/>
        <v>NUC_ELC</v>
      </c>
      <c r="C30">
        <f t="shared" si="1"/>
        <v>2025</v>
      </c>
      <c r="D30">
        <f t="shared" si="2"/>
        <v>2160</v>
      </c>
      <c r="E30">
        <f t="shared" si="3"/>
        <v>2</v>
      </c>
      <c r="F30">
        <f t="shared" si="4"/>
        <v>3</v>
      </c>
      <c r="I30" t="s">
        <v>388</v>
      </c>
      <c r="J30">
        <v>0.02</v>
      </c>
      <c r="K30">
        <v>0.02</v>
      </c>
      <c r="L30">
        <v>0.01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2:20">
      <c r="B31" t="str">
        <f t="shared" si="0"/>
        <v>FSS_ELC</v>
      </c>
      <c r="C31">
        <f t="shared" si="1"/>
        <v>2025</v>
      </c>
      <c r="D31">
        <f t="shared" si="2"/>
        <v>0</v>
      </c>
      <c r="E31">
        <f t="shared" si="3"/>
        <v>3</v>
      </c>
      <c r="F31">
        <f t="shared" si="4"/>
        <v>3</v>
      </c>
      <c r="I31" t="s">
        <v>389</v>
      </c>
      <c r="J31">
        <v>0.01</v>
      </c>
      <c r="K31">
        <v>0.01</v>
      </c>
      <c r="L31">
        <v>0.01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2:20">
      <c r="B32" t="str">
        <f t="shared" si="0"/>
        <v>FSS_CHP</v>
      </c>
      <c r="C32">
        <f t="shared" si="1"/>
        <v>2025</v>
      </c>
      <c r="D32">
        <f t="shared" si="2"/>
        <v>175</v>
      </c>
      <c r="E32">
        <f t="shared" si="3"/>
        <v>4</v>
      </c>
      <c r="F32">
        <f t="shared" si="4"/>
        <v>3</v>
      </c>
      <c r="I32" t="s">
        <v>390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2:20">
      <c r="B33" t="str">
        <f t="shared" si="0"/>
        <v>WAS_ELC</v>
      </c>
      <c r="C33">
        <f t="shared" si="1"/>
        <v>2025</v>
      </c>
      <c r="D33">
        <f t="shared" si="2"/>
        <v>123</v>
      </c>
      <c r="E33">
        <f t="shared" si="3"/>
        <v>5</v>
      </c>
      <c r="F33">
        <f t="shared" si="4"/>
        <v>3</v>
      </c>
    </row>
    <row r="34" spans="2:20">
      <c r="B34" t="str">
        <f t="shared" si="0"/>
        <v>REN_CHP</v>
      </c>
      <c r="C34">
        <f t="shared" si="1"/>
        <v>2025</v>
      </c>
      <c r="D34">
        <f t="shared" si="2"/>
        <v>55</v>
      </c>
      <c r="E34">
        <f t="shared" si="3"/>
        <v>6</v>
      </c>
      <c r="F34">
        <f t="shared" si="4"/>
        <v>3</v>
      </c>
    </row>
    <row r="35" spans="2:20">
      <c r="B35" t="str">
        <f t="shared" si="0"/>
        <v>SOL_WIN</v>
      </c>
      <c r="C35">
        <f t="shared" si="1"/>
        <v>2025</v>
      </c>
      <c r="D35">
        <f t="shared" si="2"/>
        <v>130</v>
      </c>
      <c r="E35">
        <f t="shared" si="3"/>
        <v>7</v>
      </c>
      <c r="F35">
        <f t="shared" si="4"/>
        <v>3</v>
      </c>
    </row>
    <row r="36" spans="2:20">
      <c r="B36" t="str">
        <f t="shared" si="0"/>
        <v>HYD_TOT</v>
      </c>
      <c r="C36">
        <f t="shared" si="1"/>
        <v>2030</v>
      </c>
      <c r="D36">
        <f t="shared" si="2"/>
        <v>13730</v>
      </c>
      <c r="E36">
        <f t="shared" si="3"/>
        <v>1</v>
      </c>
      <c r="F36">
        <f t="shared" si="4"/>
        <v>4</v>
      </c>
      <c r="J36" t="s">
        <v>393</v>
      </c>
    </row>
    <row r="37" spans="2:20">
      <c r="B37" t="str">
        <f t="shared" si="0"/>
        <v>NUC_ELC</v>
      </c>
      <c r="C37">
        <f t="shared" si="1"/>
        <v>2030</v>
      </c>
      <c r="D37">
        <f t="shared" si="2"/>
        <v>1190</v>
      </c>
      <c r="E37">
        <f t="shared" si="3"/>
        <v>2</v>
      </c>
      <c r="F37">
        <f t="shared" si="4"/>
        <v>4</v>
      </c>
      <c r="J37">
        <v>2000</v>
      </c>
      <c r="K37">
        <v>2005</v>
      </c>
      <c r="L37">
        <v>2010</v>
      </c>
      <c r="M37">
        <v>2015</v>
      </c>
      <c r="N37">
        <v>2020</v>
      </c>
      <c r="O37">
        <v>2025</v>
      </c>
      <c r="P37">
        <v>2030</v>
      </c>
      <c r="Q37">
        <v>2035</v>
      </c>
      <c r="R37">
        <v>2040</v>
      </c>
      <c r="S37">
        <v>2045</v>
      </c>
      <c r="T37">
        <v>2050</v>
      </c>
    </row>
    <row r="38" spans="2:20">
      <c r="B38" t="str">
        <f t="shared" si="0"/>
        <v>FSS_ELC</v>
      </c>
      <c r="C38">
        <f t="shared" si="1"/>
        <v>2030</v>
      </c>
      <c r="D38">
        <f t="shared" si="2"/>
        <v>0</v>
      </c>
      <c r="E38">
        <f t="shared" si="3"/>
        <v>3</v>
      </c>
      <c r="F38">
        <f t="shared" si="4"/>
        <v>4</v>
      </c>
      <c r="H38" t="s">
        <v>299</v>
      </c>
      <c r="I38" t="s">
        <v>386</v>
      </c>
      <c r="J38">
        <v>295</v>
      </c>
      <c r="K38">
        <v>306</v>
      </c>
      <c r="L38">
        <v>402</v>
      </c>
      <c r="M38">
        <v>354</v>
      </c>
      <c r="N38">
        <v>277</v>
      </c>
      <c r="O38">
        <v>175</v>
      </c>
      <c r="P38">
        <v>118</v>
      </c>
      <c r="Q38">
        <v>60</v>
      </c>
      <c r="R38">
        <v>0</v>
      </c>
      <c r="S38">
        <v>0</v>
      </c>
      <c r="T38">
        <v>0</v>
      </c>
    </row>
    <row r="39" spans="2:20">
      <c r="B39" t="str">
        <f t="shared" si="0"/>
        <v>FSS_CHP</v>
      </c>
      <c r="C39">
        <f t="shared" si="1"/>
        <v>2030</v>
      </c>
      <c r="D39">
        <f t="shared" si="2"/>
        <v>118</v>
      </c>
      <c r="E39">
        <f t="shared" si="3"/>
        <v>4</v>
      </c>
      <c r="F39">
        <f t="shared" si="4"/>
        <v>4</v>
      </c>
      <c r="I39" t="s">
        <v>388</v>
      </c>
      <c r="J39">
        <v>1.1399999999999999</v>
      </c>
      <c r="K39">
        <v>1.25</v>
      </c>
      <c r="L39">
        <v>1.24</v>
      </c>
      <c r="M39">
        <v>1.9</v>
      </c>
      <c r="N39">
        <v>1.58</v>
      </c>
      <c r="O39">
        <v>1</v>
      </c>
      <c r="P39">
        <v>0.68</v>
      </c>
      <c r="Q39">
        <v>0.35</v>
      </c>
      <c r="R39">
        <v>0</v>
      </c>
      <c r="S39">
        <v>0</v>
      </c>
      <c r="T39">
        <v>0</v>
      </c>
    </row>
    <row r="40" spans="2:20">
      <c r="B40" t="str">
        <f t="shared" si="0"/>
        <v>WAS_ELC</v>
      </c>
      <c r="C40">
        <f t="shared" si="1"/>
        <v>2030</v>
      </c>
      <c r="D40">
        <f t="shared" si="2"/>
        <v>69</v>
      </c>
      <c r="E40">
        <f t="shared" si="3"/>
        <v>5</v>
      </c>
      <c r="F40">
        <f t="shared" si="4"/>
        <v>4</v>
      </c>
      <c r="I40" t="s">
        <v>389</v>
      </c>
      <c r="J40">
        <v>0.76</v>
      </c>
      <c r="K40">
        <v>0.8</v>
      </c>
      <c r="L40">
        <v>0.76</v>
      </c>
      <c r="M40">
        <v>1.17</v>
      </c>
      <c r="N40">
        <v>0.95</v>
      </c>
      <c r="O40">
        <v>0.61</v>
      </c>
      <c r="P40">
        <v>0.42</v>
      </c>
      <c r="Q40">
        <v>0.19</v>
      </c>
      <c r="R40">
        <v>0</v>
      </c>
      <c r="S40">
        <v>0</v>
      </c>
      <c r="T40">
        <v>0</v>
      </c>
    </row>
    <row r="41" spans="2:20">
      <c r="B41" t="str">
        <f t="shared" si="0"/>
        <v>REN_CHP</v>
      </c>
      <c r="C41">
        <f t="shared" si="1"/>
        <v>2030</v>
      </c>
      <c r="D41">
        <f t="shared" si="2"/>
        <v>28</v>
      </c>
      <c r="E41">
        <f t="shared" si="3"/>
        <v>6</v>
      </c>
      <c r="F41">
        <f t="shared" si="4"/>
        <v>4</v>
      </c>
      <c r="I41" t="s">
        <v>390</v>
      </c>
      <c r="J41">
        <v>0.38</v>
      </c>
      <c r="K41">
        <v>0.45</v>
      </c>
      <c r="L41">
        <v>0.49</v>
      </c>
      <c r="M41">
        <v>0.73</v>
      </c>
      <c r="N41">
        <v>0.63</v>
      </c>
      <c r="O41">
        <v>0.39</v>
      </c>
      <c r="P41">
        <v>0.26</v>
      </c>
      <c r="Q41">
        <v>0.16</v>
      </c>
      <c r="R41">
        <v>0</v>
      </c>
      <c r="S41">
        <v>0</v>
      </c>
      <c r="T41">
        <v>0</v>
      </c>
    </row>
    <row r="42" spans="2:20">
      <c r="B42" t="str">
        <f t="shared" si="0"/>
        <v>SOL_WIN</v>
      </c>
      <c r="C42">
        <f t="shared" si="1"/>
        <v>2030</v>
      </c>
      <c r="D42">
        <f t="shared" si="2"/>
        <v>85</v>
      </c>
      <c r="E42">
        <f t="shared" si="3"/>
        <v>7</v>
      </c>
      <c r="F42">
        <f t="shared" si="4"/>
        <v>4</v>
      </c>
    </row>
    <row r="43" spans="2:20">
      <c r="B43" t="str">
        <f t="shared" si="0"/>
        <v>HYD_TOT</v>
      </c>
      <c r="C43">
        <f t="shared" si="1"/>
        <v>2035</v>
      </c>
      <c r="D43">
        <f t="shared" si="2"/>
        <v>13730</v>
      </c>
      <c r="E43">
        <f t="shared" si="3"/>
        <v>1</v>
      </c>
      <c r="F43">
        <f t="shared" si="4"/>
        <v>5</v>
      </c>
      <c r="J43" t="s">
        <v>394</v>
      </c>
    </row>
    <row r="44" spans="2:20">
      <c r="B44" t="str">
        <f t="shared" si="0"/>
        <v>NUC_ELC</v>
      </c>
      <c r="C44">
        <f t="shared" si="1"/>
        <v>2035</v>
      </c>
      <c r="D44">
        <f t="shared" si="2"/>
        <v>0</v>
      </c>
      <c r="E44">
        <f t="shared" si="3"/>
        <v>2</v>
      </c>
      <c r="F44">
        <f t="shared" si="4"/>
        <v>5</v>
      </c>
      <c r="J44">
        <v>2000</v>
      </c>
      <c r="K44">
        <v>2005</v>
      </c>
      <c r="L44">
        <v>2010</v>
      </c>
      <c r="M44">
        <v>2015</v>
      </c>
      <c r="N44">
        <v>2020</v>
      </c>
      <c r="O44">
        <v>2025</v>
      </c>
      <c r="P44">
        <v>2030</v>
      </c>
      <c r="Q44">
        <v>2035</v>
      </c>
      <c r="R44">
        <v>2040</v>
      </c>
      <c r="S44">
        <v>2045</v>
      </c>
      <c r="T44">
        <v>2050</v>
      </c>
    </row>
    <row r="45" spans="2:20">
      <c r="B45" t="str">
        <f t="shared" si="0"/>
        <v>FSS_ELC</v>
      </c>
      <c r="C45">
        <f t="shared" si="1"/>
        <v>2035</v>
      </c>
      <c r="D45">
        <f t="shared" si="2"/>
        <v>0</v>
      </c>
      <c r="E45">
        <f t="shared" si="3"/>
        <v>3</v>
      </c>
      <c r="F45">
        <f t="shared" si="4"/>
        <v>5</v>
      </c>
      <c r="H45" t="s">
        <v>110</v>
      </c>
      <c r="I45" t="s">
        <v>386</v>
      </c>
      <c r="J45">
        <v>274</v>
      </c>
      <c r="K45">
        <v>30</v>
      </c>
      <c r="L45">
        <v>343</v>
      </c>
      <c r="M45">
        <v>207</v>
      </c>
      <c r="N45">
        <v>193</v>
      </c>
      <c r="O45">
        <v>123</v>
      </c>
      <c r="P45">
        <v>69</v>
      </c>
      <c r="Q45">
        <v>35</v>
      </c>
      <c r="R45">
        <v>0</v>
      </c>
      <c r="S45">
        <v>0</v>
      </c>
      <c r="T45">
        <v>0</v>
      </c>
    </row>
    <row r="46" spans="2:20">
      <c r="B46" t="str">
        <f t="shared" si="0"/>
        <v>FSS_CHP</v>
      </c>
      <c r="C46">
        <f t="shared" si="1"/>
        <v>2035</v>
      </c>
      <c r="D46">
        <f t="shared" si="2"/>
        <v>60</v>
      </c>
      <c r="E46">
        <f t="shared" si="3"/>
        <v>4</v>
      </c>
      <c r="F46">
        <f t="shared" si="4"/>
        <v>5</v>
      </c>
      <c r="I46" t="s">
        <v>388</v>
      </c>
      <c r="J46">
        <v>1.27</v>
      </c>
      <c r="K46">
        <v>1.61</v>
      </c>
      <c r="L46">
        <v>1.84</v>
      </c>
      <c r="M46">
        <v>1.08</v>
      </c>
      <c r="N46">
        <v>1.01</v>
      </c>
      <c r="O46">
        <v>0.64</v>
      </c>
      <c r="P46">
        <v>0.36</v>
      </c>
      <c r="Q46">
        <v>0.18</v>
      </c>
      <c r="R46">
        <v>0</v>
      </c>
      <c r="S46">
        <v>0</v>
      </c>
      <c r="T46">
        <v>0</v>
      </c>
    </row>
    <row r="47" spans="2:20">
      <c r="B47" t="str">
        <f t="shared" ref="B47:B70" si="6">INDEX($E$4:$E$11,E47)</f>
        <v>WAS_ELC</v>
      </c>
      <c r="C47">
        <f t="shared" ref="C47:C70" si="7">INDEX($F$4:$F$11,F47)</f>
        <v>2035</v>
      </c>
      <c r="D47">
        <f t="shared" ref="D47:D70" si="8">INDEX($J$13:$T$65,MATCH(B47,$H$13:$H$65,0),MATCH(C47,$J$12:$T$12,0))</f>
        <v>35</v>
      </c>
      <c r="E47">
        <f t="shared" si="3"/>
        <v>5</v>
      </c>
      <c r="F47">
        <f t="shared" si="4"/>
        <v>5</v>
      </c>
      <c r="I47" t="s">
        <v>389</v>
      </c>
      <c r="J47">
        <v>0.7</v>
      </c>
      <c r="K47">
        <v>0.89</v>
      </c>
      <c r="L47">
        <v>1.01</v>
      </c>
      <c r="M47">
        <v>0.59</v>
      </c>
      <c r="N47">
        <v>0.55000000000000004</v>
      </c>
      <c r="O47">
        <v>0.35</v>
      </c>
      <c r="P47">
        <v>0.2</v>
      </c>
      <c r="Q47">
        <v>0.1</v>
      </c>
      <c r="R47">
        <v>0</v>
      </c>
      <c r="S47">
        <v>0</v>
      </c>
      <c r="T47">
        <v>0</v>
      </c>
    </row>
    <row r="48" spans="2:20">
      <c r="B48" t="str">
        <f t="shared" si="6"/>
        <v>REN_CHP</v>
      </c>
      <c r="C48">
        <f t="shared" si="7"/>
        <v>2035</v>
      </c>
      <c r="D48">
        <f t="shared" si="8"/>
        <v>2</v>
      </c>
      <c r="E48">
        <f t="shared" ref="E48:E70" si="9">IF(E47=$E$3,1,E47+1)</f>
        <v>6</v>
      </c>
      <c r="F48">
        <f t="shared" ref="F48:F70" si="10">IF(E48=1,IF(F47=$F$3,1,F47+1),F47)</f>
        <v>5</v>
      </c>
      <c r="I48" t="s">
        <v>390</v>
      </c>
      <c r="J48">
        <v>0.56999999999999995</v>
      </c>
      <c r="K48">
        <v>0.72</v>
      </c>
      <c r="L48">
        <v>0.83</v>
      </c>
      <c r="M48">
        <v>0.49</v>
      </c>
      <c r="N48">
        <v>0.45</v>
      </c>
      <c r="O48">
        <v>0.28999999999999998</v>
      </c>
      <c r="P48">
        <v>0.16</v>
      </c>
      <c r="Q48">
        <v>0.08</v>
      </c>
      <c r="R48">
        <v>0</v>
      </c>
      <c r="S48">
        <v>0</v>
      </c>
      <c r="T48">
        <v>0</v>
      </c>
    </row>
    <row r="49" spans="2:20">
      <c r="B49" t="str">
        <f t="shared" si="6"/>
        <v>SOL_WIN</v>
      </c>
      <c r="C49">
        <f t="shared" si="7"/>
        <v>2035</v>
      </c>
      <c r="D49">
        <f t="shared" si="8"/>
        <v>0</v>
      </c>
      <c r="E49">
        <f t="shared" si="9"/>
        <v>7</v>
      </c>
      <c r="F49">
        <f t="shared" si="10"/>
        <v>5</v>
      </c>
      <c r="J49">
        <f t="shared" ref="J49:T49" si="11">SUM(J47:J48)-J46</f>
        <v>0</v>
      </c>
      <c r="K49">
        <f t="shared" si="11"/>
        <v>0</v>
      </c>
      <c r="L49">
        <f t="shared" si="11"/>
        <v>0</v>
      </c>
      <c r="M49">
        <f t="shared" si="11"/>
        <v>0</v>
      </c>
      <c r="N49">
        <f t="shared" si="11"/>
        <v>-1.0000000000000009E-2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1"/>
        <v>0</v>
      </c>
      <c r="T49">
        <f t="shared" si="11"/>
        <v>0</v>
      </c>
    </row>
    <row r="50" spans="2:20">
      <c r="B50" t="str">
        <f t="shared" si="6"/>
        <v>HYD_TOT</v>
      </c>
      <c r="C50">
        <f t="shared" si="7"/>
        <v>2040</v>
      </c>
      <c r="D50">
        <f t="shared" si="8"/>
        <v>13730</v>
      </c>
      <c r="E50">
        <f t="shared" si="9"/>
        <v>1</v>
      </c>
      <c r="F50">
        <f t="shared" si="10"/>
        <v>6</v>
      </c>
    </row>
    <row r="51" spans="2:20">
      <c r="B51" t="str">
        <f t="shared" si="6"/>
        <v>NUC_ELC</v>
      </c>
      <c r="C51">
        <f t="shared" si="7"/>
        <v>2040</v>
      </c>
      <c r="D51">
        <f t="shared" si="8"/>
        <v>0</v>
      </c>
      <c r="E51">
        <f t="shared" si="9"/>
        <v>2</v>
      </c>
      <c r="F51">
        <f t="shared" si="10"/>
        <v>6</v>
      </c>
      <c r="J51" t="s">
        <v>395</v>
      </c>
    </row>
    <row r="52" spans="2:20">
      <c r="B52" t="str">
        <f t="shared" si="6"/>
        <v>FSS_ELC</v>
      </c>
      <c r="C52">
        <f t="shared" si="7"/>
        <v>2040</v>
      </c>
      <c r="D52">
        <f t="shared" si="8"/>
        <v>0</v>
      </c>
      <c r="E52">
        <f t="shared" si="9"/>
        <v>3</v>
      </c>
      <c r="F52">
        <f t="shared" si="10"/>
        <v>6</v>
      </c>
      <c r="J52">
        <v>2000</v>
      </c>
      <c r="K52">
        <v>2005</v>
      </c>
      <c r="L52">
        <v>2010</v>
      </c>
      <c r="M52">
        <v>2015</v>
      </c>
      <c r="N52">
        <v>2020</v>
      </c>
      <c r="O52">
        <v>2025</v>
      </c>
      <c r="P52">
        <v>2030</v>
      </c>
      <c r="Q52">
        <v>2035</v>
      </c>
      <c r="R52">
        <v>2040</v>
      </c>
      <c r="S52">
        <v>2045</v>
      </c>
      <c r="T52">
        <v>2050</v>
      </c>
    </row>
    <row r="53" spans="2:20">
      <c r="B53" t="str">
        <f t="shared" si="6"/>
        <v>FSS_CHP</v>
      </c>
      <c r="C53">
        <f t="shared" si="7"/>
        <v>2040</v>
      </c>
      <c r="D53">
        <f t="shared" si="8"/>
        <v>0</v>
      </c>
      <c r="E53">
        <f t="shared" si="9"/>
        <v>4</v>
      </c>
      <c r="F53">
        <f t="shared" si="10"/>
        <v>6</v>
      </c>
      <c r="H53" t="s">
        <v>301</v>
      </c>
      <c r="I53" t="s">
        <v>386</v>
      </c>
      <c r="J53">
        <v>42</v>
      </c>
      <c r="K53">
        <v>50</v>
      </c>
      <c r="L53">
        <v>89</v>
      </c>
      <c r="M53">
        <v>77</v>
      </c>
      <c r="N53">
        <v>60</v>
      </c>
      <c r="O53">
        <v>55</v>
      </c>
      <c r="P53">
        <v>28</v>
      </c>
      <c r="Q53">
        <v>2</v>
      </c>
      <c r="R53">
        <v>2</v>
      </c>
      <c r="S53">
        <v>0</v>
      </c>
      <c r="T53">
        <v>0</v>
      </c>
    </row>
    <row r="54" spans="2:20">
      <c r="B54" t="str">
        <f t="shared" si="6"/>
        <v>WAS_ELC</v>
      </c>
      <c r="C54">
        <f t="shared" si="7"/>
        <v>2040</v>
      </c>
      <c r="D54">
        <f t="shared" si="8"/>
        <v>0</v>
      </c>
      <c r="E54">
        <f t="shared" si="9"/>
        <v>5</v>
      </c>
      <c r="F54">
        <f t="shared" si="10"/>
        <v>6</v>
      </c>
      <c r="I54" t="s">
        <v>388</v>
      </c>
      <c r="J54">
        <v>0.16</v>
      </c>
      <c r="K54">
        <v>0.18</v>
      </c>
      <c r="L54">
        <v>0.34</v>
      </c>
      <c r="M54">
        <v>0.31</v>
      </c>
      <c r="N54">
        <v>0.24</v>
      </c>
      <c r="O54">
        <v>0.22</v>
      </c>
      <c r="P54">
        <v>0.11</v>
      </c>
      <c r="Q54">
        <v>0.01</v>
      </c>
      <c r="R54">
        <v>0.01</v>
      </c>
      <c r="S54">
        <v>0</v>
      </c>
      <c r="T54">
        <v>0</v>
      </c>
    </row>
    <row r="55" spans="2:20">
      <c r="B55" t="str">
        <f t="shared" si="6"/>
        <v>REN_CHP</v>
      </c>
      <c r="C55">
        <f t="shared" si="7"/>
        <v>2040</v>
      </c>
      <c r="D55">
        <f t="shared" si="8"/>
        <v>2</v>
      </c>
      <c r="E55">
        <f t="shared" si="9"/>
        <v>6</v>
      </c>
      <c r="F55">
        <f t="shared" si="10"/>
        <v>6</v>
      </c>
      <c r="I55" t="s">
        <v>389</v>
      </c>
      <c r="J55">
        <v>0.09</v>
      </c>
      <c r="K55">
        <v>0.1</v>
      </c>
      <c r="L55">
        <v>0.09</v>
      </c>
      <c r="M55">
        <v>0.2</v>
      </c>
      <c r="N55">
        <v>0.16</v>
      </c>
      <c r="O55">
        <v>0.15</v>
      </c>
      <c r="P55">
        <v>0.08</v>
      </c>
      <c r="Q55">
        <v>0</v>
      </c>
      <c r="R55">
        <v>0</v>
      </c>
      <c r="S55">
        <v>0</v>
      </c>
      <c r="T55">
        <v>0</v>
      </c>
    </row>
    <row r="56" spans="2:20">
      <c r="B56" t="str">
        <f t="shared" si="6"/>
        <v>SOL_WIN</v>
      </c>
      <c r="C56">
        <f t="shared" si="7"/>
        <v>2040</v>
      </c>
      <c r="D56">
        <f t="shared" si="8"/>
        <v>0</v>
      </c>
      <c r="E56">
        <f t="shared" si="9"/>
        <v>7</v>
      </c>
      <c r="F56">
        <f t="shared" si="10"/>
        <v>6</v>
      </c>
      <c r="I56" t="s">
        <v>390</v>
      </c>
      <c r="J56">
        <v>7.0000000000000007E-2</v>
      </c>
      <c r="K56">
        <v>7.0000000000000007E-2</v>
      </c>
      <c r="L56">
        <v>7.0000000000000007E-2</v>
      </c>
      <c r="M56">
        <v>0.11</v>
      </c>
      <c r="N56">
        <v>0.08</v>
      </c>
      <c r="O56">
        <v>7.0000000000000007E-2</v>
      </c>
      <c r="P56">
        <v>0.03</v>
      </c>
      <c r="Q56">
        <v>0</v>
      </c>
      <c r="R56">
        <v>0</v>
      </c>
      <c r="S56">
        <v>0</v>
      </c>
      <c r="T56">
        <v>0</v>
      </c>
    </row>
    <row r="57" spans="2:20">
      <c r="B57" t="str">
        <f t="shared" si="6"/>
        <v>HYD_TOT</v>
      </c>
      <c r="C57">
        <f t="shared" si="7"/>
        <v>2045</v>
      </c>
      <c r="D57">
        <f t="shared" si="8"/>
        <v>13730</v>
      </c>
      <c r="E57">
        <f t="shared" si="9"/>
        <v>1</v>
      </c>
      <c r="F57">
        <f t="shared" si="10"/>
        <v>7</v>
      </c>
      <c r="J57">
        <f t="shared" ref="J57:T57" si="12">SUM(J55:J56)-J54</f>
        <v>0</v>
      </c>
      <c r="K57">
        <f t="shared" si="12"/>
        <v>-9.9999999999999811E-3</v>
      </c>
      <c r="L57">
        <f t="shared" si="12"/>
        <v>-0.18000000000000002</v>
      </c>
      <c r="M57">
        <f t="shared" si="12"/>
        <v>0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-0.01</v>
      </c>
      <c r="R57">
        <f t="shared" si="12"/>
        <v>-0.01</v>
      </c>
      <c r="S57">
        <f t="shared" si="12"/>
        <v>0</v>
      </c>
      <c r="T57">
        <f t="shared" si="12"/>
        <v>0</v>
      </c>
    </row>
    <row r="58" spans="2:20" ht="15">
      <c r="B58" t="str">
        <f t="shared" si="6"/>
        <v>NUC_ELC</v>
      </c>
      <c r="C58">
        <f t="shared" si="7"/>
        <v>2045</v>
      </c>
      <c r="D58">
        <f t="shared" si="8"/>
        <v>0</v>
      </c>
      <c r="E58">
        <f t="shared" si="9"/>
        <v>2</v>
      </c>
      <c r="F58">
        <f t="shared" si="10"/>
        <v>7</v>
      </c>
      <c r="J58" s="126" t="s">
        <v>396</v>
      </c>
    </row>
    <row r="59" spans="2:20">
      <c r="B59" t="str">
        <f t="shared" si="6"/>
        <v>FSS_ELC</v>
      </c>
      <c r="C59">
        <f t="shared" si="7"/>
        <v>2045</v>
      </c>
      <c r="D59">
        <f t="shared" si="8"/>
        <v>0</v>
      </c>
      <c r="E59">
        <f t="shared" si="9"/>
        <v>3</v>
      </c>
      <c r="F59">
        <f t="shared" si="10"/>
        <v>7</v>
      </c>
    </row>
    <row r="60" spans="2:20">
      <c r="B60" t="str">
        <f t="shared" si="6"/>
        <v>FSS_CHP</v>
      </c>
      <c r="C60">
        <f t="shared" si="7"/>
        <v>2045</v>
      </c>
      <c r="D60">
        <f t="shared" si="8"/>
        <v>0</v>
      </c>
      <c r="E60">
        <f t="shared" si="9"/>
        <v>4</v>
      </c>
      <c r="F60">
        <f t="shared" si="10"/>
        <v>7</v>
      </c>
      <c r="J60" t="s">
        <v>397</v>
      </c>
    </row>
    <row r="61" spans="2:20">
      <c r="B61" t="str">
        <f t="shared" si="6"/>
        <v>WAS_ELC</v>
      </c>
      <c r="C61">
        <f t="shared" si="7"/>
        <v>2045</v>
      </c>
      <c r="D61">
        <f t="shared" si="8"/>
        <v>0</v>
      </c>
      <c r="E61">
        <f t="shared" si="9"/>
        <v>5</v>
      </c>
      <c r="F61">
        <f t="shared" si="10"/>
        <v>7</v>
      </c>
      <c r="J61">
        <v>2000</v>
      </c>
      <c r="K61">
        <v>2005</v>
      </c>
      <c r="L61">
        <v>2010</v>
      </c>
      <c r="M61">
        <v>2015</v>
      </c>
      <c r="N61">
        <v>2020</v>
      </c>
      <c r="O61">
        <v>2025</v>
      </c>
      <c r="P61">
        <v>2030</v>
      </c>
      <c r="Q61">
        <v>2035</v>
      </c>
      <c r="R61">
        <v>2040</v>
      </c>
      <c r="S61">
        <v>2045</v>
      </c>
      <c r="T61">
        <v>2050</v>
      </c>
    </row>
    <row r="62" spans="2:20">
      <c r="B62" t="str">
        <f t="shared" si="6"/>
        <v>REN_CHP</v>
      </c>
      <c r="C62">
        <f t="shared" si="7"/>
        <v>2045</v>
      </c>
      <c r="D62">
        <f t="shared" si="8"/>
        <v>0</v>
      </c>
      <c r="E62">
        <f t="shared" si="9"/>
        <v>6</v>
      </c>
      <c r="F62">
        <f t="shared" si="10"/>
        <v>7</v>
      </c>
      <c r="H62" t="s">
        <v>302</v>
      </c>
      <c r="I62" t="s">
        <v>386</v>
      </c>
      <c r="J62">
        <v>18</v>
      </c>
      <c r="K62">
        <v>34</v>
      </c>
      <c r="L62">
        <v>153</v>
      </c>
      <c r="M62">
        <v>151</v>
      </c>
      <c r="N62">
        <v>142</v>
      </c>
      <c r="O62">
        <v>130</v>
      </c>
      <c r="P62">
        <v>85</v>
      </c>
      <c r="Q62">
        <v>0</v>
      </c>
      <c r="R62">
        <v>0</v>
      </c>
      <c r="S62">
        <v>0</v>
      </c>
      <c r="T62">
        <v>0</v>
      </c>
    </row>
    <row r="63" spans="2:20">
      <c r="B63" t="str">
        <f t="shared" si="6"/>
        <v>SOL_WIN</v>
      </c>
      <c r="C63">
        <f t="shared" si="7"/>
        <v>2045</v>
      </c>
      <c r="D63">
        <f t="shared" si="8"/>
        <v>0</v>
      </c>
      <c r="E63">
        <f t="shared" si="9"/>
        <v>7</v>
      </c>
      <c r="F63">
        <f t="shared" si="10"/>
        <v>7</v>
      </c>
      <c r="I63" t="s">
        <v>388</v>
      </c>
      <c r="J63">
        <v>0.01</v>
      </c>
      <c r="K63">
        <v>0.03</v>
      </c>
      <c r="L63">
        <v>0.12</v>
      </c>
      <c r="M63">
        <v>0.18</v>
      </c>
      <c r="N63">
        <v>0.17</v>
      </c>
      <c r="O63">
        <v>0.16</v>
      </c>
      <c r="P63">
        <v>0.11</v>
      </c>
      <c r="Q63">
        <v>0</v>
      </c>
      <c r="R63">
        <v>0</v>
      </c>
      <c r="S63">
        <v>0</v>
      </c>
      <c r="T63">
        <v>0</v>
      </c>
    </row>
    <row r="64" spans="2:20">
      <c r="B64" t="str">
        <f t="shared" si="6"/>
        <v>HYD_TOT</v>
      </c>
      <c r="C64">
        <f t="shared" si="7"/>
        <v>2050</v>
      </c>
      <c r="D64">
        <f t="shared" si="8"/>
        <v>13730</v>
      </c>
      <c r="E64">
        <f t="shared" si="9"/>
        <v>1</v>
      </c>
      <c r="F64">
        <f t="shared" si="10"/>
        <v>8</v>
      </c>
      <c r="I64" t="s">
        <v>389</v>
      </c>
      <c r="J64">
        <v>0</v>
      </c>
      <c r="K64">
        <v>0.01</v>
      </c>
      <c r="L64">
        <v>0</v>
      </c>
      <c r="M64">
        <v>0.06</v>
      </c>
      <c r="N64">
        <v>0.06</v>
      </c>
      <c r="O64">
        <v>0.05</v>
      </c>
      <c r="P64">
        <v>0.03</v>
      </c>
      <c r="Q64">
        <v>0</v>
      </c>
      <c r="R64">
        <v>0</v>
      </c>
      <c r="S64">
        <v>0</v>
      </c>
      <c r="T64">
        <v>0</v>
      </c>
    </row>
    <row r="65" spans="2:20">
      <c r="B65" t="str">
        <f t="shared" si="6"/>
        <v>NUC_ELC</v>
      </c>
      <c r="C65">
        <f t="shared" si="7"/>
        <v>2050</v>
      </c>
      <c r="D65">
        <f t="shared" si="8"/>
        <v>0</v>
      </c>
      <c r="E65">
        <f t="shared" si="9"/>
        <v>2</v>
      </c>
      <c r="F65">
        <f t="shared" si="10"/>
        <v>8</v>
      </c>
      <c r="I65" t="s">
        <v>390</v>
      </c>
      <c r="J65">
        <v>0.01</v>
      </c>
      <c r="K65">
        <v>0.02</v>
      </c>
      <c r="L65">
        <v>0.01</v>
      </c>
      <c r="M65">
        <v>0.12</v>
      </c>
      <c r="N65">
        <v>0.11</v>
      </c>
      <c r="O65">
        <v>0.1</v>
      </c>
      <c r="P65">
        <v>0.08</v>
      </c>
      <c r="Q65">
        <v>0</v>
      </c>
      <c r="R65">
        <v>0</v>
      </c>
      <c r="S65">
        <v>0</v>
      </c>
      <c r="T65">
        <v>0</v>
      </c>
    </row>
    <row r="66" spans="2:20">
      <c r="B66" t="str">
        <f t="shared" si="6"/>
        <v>FSS_ELC</v>
      </c>
      <c r="C66">
        <f t="shared" si="7"/>
        <v>2050</v>
      </c>
      <c r="D66">
        <f t="shared" si="8"/>
        <v>0</v>
      </c>
      <c r="E66">
        <f t="shared" si="9"/>
        <v>3</v>
      </c>
      <c r="F66">
        <f t="shared" si="10"/>
        <v>8</v>
      </c>
    </row>
    <row r="67" spans="2:20">
      <c r="B67" t="str">
        <f t="shared" si="6"/>
        <v>FSS_CHP</v>
      </c>
      <c r="C67">
        <f t="shared" si="7"/>
        <v>2050</v>
      </c>
      <c r="D67">
        <f t="shared" si="8"/>
        <v>0</v>
      </c>
      <c r="E67">
        <f t="shared" si="9"/>
        <v>4</v>
      </c>
      <c r="F67">
        <f t="shared" si="10"/>
        <v>8</v>
      </c>
    </row>
    <row r="68" spans="2:20">
      <c r="B68" t="str">
        <f t="shared" si="6"/>
        <v>WAS_ELC</v>
      </c>
      <c r="C68">
        <f t="shared" si="7"/>
        <v>2050</v>
      </c>
      <c r="D68">
        <f t="shared" si="8"/>
        <v>0</v>
      </c>
      <c r="E68">
        <f t="shared" si="9"/>
        <v>5</v>
      </c>
      <c r="F68">
        <f t="shared" si="10"/>
        <v>8</v>
      </c>
    </row>
    <row r="69" spans="2:20">
      <c r="B69" t="str">
        <f t="shared" si="6"/>
        <v>REN_CHP</v>
      </c>
      <c r="C69">
        <f t="shared" si="7"/>
        <v>2050</v>
      </c>
      <c r="D69">
        <f t="shared" si="8"/>
        <v>0</v>
      </c>
      <c r="E69">
        <f t="shared" si="9"/>
        <v>6</v>
      </c>
      <c r="F69">
        <f t="shared" si="10"/>
        <v>8</v>
      </c>
    </row>
    <row r="70" spans="2:20">
      <c r="B70" t="str">
        <f t="shared" si="6"/>
        <v>SOL_WIN</v>
      </c>
      <c r="C70">
        <f t="shared" si="7"/>
        <v>2050</v>
      </c>
      <c r="D70">
        <f t="shared" si="8"/>
        <v>0</v>
      </c>
      <c r="E70">
        <f t="shared" si="9"/>
        <v>7</v>
      </c>
      <c r="F70">
        <f t="shared" si="10"/>
        <v>8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749"/>
  <sheetViews>
    <sheetView topLeftCell="F175" zoomScale="55" zoomScaleNormal="55" workbookViewId="0">
      <selection activeCell="X244" sqref="X244:AE244"/>
    </sheetView>
  </sheetViews>
  <sheetFormatPr defaultRowHeight="14.25"/>
  <cols>
    <col min="1" max="1" width="10.625" customWidth="1"/>
    <col min="2" max="2" width="11.75" customWidth="1"/>
    <col min="3" max="4" width="10.625" customWidth="1"/>
    <col min="5" max="5" width="13" customWidth="1"/>
    <col min="6" max="6" width="9.75" customWidth="1"/>
    <col min="7" max="8" width="12.625" customWidth="1"/>
    <col min="9" max="9" width="12.375" customWidth="1"/>
    <col min="10" max="10" width="15.625" customWidth="1"/>
    <col min="11" max="14" width="10.625" customWidth="1"/>
    <col min="15" max="15" width="15.25" bestFit="1" customWidth="1"/>
    <col min="16" max="16" width="11.5" customWidth="1"/>
    <col min="17" max="17" width="11.75" customWidth="1"/>
    <col min="18" max="19" width="10.625" customWidth="1"/>
    <col min="20" max="20" width="13" customWidth="1"/>
    <col min="21" max="21" width="9.75" customWidth="1"/>
    <col min="22" max="22" width="12.625" customWidth="1"/>
    <col min="23" max="31" width="14.5" customWidth="1"/>
    <col min="32" max="32" width="12.75" customWidth="1"/>
    <col min="33" max="47" width="10.625" customWidth="1"/>
  </cols>
  <sheetData>
    <row r="1" spans="2:55" ht="15">
      <c r="H1">
        <f>COUNTA(H2:H9)</f>
        <v>3</v>
      </c>
      <c r="I1">
        <f>COUNTA(I2:I9)</f>
        <v>8</v>
      </c>
      <c r="J1">
        <f>COUNTA(J2:J9)</f>
        <v>1</v>
      </c>
      <c r="K1">
        <f>PRODUCT(H1:J1)</f>
        <v>24</v>
      </c>
      <c r="T1" t="s">
        <v>127</v>
      </c>
      <c r="U1" t="s">
        <v>128</v>
      </c>
      <c r="V1" t="s">
        <v>33</v>
      </c>
      <c r="W1" t="s">
        <v>32</v>
      </c>
      <c r="X1" t="s">
        <v>8</v>
      </c>
      <c r="Y1" t="s">
        <v>51</v>
      </c>
      <c r="Z1" t="s">
        <v>129</v>
      </c>
      <c r="AY1" s="126" t="s">
        <v>500</v>
      </c>
    </row>
    <row r="2" spans="2:55">
      <c r="H2" t="s">
        <v>15</v>
      </c>
      <c r="I2">
        <v>2015</v>
      </c>
      <c r="J2" t="s">
        <v>95</v>
      </c>
      <c r="K2" t="s">
        <v>22</v>
      </c>
      <c r="T2" t="s">
        <v>86</v>
      </c>
      <c r="U2" t="s">
        <v>85</v>
      </c>
      <c r="V2" t="s">
        <v>132</v>
      </c>
      <c r="W2" t="s">
        <v>12</v>
      </c>
      <c r="X2" s="26">
        <v>3847637.8580743899</v>
      </c>
      <c r="Y2" s="26">
        <v>4000.53958894879</v>
      </c>
      <c r="Z2" s="26">
        <v>961.77972309116001</v>
      </c>
      <c r="AY2" t="s">
        <v>481</v>
      </c>
      <c r="AZ2" s="200">
        <v>8.5000000000000006E-2</v>
      </c>
      <c r="BA2" t="s">
        <v>482</v>
      </c>
      <c r="BC2" t="e">
        <v>#REF!</v>
      </c>
    </row>
    <row r="3" spans="2:55">
      <c r="H3" t="s">
        <v>16</v>
      </c>
      <c r="I3">
        <v>2020</v>
      </c>
      <c r="T3" t="s">
        <v>87</v>
      </c>
      <c r="U3" t="s">
        <v>85</v>
      </c>
      <c r="V3" t="s">
        <v>132</v>
      </c>
      <c r="W3" t="s">
        <v>14</v>
      </c>
      <c r="X3" s="26">
        <v>1722000</v>
      </c>
      <c r="Y3" s="26">
        <v>1898.3</v>
      </c>
      <c r="Z3" s="26">
        <v>907.12742980561598</v>
      </c>
      <c r="AO3" t="s">
        <v>127</v>
      </c>
      <c r="AP3" t="s">
        <v>128</v>
      </c>
      <c r="AQ3" t="s">
        <v>33</v>
      </c>
      <c r="AR3" t="s">
        <v>32</v>
      </c>
      <c r="AS3" t="s">
        <v>8</v>
      </c>
      <c r="AT3" t="s">
        <v>51</v>
      </c>
      <c r="AU3" t="s">
        <v>129</v>
      </c>
      <c r="AY3" t="s">
        <v>483</v>
      </c>
      <c r="AZ3" s="200">
        <v>0</v>
      </c>
      <c r="BA3" t="s">
        <v>484</v>
      </c>
      <c r="BC3" t="e">
        <v>#REF!</v>
      </c>
    </row>
    <row r="4" spans="2:55">
      <c r="H4" t="s">
        <v>14</v>
      </c>
      <c r="I4">
        <v>2025</v>
      </c>
      <c r="T4" t="s">
        <v>88</v>
      </c>
      <c r="U4" t="s">
        <v>85</v>
      </c>
      <c r="V4" t="s">
        <v>132</v>
      </c>
      <c r="W4" t="s">
        <v>15</v>
      </c>
      <c r="X4" s="26">
        <v>5921000</v>
      </c>
      <c r="Y4" s="26">
        <v>8149.2</v>
      </c>
      <c r="Z4" s="26">
        <v>726.57438766995494</v>
      </c>
      <c r="AO4" t="s">
        <v>52</v>
      </c>
      <c r="AP4" t="s">
        <v>55</v>
      </c>
      <c r="AQ4" t="s">
        <v>11</v>
      </c>
      <c r="AR4" t="s">
        <v>12</v>
      </c>
      <c r="AS4">
        <v>4120629.6161127202</v>
      </c>
      <c r="AT4">
        <v>616.39374999999995</v>
      </c>
      <c r="AU4">
        <v>6685.0606712230901</v>
      </c>
      <c r="AY4" t="s">
        <v>75</v>
      </c>
      <c r="AZ4" s="200">
        <v>0.01</v>
      </c>
      <c r="BA4" t="s">
        <v>485</v>
      </c>
      <c r="BC4" t="e">
        <v>#REF!</v>
      </c>
    </row>
    <row r="5" spans="2:55">
      <c r="I5">
        <v>2030</v>
      </c>
      <c r="T5" t="s">
        <v>89</v>
      </c>
      <c r="U5" t="s">
        <v>85</v>
      </c>
      <c r="V5" t="s">
        <v>132</v>
      </c>
      <c r="W5" t="s">
        <v>16</v>
      </c>
      <c r="X5" s="26">
        <v>4896000</v>
      </c>
      <c r="Y5" s="26">
        <v>4965</v>
      </c>
      <c r="Z5" s="26">
        <v>986.10271903323303</v>
      </c>
      <c r="AO5" t="s">
        <v>54</v>
      </c>
      <c r="AP5" t="s">
        <v>55</v>
      </c>
      <c r="AQ5" t="s">
        <v>11</v>
      </c>
      <c r="AR5" t="s">
        <v>14</v>
      </c>
      <c r="AS5">
        <v>213607.48</v>
      </c>
      <c r="AT5">
        <v>46.2</v>
      </c>
      <c r="AU5">
        <v>4623.5385281385297</v>
      </c>
      <c r="AY5" t="s">
        <v>95</v>
      </c>
      <c r="AZ5" s="200">
        <v>4.7E-2</v>
      </c>
      <c r="BA5" t="s">
        <v>486</v>
      </c>
      <c r="BC5" t="e">
        <v>#REF!</v>
      </c>
    </row>
    <row r="6" spans="2:55">
      <c r="I6">
        <v>2035</v>
      </c>
      <c r="T6" t="s">
        <v>90</v>
      </c>
      <c r="U6" t="s">
        <v>85</v>
      </c>
      <c r="V6" t="s">
        <v>132</v>
      </c>
      <c r="W6" t="s">
        <v>17</v>
      </c>
      <c r="X6" s="26">
        <v>1432100</v>
      </c>
      <c r="Y6" s="26">
        <v>3795.9</v>
      </c>
      <c r="Z6" s="26">
        <v>377.27548144050201</v>
      </c>
      <c r="AO6" t="s">
        <v>56</v>
      </c>
      <c r="AP6" t="s">
        <v>55</v>
      </c>
      <c r="AQ6" t="s">
        <v>11</v>
      </c>
      <c r="AR6" t="s">
        <v>15</v>
      </c>
      <c r="AS6">
        <v>44573000</v>
      </c>
      <c r="AT6">
        <v>7467</v>
      </c>
      <c r="AU6">
        <v>5969.3317262622204</v>
      </c>
      <c r="AY6" t="s">
        <v>487</v>
      </c>
      <c r="AZ6" s="200">
        <v>8.5000000000000006E-2</v>
      </c>
      <c r="BA6" t="s">
        <v>482</v>
      </c>
      <c r="BC6" t="e">
        <v>#REF!</v>
      </c>
    </row>
    <row r="7" spans="2:55">
      <c r="I7">
        <v>2040</v>
      </c>
      <c r="T7" t="s">
        <v>73</v>
      </c>
      <c r="U7" t="s">
        <v>75</v>
      </c>
      <c r="V7" t="s">
        <v>25</v>
      </c>
      <c r="W7" t="s">
        <v>12</v>
      </c>
      <c r="X7" s="26">
        <v>9350141.4459256101</v>
      </c>
      <c r="Y7" s="26">
        <v>3992.46041105121</v>
      </c>
      <c r="Z7" s="26">
        <v>2341.9496959930302</v>
      </c>
      <c r="AA7" s="26">
        <f>X7+X12</f>
        <v>36067332.123925611</v>
      </c>
      <c r="AO7" t="s">
        <v>57</v>
      </c>
      <c r="AP7" t="s">
        <v>55</v>
      </c>
      <c r="AQ7" t="s">
        <v>11</v>
      </c>
      <c r="AR7" t="s">
        <v>16</v>
      </c>
      <c r="AS7">
        <v>7964700</v>
      </c>
      <c r="AT7">
        <v>922.97180000000003</v>
      </c>
      <c r="AU7">
        <v>8629.4077457187705</v>
      </c>
      <c r="AY7" t="s">
        <v>80</v>
      </c>
      <c r="AZ7" s="200">
        <v>0.01</v>
      </c>
      <c r="BA7" t="s">
        <v>485</v>
      </c>
      <c r="BC7" t="e">
        <v>#REF!</v>
      </c>
    </row>
    <row r="8" spans="2:55">
      <c r="I8">
        <v>2045</v>
      </c>
      <c r="T8" t="s">
        <v>74</v>
      </c>
      <c r="U8" t="s">
        <v>75</v>
      </c>
      <c r="V8" t="s">
        <v>25</v>
      </c>
      <c r="W8" t="s">
        <v>14</v>
      </c>
      <c r="X8" s="26">
        <v>21169000</v>
      </c>
      <c r="Y8" s="26">
        <v>7559.2</v>
      </c>
      <c r="Z8" s="26">
        <v>2800.42861678485</v>
      </c>
      <c r="AA8" s="26">
        <f>X8+X13</f>
        <v>37764000</v>
      </c>
      <c r="AO8" t="s">
        <v>58</v>
      </c>
      <c r="AP8" t="s">
        <v>55</v>
      </c>
      <c r="AQ8" t="s">
        <v>11</v>
      </c>
      <c r="AR8" t="s">
        <v>17</v>
      </c>
      <c r="AS8">
        <v>18175800</v>
      </c>
      <c r="AT8">
        <v>2984.4095869118501</v>
      </c>
      <c r="AU8">
        <v>6090.2498369225596</v>
      </c>
      <c r="AY8" t="s">
        <v>65</v>
      </c>
      <c r="AZ8" s="200">
        <v>4.7E-2</v>
      </c>
      <c r="BA8" t="s">
        <v>488</v>
      </c>
      <c r="BC8" t="e">
        <v>#REF!</v>
      </c>
    </row>
    <row r="9" spans="2:55">
      <c r="I9">
        <v>2050</v>
      </c>
      <c r="T9" t="s">
        <v>76</v>
      </c>
      <c r="U9" t="s">
        <v>75</v>
      </c>
      <c r="V9" t="s">
        <v>25</v>
      </c>
      <c r="W9" t="s">
        <v>15</v>
      </c>
      <c r="X9" s="26">
        <v>987626.25370606501</v>
      </c>
      <c r="Y9" s="26">
        <v>1543.5</v>
      </c>
      <c r="Z9" s="26">
        <v>639.86151843606399</v>
      </c>
      <c r="AA9" s="26">
        <f>X9+X14</f>
        <v>18977158.879999965</v>
      </c>
      <c r="AO9" t="s">
        <v>67</v>
      </c>
      <c r="AP9" t="s">
        <v>65</v>
      </c>
      <c r="AQ9" t="s">
        <v>23</v>
      </c>
      <c r="AR9" t="s">
        <v>17</v>
      </c>
      <c r="AS9">
        <v>6185000</v>
      </c>
      <c r="AT9">
        <v>773.21817824699201</v>
      </c>
      <c r="AU9">
        <v>7999.0359435449</v>
      </c>
      <c r="AY9" t="s">
        <v>489</v>
      </c>
      <c r="AZ9" s="200">
        <v>8.5000000000000006E-2</v>
      </c>
      <c r="BA9" t="s">
        <v>482</v>
      </c>
      <c r="BC9" t="e">
        <v>#REF!</v>
      </c>
    </row>
    <row r="10" spans="2:55" ht="15">
      <c r="B10" t="s">
        <v>6</v>
      </c>
      <c r="C10" t="s">
        <v>130</v>
      </c>
      <c r="D10" t="s">
        <v>53</v>
      </c>
      <c r="E10" t="s">
        <v>8</v>
      </c>
      <c r="F10" t="s">
        <v>30</v>
      </c>
      <c r="G10" t="s">
        <v>5</v>
      </c>
      <c r="H10" s="126" t="s">
        <v>469</v>
      </c>
      <c r="O10" t="s">
        <v>501</v>
      </c>
      <c r="T10" t="s">
        <v>77</v>
      </c>
      <c r="U10" t="s">
        <v>75</v>
      </c>
      <c r="V10" t="s">
        <v>25</v>
      </c>
      <c r="W10" t="s">
        <v>16</v>
      </c>
      <c r="X10" s="26">
        <v>16337343.5789703</v>
      </c>
      <c r="Y10" s="26">
        <v>8214</v>
      </c>
      <c r="Z10" s="26">
        <v>1988.9631822461999</v>
      </c>
      <c r="AA10" s="26">
        <f>X10+X15</f>
        <v>58674000</v>
      </c>
      <c r="AO10" t="s">
        <v>68</v>
      </c>
      <c r="AP10" t="s">
        <v>70</v>
      </c>
      <c r="AQ10" t="s">
        <v>18</v>
      </c>
      <c r="AR10" t="s">
        <v>12</v>
      </c>
      <c r="AS10">
        <v>2733327.3221901301</v>
      </c>
      <c r="AT10">
        <v>1100</v>
      </c>
      <c r="AU10">
        <v>2484.8430201728402</v>
      </c>
      <c r="AY10" t="s">
        <v>70</v>
      </c>
      <c r="AZ10" s="200">
        <v>8.5000000000000006E-2</v>
      </c>
      <c r="BA10" t="s">
        <v>490</v>
      </c>
      <c r="BB10" t="s">
        <v>491</v>
      </c>
      <c r="BC10" t="e">
        <v>#REF!</v>
      </c>
    </row>
    <row r="11" spans="2:55">
      <c r="B11" t="str">
        <f>INDEX(H$2:H$9,H11)</f>
        <v>DE0</v>
      </c>
      <c r="C11">
        <f t="shared" ref="C11:D11" si="0">INDEX(I$2:I$9,I11)</f>
        <v>2015</v>
      </c>
      <c r="D11" t="str">
        <f t="shared" si="0"/>
        <v>NUC_ELC</v>
      </c>
      <c r="E11" s="155">
        <f>O11*(1-N11)</f>
        <v>92360843.101629689</v>
      </c>
      <c r="F11" t="s">
        <v>31</v>
      </c>
      <c r="G11" t="str">
        <f>INDEX(K$2:K$9,J11)</f>
        <v>nuclear_fuel</v>
      </c>
      <c r="H11">
        <v>1</v>
      </c>
      <c r="I11">
        <v>1</v>
      </c>
      <c r="J11">
        <v>1</v>
      </c>
      <c r="N11">
        <f t="shared" ref="N11:N34" si="1">INDEX($AJ$21:$AJ$249,MATCH(B11&amp;"."&amp;D11,$AH$21:$AH$249,0))</f>
        <v>4.7E-2</v>
      </c>
      <c r="O11" s="155">
        <f>INDEX($W$21:$AE$249,MATCH(B11&amp;"."&amp;D11,$AH$21:$AH$249,0),MATCH(C11,$W$20:$AE$20,0))</f>
        <v>96915889.928257808</v>
      </c>
      <c r="P11" s="155"/>
      <c r="T11" t="s">
        <v>78</v>
      </c>
      <c r="U11" t="s">
        <v>75</v>
      </c>
      <c r="V11" t="s">
        <v>25</v>
      </c>
      <c r="W11" t="s">
        <v>17</v>
      </c>
      <c r="X11" s="26">
        <v>24618600</v>
      </c>
      <c r="Y11" s="26">
        <v>13220.9</v>
      </c>
      <c r="Z11" s="26">
        <v>1862.09713408316</v>
      </c>
      <c r="AA11" s="26">
        <f>X11+X16</f>
        <v>45537400</v>
      </c>
      <c r="AO11" t="s">
        <v>69</v>
      </c>
      <c r="AP11" t="s">
        <v>70</v>
      </c>
      <c r="AQ11" t="s">
        <v>18</v>
      </c>
      <c r="AR11" t="s">
        <v>15</v>
      </c>
      <c r="AS11">
        <v>107964248.539</v>
      </c>
      <c r="AT11">
        <v>24612.6</v>
      </c>
      <c r="AU11">
        <v>4386.5438246670401</v>
      </c>
      <c r="AY11" t="s">
        <v>492</v>
      </c>
      <c r="AZ11" s="200">
        <v>0.01</v>
      </c>
      <c r="BA11" t="s">
        <v>485</v>
      </c>
      <c r="BC11" t="e">
        <v>#REF!</v>
      </c>
    </row>
    <row r="12" spans="2:55">
      <c r="B12" t="str">
        <f>INDEX(H$2:H$9,H12)</f>
        <v>FR0</v>
      </c>
      <c r="C12">
        <f t="shared" ref="C12" si="2">INDEX(I$2:I$9,I12)</f>
        <v>2015</v>
      </c>
      <c r="D12" t="str">
        <f t="shared" ref="D12" si="3">INDEX(J$2:J$9,J12)</f>
        <v>NUC_ELC</v>
      </c>
      <c r="E12" s="155">
        <f t="shared" ref="E12:E75" si="4">O12*(1-N12)</f>
        <v>423454524.12489945</v>
      </c>
      <c r="F12" t="s">
        <v>31</v>
      </c>
      <c r="G12" t="str">
        <f t="shared" ref="G12:G34" si="5">INDEX(K$2:K$9,J12)</f>
        <v>nuclear_fuel</v>
      </c>
      <c r="H12">
        <f>IF(H11=$H$1,1,H11+1)</f>
        <v>2</v>
      </c>
      <c r="I12">
        <f>IF(H12=1,IF(I11=$I$1,1,I11+1),I11)</f>
        <v>1</v>
      </c>
      <c r="J12">
        <f>IF(AND(I12=1,I11&gt;1),IF(J11=$J$1,1,J11+1),J11)</f>
        <v>1</v>
      </c>
      <c r="N12">
        <f t="shared" si="1"/>
        <v>4.7E-2</v>
      </c>
      <c r="O12" s="155">
        <f t="shared" ref="O12:O75" si="6">INDEX($W$21:$AE$249,MATCH(B12&amp;"."&amp;D12,$AH$21:$AH$249,0),MATCH(C12,$W$20:$AE$20,0))</f>
        <v>444338430.35141599</v>
      </c>
      <c r="T12" t="s">
        <v>79</v>
      </c>
      <c r="U12" t="s">
        <v>80</v>
      </c>
      <c r="V12" t="s">
        <v>26</v>
      </c>
      <c r="W12" t="s">
        <v>12</v>
      </c>
      <c r="X12" s="26">
        <v>26717190.677999999</v>
      </c>
      <c r="Y12" s="26">
        <v>5656</v>
      </c>
      <c r="Z12" s="26">
        <v>4723.6900067185297</v>
      </c>
      <c r="AO12" t="s">
        <v>71</v>
      </c>
      <c r="AP12" t="s">
        <v>70</v>
      </c>
      <c r="AQ12" t="s">
        <v>18</v>
      </c>
      <c r="AR12" t="s">
        <v>16</v>
      </c>
      <c r="AS12">
        <v>8600000</v>
      </c>
      <c r="AT12">
        <v>3007</v>
      </c>
      <c r="AU12">
        <v>2859.9933488526799</v>
      </c>
      <c r="AY12" t="s">
        <v>105</v>
      </c>
      <c r="AZ12" s="200">
        <v>0</v>
      </c>
      <c r="BA12" t="s">
        <v>484</v>
      </c>
      <c r="BC12" t="e">
        <v>#REF!</v>
      </c>
    </row>
    <row r="13" spans="2:55">
      <c r="B13" t="str">
        <f t="shared" ref="B13:B34" si="7">INDEX(H$2:H$9,H13)</f>
        <v>CH0</v>
      </c>
      <c r="C13">
        <f t="shared" ref="C13:C34" si="8">INDEX(I$2:I$9,I13)</f>
        <v>2015</v>
      </c>
      <c r="D13" t="str">
        <f t="shared" ref="D13:D34" si="9">INDEX(J$2:J$9,J13)</f>
        <v>NUC_ELC</v>
      </c>
      <c r="E13" s="155">
        <f t="shared" si="4"/>
        <v>23424740</v>
      </c>
      <c r="F13" t="s">
        <v>31</v>
      </c>
      <c r="G13" t="str">
        <f t="shared" si="5"/>
        <v>nuclear_fuel</v>
      </c>
      <c r="H13">
        <f t="shared" ref="H13:H34" si="10">IF(H12=$H$1,1,H12+1)</f>
        <v>3</v>
      </c>
      <c r="I13">
        <f t="shared" ref="I13:I34" si="11">IF(H13=1,IF(I12=$I$1,1,I12+1),I12)</f>
        <v>1</v>
      </c>
      <c r="J13">
        <f t="shared" ref="J13:J34" si="12">IF(AND(I13=1,I12&gt;1),IF(J12=$J$1,1,J12+1),J12)</f>
        <v>1</v>
      </c>
      <c r="N13">
        <f t="shared" si="1"/>
        <v>4.7E-2</v>
      </c>
      <c r="O13" s="155">
        <f t="shared" si="6"/>
        <v>24580000</v>
      </c>
      <c r="T13" t="s">
        <v>81</v>
      </c>
      <c r="U13" t="s">
        <v>80</v>
      </c>
      <c r="V13" t="s">
        <v>26</v>
      </c>
      <c r="W13" t="s">
        <v>14</v>
      </c>
      <c r="X13" s="26">
        <v>16595000</v>
      </c>
      <c r="Y13" s="26">
        <v>4157.78</v>
      </c>
      <c r="Z13" s="26">
        <v>3991.31267166613</v>
      </c>
      <c r="AO13" t="s">
        <v>72</v>
      </c>
      <c r="AP13" t="s">
        <v>70</v>
      </c>
      <c r="AQ13" t="s">
        <v>18</v>
      </c>
      <c r="AR13" t="s">
        <v>17</v>
      </c>
      <c r="AS13">
        <v>39315500</v>
      </c>
      <c r="AT13">
        <v>8700.2000000000007</v>
      </c>
      <c r="AU13">
        <v>4518.9191053079203</v>
      </c>
      <c r="AY13" t="s">
        <v>91</v>
      </c>
      <c r="AZ13" s="200">
        <v>8.5000000000000006E-2</v>
      </c>
      <c r="BA13" t="s">
        <v>482</v>
      </c>
      <c r="BC13" t="e">
        <v>#REF!</v>
      </c>
    </row>
    <row r="14" spans="2:55">
      <c r="B14" t="str">
        <f t="shared" si="7"/>
        <v>DE0</v>
      </c>
      <c r="C14">
        <f t="shared" si="8"/>
        <v>2020</v>
      </c>
      <c r="D14" t="str">
        <f t="shared" si="9"/>
        <v>NUC_ELC</v>
      </c>
      <c r="E14" s="155">
        <f t="shared" si="4"/>
        <v>32849068.858940128</v>
      </c>
      <c r="F14" t="s">
        <v>31</v>
      </c>
      <c r="G14" t="str">
        <f t="shared" si="5"/>
        <v>nuclear_fuel</v>
      </c>
      <c r="H14">
        <f t="shared" si="10"/>
        <v>1</v>
      </c>
      <c r="I14">
        <f t="shared" si="11"/>
        <v>2</v>
      </c>
      <c r="J14">
        <f t="shared" si="12"/>
        <v>1</v>
      </c>
      <c r="N14">
        <f t="shared" si="1"/>
        <v>4.7E-2</v>
      </c>
      <c r="O14" s="155">
        <f t="shared" si="6"/>
        <v>34469117.375592999</v>
      </c>
      <c r="T14" t="s">
        <v>82</v>
      </c>
      <c r="U14" t="s">
        <v>80</v>
      </c>
      <c r="V14" t="s">
        <v>26</v>
      </c>
      <c r="W14" t="s">
        <v>15</v>
      </c>
      <c r="X14" s="26">
        <v>17989532.626293901</v>
      </c>
      <c r="Y14" s="26">
        <v>3842.2</v>
      </c>
      <c r="Z14" s="26">
        <v>4682.0916730763502</v>
      </c>
      <c r="AQ14" t="s">
        <v>19</v>
      </c>
      <c r="AR14" t="s">
        <v>12</v>
      </c>
      <c r="AS14">
        <v>0</v>
      </c>
      <c r="AY14" t="s">
        <v>115</v>
      </c>
      <c r="AZ14" s="200">
        <v>0.01</v>
      </c>
      <c r="BA14" t="s">
        <v>485</v>
      </c>
      <c r="BC14" t="e">
        <v>#REF!</v>
      </c>
    </row>
    <row r="15" spans="2:55">
      <c r="B15" t="str">
        <f t="shared" si="7"/>
        <v>FR0</v>
      </c>
      <c r="C15">
        <f t="shared" si="8"/>
        <v>2020</v>
      </c>
      <c r="D15" t="str">
        <f t="shared" si="9"/>
        <v>NUC_ELC</v>
      </c>
      <c r="E15" s="155">
        <f t="shared" si="4"/>
        <v>377547216.87339461</v>
      </c>
      <c r="F15" t="s">
        <v>31</v>
      </c>
      <c r="G15" t="str">
        <f t="shared" si="5"/>
        <v>nuclear_fuel</v>
      </c>
      <c r="H15">
        <f t="shared" si="10"/>
        <v>2</v>
      </c>
      <c r="I15">
        <f t="shared" si="11"/>
        <v>2</v>
      </c>
      <c r="J15">
        <f t="shared" si="12"/>
        <v>1</v>
      </c>
      <c r="N15">
        <f t="shared" si="1"/>
        <v>4.7E-2</v>
      </c>
      <c r="O15" s="155">
        <f t="shared" si="6"/>
        <v>396167069.12213498</v>
      </c>
      <c r="T15" t="s">
        <v>83</v>
      </c>
      <c r="U15" t="s">
        <v>80</v>
      </c>
      <c r="V15" t="s">
        <v>26</v>
      </c>
      <c r="W15" t="s">
        <v>16</v>
      </c>
      <c r="X15" s="26">
        <v>42336656.421029702</v>
      </c>
      <c r="Y15" s="26">
        <v>10322.333333</v>
      </c>
      <c r="Z15" s="26">
        <v>4101.4618551099702</v>
      </c>
      <c r="AO15" t="s">
        <v>92</v>
      </c>
      <c r="AP15" t="s">
        <v>91</v>
      </c>
      <c r="AQ15" t="s">
        <v>19</v>
      </c>
      <c r="AR15" t="s">
        <v>15</v>
      </c>
      <c r="AS15">
        <v>143496528.32800001</v>
      </c>
      <c r="AT15">
        <v>20679</v>
      </c>
      <c r="AU15">
        <v>6939.2392440640297</v>
      </c>
      <c r="AY15" t="s">
        <v>100</v>
      </c>
      <c r="AZ15" s="200">
        <v>8.5000000000000006E-2</v>
      </c>
      <c r="BA15" t="s">
        <v>482</v>
      </c>
      <c r="BC15" t="e">
        <v>#REF!</v>
      </c>
    </row>
    <row r="16" spans="2:55">
      <c r="B16" t="str">
        <f t="shared" si="7"/>
        <v>CH0</v>
      </c>
      <c r="C16">
        <f t="shared" si="8"/>
        <v>2020</v>
      </c>
      <c r="D16" t="str">
        <f t="shared" si="9"/>
        <v>NUC_ELC</v>
      </c>
      <c r="E16" s="155">
        <f t="shared" si="4"/>
        <v>20661040</v>
      </c>
      <c r="F16" t="s">
        <v>31</v>
      </c>
      <c r="G16" t="str">
        <f t="shared" si="5"/>
        <v>nuclear_fuel</v>
      </c>
      <c r="H16">
        <f t="shared" si="10"/>
        <v>3</v>
      </c>
      <c r="I16">
        <f t="shared" si="11"/>
        <v>2</v>
      </c>
      <c r="J16">
        <f t="shared" si="12"/>
        <v>1</v>
      </c>
      <c r="N16">
        <f t="shared" si="1"/>
        <v>4.7E-2</v>
      </c>
      <c r="O16" s="155">
        <f t="shared" si="6"/>
        <v>21680000</v>
      </c>
      <c r="T16" t="s">
        <v>84</v>
      </c>
      <c r="U16" t="s">
        <v>80</v>
      </c>
      <c r="V16" t="s">
        <v>26</v>
      </c>
      <c r="W16" t="s">
        <v>17</v>
      </c>
      <c r="X16" s="26">
        <v>20918800</v>
      </c>
      <c r="Y16" s="26">
        <v>5203.3</v>
      </c>
      <c r="Z16" s="26">
        <v>4020.2948129071901</v>
      </c>
      <c r="AQ16" t="s">
        <v>19</v>
      </c>
      <c r="AR16" t="s">
        <v>17</v>
      </c>
      <c r="AS16">
        <v>0</v>
      </c>
      <c r="AY16" t="s">
        <v>493</v>
      </c>
      <c r="AZ16" s="200">
        <v>8.5000000000000006E-2</v>
      </c>
      <c r="BA16" t="s">
        <v>482</v>
      </c>
      <c r="BC16" t="e">
        <v>#REF!</v>
      </c>
    </row>
    <row r="17" spans="2:55">
      <c r="B17" t="str">
        <f t="shared" si="7"/>
        <v>DE0</v>
      </c>
      <c r="C17">
        <f t="shared" si="8"/>
        <v>2025</v>
      </c>
      <c r="D17" t="str">
        <f t="shared" si="9"/>
        <v>NUC_ELC</v>
      </c>
      <c r="E17" s="155">
        <f t="shared" si="4"/>
        <v>0</v>
      </c>
      <c r="F17" t="s">
        <v>31</v>
      </c>
      <c r="G17" t="str">
        <f t="shared" si="5"/>
        <v>nuclear_fuel</v>
      </c>
      <c r="H17">
        <f t="shared" si="10"/>
        <v>1</v>
      </c>
      <c r="I17">
        <f t="shared" si="11"/>
        <v>3</v>
      </c>
      <c r="J17">
        <f t="shared" si="12"/>
        <v>1</v>
      </c>
      <c r="N17">
        <f t="shared" si="1"/>
        <v>4.7E-2</v>
      </c>
      <c r="O17" s="155">
        <f t="shared" si="6"/>
        <v>0</v>
      </c>
      <c r="AO17" t="s">
        <v>97</v>
      </c>
      <c r="AP17" t="s">
        <v>100</v>
      </c>
      <c r="AQ17" t="s">
        <v>20</v>
      </c>
      <c r="AR17" t="s">
        <v>12</v>
      </c>
      <c r="AS17">
        <v>832452.63103857404</v>
      </c>
      <c r="AT17">
        <v>174</v>
      </c>
      <c r="AU17">
        <v>4784.2105232102003</v>
      </c>
      <c r="AY17" t="s">
        <v>120</v>
      </c>
      <c r="AZ17" s="200">
        <v>0.01</v>
      </c>
      <c r="BA17" t="s">
        <v>485</v>
      </c>
      <c r="BC17" t="e">
        <v>#REF!</v>
      </c>
    </row>
    <row r="18" spans="2:55">
      <c r="B18" t="str">
        <f t="shared" si="7"/>
        <v>FR0</v>
      </c>
      <c r="C18">
        <f t="shared" si="8"/>
        <v>2025</v>
      </c>
      <c r="D18" t="str">
        <f t="shared" si="9"/>
        <v>NUC_ELC</v>
      </c>
      <c r="E18" s="155">
        <f t="shared" si="4"/>
        <v>367091902.00370854</v>
      </c>
      <c r="F18" t="s">
        <v>31</v>
      </c>
      <c r="G18" t="str">
        <f t="shared" si="5"/>
        <v>nuclear_fuel</v>
      </c>
      <c r="H18">
        <f t="shared" si="10"/>
        <v>2</v>
      </c>
      <c r="I18">
        <f t="shared" si="11"/>
        <v>3</v>
      </c>
      <c r="J18">
        <f t="shared" si="12"/>
        <v>1</v>
      </c>
      <c r="N18">
        <f t="shared" si="1"/>
        <v>4.7E-2</v>
      </c>
      <c r="O18" s="155">
        <f t="shared" si="6"/>
        <v>385196119.62613702</v>
      </c>
      <c r="AO18" t="s">
        <v>98</v>
      </c>
      <c r="AP18" t="s">
        <v>100</v>
      </c>
      <c r="AQ18" t="s">
        <v>20</v>
      </c>
      <c r="AR18" t="s">
        <v>14</v>
      </c>
      <c r="AS18">
        <v>32397.443837237799</v>
      </c>
      <c r="AT18">
        <v>75</v>
      </c>
      <c r="AU18">
        <v>431.96591782983802</v>
      </c>
      <c r="AY18" t="s">
        <v>494</v>
      </c>
      <c r="AZ18" s="200">
        <v>0.01</v>
      </c>
      <c r="BA18" t="s">
        <v>485</v>
      </c>
      <c r="BC18" t="e">
        <v>#REF!</v>
      </c>
    </row>
    <row r="19" spans="2:55">
      <c r="B19" t="str">
        <f t="shared" si="7"/>
        <v>CH0</v>
      </c>
      <c r="C19">
        <f t="shared" si="8"/>
        <v>2025</v>
      </c>
      <c r="D19" t="str">
        <f t="shared" si="9"/>
        <v>NUC_ELC</v>
      </c>
      <c r="E19" s="155">
        <f t="shared" si="4"/>
        <v>15228940</v>
      </c>
      <c r="F19" t="s">
        <v>31</v>
      </c>
      <c r="G19" t="str">
        <f t="shared" si="5"/>
        <v>nuclear_fuel</v>
      </c>
      <c r="H19">
        <f t="shared" si="10"/>
        <v>3</v>
      </c>
      <c r="I19">
        <f t="shared" si="11"/>
        <v>3</v>
      </c>
      <c r="J19">
        <f t="shared" si="12"/>
        <v>1</v>
      </c>
      <c r="N19">
        <f t="shared" si="1"/>
        <v>4.7E-2</v>
      </c>
      <c r="O19" s="155">
        <f t="shared" si="6"/>
        <v>15980000</v>
      </c>
      <c r="AO19" t="s">
        <v>99</v>
      </c>
      <c r="AP19" t="s">
        <v>100</v>
      </c>
      <c r="AQ19" t="s">
        <v>20</v>
      </c>
      <c r="AR19" t="s">
        <v>15</v>
      </c>
      <c r="AS19">
        <v>6208011</v>
      </c>
      <c r="AT19">
        <v>4200</v>
      </c>
      <c r="AU19">
        <v>1478.09785714286</v>
      </c>
      <c r="AY19" t="s">
        <v>495</v>
      </c>
      <c r="AZ19" s="200">
        <v>0.01</v>
      </c>
      <c r="BA19" t="s">
        <v>496</v>
      </c>
      <c r="BC19" t="e">
        <v>#REF!</v>
      </c>
    </row>
    <row r="20" spans="2:55">
      <c r="B20" t="str">
        <f t="shared" si="7"/>
        <v>DE0</v>
      </c>
      <c r="C20">
        <f t="shared" si="8"/>
        <v>2030</v>
      </c>
      <c r="D20" t="str">
        <f t="shared" si="9"/>
        <v>NUC_ELC</v>
      </c>
      <c r="E20" s="155">
        <f t="shared" si="4"/>
        <v>0</v>
      </c>
      <c r="F20" t="s">
        <v>31</v>
      </c>
      <c r="G20" t="str">
        <f t="shared" si="5"/>
        <v>nuclear_fuel</v>
      </c>
      <c r="H20">
        <f t="shared" si="10"/>
        <v>1</v>
      </c>
      <c r="I20">
        <f t="shared" si="11"/>
        <v>4</v>
      </c>
      <c r="J20">
        <f t="shared" si="12"/>
        <v>1</v>
      </c>
      <c r="N20">
        <f t="shared" si="1"/>
        <v>4.7E-2</v>
      </c>
      <c r="O20" s="155">
        <f t="shared" si="6"/>
        <v>0</v>
      </c>
      <c r="V20" t="s">
        <v>398</v>
      </c>
      <c r="W20" t="s">
        <v>126</v>
      </c>
      <c r="X20">
        <v>2015</v>
      </c>
      <c r="Y20">
        <v>2020</v>
      </c>
      <c r="Z20">
        <v>2025</v>
      </c>
      <c r="AA20">
        <v>2030</v>
      </c>
      <c r="AB20">
        <v>2035</v>
      </c>
      <c r="AC20">
        <v>2040</v>
      </c>
      <c r="AD20">
        <v>2045</v>
      </c>
      <c r="AE20">
        <v>2050</v>
      </c>
      <c r="AO20" t="s">
        <v>101</v>
      </c>
      <c r="AP20" t="s">
        <v>100</v>
      </c>
      <c r="AQ20" t="s">
        <v>20</v>
      </c>
      <c r="AR20" t="s">
        <v>16</v>
      </c>
      <c r="AS20">
        <v>3800000</v>
      </c>
      <c r="AT20">
        <v>8496.5</v>
      </c>
      <c r="AU20">
        <v>447.24298240451998</v>
      </c>
      <c r="AY20" t="s">
        <v>497</v>
      </c>
      <c r="AZ20" s="200">
        <v>0.01</v>
      </c>
    </row>
    <row r="21" spans="2:55" ht="15">
      <c r="B21" t="str">
        <f t="shared" si="7"/>
        <v>FR0</v>
      </c>
      <c r="C21">
        <f t="shared" si="8"/>
        <v>2030</v>
      </c>
      <c r="D21" t="str">
        <f t="shared" si="9"/>
        <v>NUC_ELC</v>
      </c>
      <c r="E21" s="155">
        <f t="shared" si="4"/>
        <v>366963824.62442666</v>
      </c>
      <c r="F21" t="s">
        <v>31</v>
      </c>
      <c r="G21" t="str">
        <f t="shared" si="5"/>
        <v>nuclear_fuel</v>
      </c>
      <c r="H21">
        <f t="shared" si="10"/>
        <v>2</v>
      </c>
      <c r="I21">
        <f t="shared" si="11"/>
        <v>4</v>
      </c>
      <c r="J21">
        <f t="shared" si="12"/>
        <v>1</v>
      </c>
      <c r="N21">
        <f t="shared" si="1"/>
        <v>4.7E-2</v>
      </c>
      <c r="O21" s="155">
        <f t="shared" si="6"/>
        <v>385061725.73392099</v>
      </c>
      <c r="R21" t="s">
        <v>14</v>
      </c>
      <c r="S21" t="s">
        <v>145</v>
      </c>
      <c r="W21" s="132">
        <f>INDEX($AA$7:$AA$11,MATCH(R21,$W$7:$W$11,0))/1000000</f>
        <v>37.764000000000003</v>
      </c>
      <c r="X21" s="132">
        <v>39</v>
      </c>
      <c r="Y21" s="132">
        <v>41.96</v>
      </c>
      <c r="Z21" s="132">
        <v>42.35</v>
      </c>
      <c r="AA21" s="132">
        <v>42.67</v>
      </c>
      <c r="AB21" s="132">
        <v>43.02</v>
      </c>
      <c r="AC21" s="132">
        <v>43.44</v>
      </c>
      <c r="AD21" s="132">
        <v>43.82</v>
      </c>
      <c r="AE21" s="132">
        <v>44.15</v>
      </c>
      <c r="AF21" s="126" t="s">
        <v>399</v>
      </c>
      <c r="AH21" t="str">
        <f>R21&amp;"."&amp;S21</f>
        <v>CH0.HYD_TOT</v>
      </c>
      <c r="AJ21">
        <f>INDEX($AZ$2:$AZ$41,MATCH($S21,$AY$2:$AY$41,0))</f>
        <v>0.01</v>
      </c>
      <c r="AO21" t="s">
        <v>102</v>
      </c>
      <c r="AP21" t="s">
        <v>100</v>
      </c>
      <c r="AQ21" t="s">
        <v>20</v>
      </c>
      <c r="AR21" t="s">
        <v>17</v>
      </c>
      <c r="AS21">
        <v>12721100</v>
      </c>
      <c r="AT21">
        <v>3197.9</v>
      </c>
      <c r="AU21">
        <v>3977.9542824978898</v>
      </c>
      <c r="AY21" t="s">
        <v>85</v>
      </c>
      <c r="AZ21" s="200">
        <v>0.01</v>
      </c>
    </row>
    <row r="22" spans="2:55">
      <c r="B22" t="str">
        <f t="shared" si="7"/>
        <v>CH0</v>
      </c>
      <c r="C22">
        <f t="shared" si="8"/>
        <v>2030</v>
      </c>
      <c r="D22" t="str">
        <f t="shared" si="9"/>
        <v>NUC_ELC</v>
      </c>
      <c r="E22" s="155">
        <f t="shared" si="4"/>
        <v>8395930</v>
      </c>
      <c r="F22" t="s">
        <v>31</v>
      </c>
      <c r="G22" t="str">
        <f t="shared" si="5"/>
        <v>nuclear_fuel</v>
      </c>
      <c r="H22">
        <f t="shared" si="10"/>
        <v>3</v>
      </c>
      <c r="I22">
        <f t="shared" si="11"/>
        <v>4</v>
      </c>
      <c r="J22">
        <f t="shared" si="12"/>
        <v>1</v>
      </c>
      <c r="N22">
        <f t="shared" si="1"/>
        <v>4.7E-2</v>
      </c>
      <c r="O22" s="155">
        <f t="shared" si="6"/>
        <v>8810000</v>
      </c>
      <c r="R22" t="s">
        <v>15</v>
      </c>
      <c r="S22" t="s">
        <v>145</v>
      </c>
      <c r="W22" s="27">
        <f>INDEX($AA$7:$AA$11,MATCH(R22,$W$7:$W$11,0))/1000000</f>
        <v>18.977158879999966</v>
      </c>
      <c r="X22" s="27">
        <f t="shared" ref="X22:AE25" si="13">SUMIFS(X$256:X$302,$S$256:$S$302,$R22,$R$256:$R$302,$S22)/1000</f>
        <v>22.380600073404903</v>
      </c>
      <c r="Y22" s="27">
        <f t="shared" si="13"/>
        <v>22.504708338409401</v>
      </c>
      <c r="Z22" s="27">
        <f t="shared" si="13"/>
        <v>23.007947075712103</v>
      </c>
      <c r="AA22" s="27">
        <f t="shared" si="13"/>
        <v>23.819686404963701</v>
      </c>
      <c r="AB22" s="27">
        <f t="shared" si="13"/>
        <v>25.7460799150508</v>
      </c>
      <c r="AC22" s="27">
        <f t="shared" si="13"/>
        <v>27.375095532500399</v>
      </c>
      <c r="AD22" s="27">
        <f t="shared" si="13"/>
        <v>29.371569897385601</v>
      </c>
      <c r="AE22" s="27">
        <f t="shared" si="13"/>
        <v>30.665145320735999</v>
      </c>
      <c r="AH22" t="str">
        <f>R22&amp;"."&amp;S22</f>
        <v>DE0.HYD_TOT</v>
      </c>
      <c r="AJ22">
        <f t="shared" ref="AJ22:AJ25" si="14">INDEX($AZ$2:$AZ$41,MATCH($S22,$AY$2:$AY$41,0))</f>
        <v>0.01</v>
      </c>
      <c r="AO22" t="s">
        <v>59</v>
      </c>
      <c r="AP22" t="s">
        <v>60</v>
      </c>
      <c r="AQ22" t="s">
        <v>21</v>
      </c>
      <c r="AR22" t="s">
        <v>12</v>
      </c>
      <c r="AS22">
        <v>9547025.7580425404</v>
      </c>
      <c r="AT22">
        <v>3996.3</v>
      </c>
      <c r="AU22">
        <v>2388.9662332764101</v>
      </c>
      <c r="AY22" t="s">
        <v>498</v>
      </c>
      <c r="AZ22" s="200">
        <v>0.01</v>
      </c>
    </row>
    <row r="23" spans="2:55">
      <c r="B23" t="str">
        <f t="shared" si="7"/>
        <v>DE0</v>
      </c>
      <c r="C23">
        <f t="shared" si="8"/>
        <v>2035</v>
      </c>
      <c r="D23" t="str">
        <f t="shared" si="9"/>
        <v>NUC_ELC</v>
      </c>
      <c r="E23" s="155">
        <f t="shared" si="4"/>
        <v>0</v>
      </c>
      <c r="F23" t="s">
        <v>31</v>
      </c>
      <c r="G23" t="str">
        <f t="shared" si="5"/>
        <v>nuclear_fuel</v>
      </c>
      <c r="H23">
        <f t="shared" si="10"/>
        <v>1</v>
      </c>
      <c r="I23">
        <f t="shared" si="11"/>
        <v>5</v>
      </c>
      <c r="J23">
        <f t="shared" si="12"/>
        <v>1</v>
      </c>
      <c r="N23">
        <f t="shared" si="1"/>
        <v>4.7E-2</v>
      </c>
      <c r="O23" s="155">
        <f t="shared" si="6"/>
        <v>0</v>
      </c>
      <c r="R23" t="s">
        <v>17</v>
      </c>
      <c r="S23" t="s">
        <v>145</v>
      </c>
      <c r="W23" s="27">
        <f>INDEX($AA$7:$AA$11,MATCH(R23,$W$7:$W$11,0))/1000000</f>
        <v>45.537399999999998</v>
      </c>
      <c r="X23" s="27">
        <f t="shared" si="13"/>
        <v>48.123105233164495</v>
      </c>
      <c r="Y23" s="27">
        <f t="shared" si="13"/>
        <v>47.548769618448297</v>
      </c>
      <c r="Z23" s="27">
        <f t="shared" si="13"/>
        <v>48.993792404213799</v>
      </c>
      <c r="AA23" s="27">
        <f t="shared" si="13"/>
        <v>49.748858858106402</v>
      </c>
      <c r="AB23" s="27">
        <f t="shared" si="13"/>
        <v>51.342444923292895</v>
      </c>
      <c r="AC23" s="27">
        <f t="shared" si="13"/>
        <v>52.626040243142597</v>
      </c>
      <c r="AD23" s="27">
        <f t="shared" si="13"/>
        <v>53.324274451986504</v>
      </c>
      <c r="AE23" s="27">
        <f t="shared" si="13"/>
        <v>53.875383565522498</v>
      </c>
      <c r="AH23" t="str">
        <f>R23&amp;"."&amp;S23</f>
        <v>IT0.HYD_TOT</v>
      </c>
      <c r="AJ23">
        <f t="shared" si="14"/>
        <v>0.01</v>
      </c>
      <c r="AO23" t="s">
        <v>61</v>
      </c>
      <c r="AP23" t="s">
        <v>60</v>
      </c>
      <c r="AQ23" t="s">
        <v>21</v>
      </c>
      <c r="AR23" t="s">
        <v>14</v>
      </c>
      <c r="AS23">
        <v>597103.01553705905</v>
      </c>
      <c r="AT23">
        <v>310.85000000000002</v>
      </c>
      <c r="AU23">
        <v>1920.8718531029699</v>
      </c>
      <c r="AY23" t="s">
        <v>499</v>
      </c>
      <c r="AZ23" s="200">
        <v>4.7E-2</v>
      </c>
    </row>
    <row r="24" spans="2:55">
      <c r="B24" t="str">
        <f t="shared" si="7"/>
        <v>FR0</v>
      </c>
      <c r="C24">
        <f t="shared" si="8"/>
        <v>2035</v>
      </c>
      <c r="D24" t="str">
        <f t="shared" si="9"/>
        <v>NUC_ELC</v>
      </c>
      <c r="E24" s="155">
        <f t="shared" si="4"/>
        <v>361131045.87692714</v>
      </c>
      <c r="F24" t="s">
        <v>31</v>
      </c>
      <c r="G24" t="str">
        <f t="shared" si="5"/>
        <v>nuclear_fuel</v>
      </c>
      <c r="H24">
        <f t="shared" si="10"/>
        <v>2</v>
      </c>
      <c r="I24">
        <f t="shared" si="11"/>
        <v>5</v>
      </c>
      <c r="J24">
        <f t="shared" si="12"/>
        <v>1</v>
      </c>
      <c r="N24">
        <f t="shared" si="1"/>
        <v>4.7E-2</v>
      </c>
      <c r="O24" s="155">
        <f t="shared" si="6"/>
        <v>378941286.334656</v>
      </c>
      <c r="R24" t="s">
        <v>16</v>
      </c>
      <c r="S24" t="s">
        <v>145</v>
      </c>
      <c r="W24" s="27">
        <f>INDEX($AA$7:$AA$11,MATCH(R24,$W$7:$W$11,0))/1000000</f>
        <v>58.673999999999999</v>
      </c>
      <c r="X24" s="27">
        <f t="shared" si="13"/>
        <v>63.6726132307545</v>
      </c>
      <c r="Y24" s="27">
        <f t="shared" si="13"/>
        <v>66.8992790718805</v>
      </c>
      <c r="Z24" s="27">
        <f t="shared" si="13"/>
        <v>64.123060081086308</v>
      </c>
      <c r="AA24" s="27">
        <f t="shared" si="13"/>
        <v>64.139308437833705</v>
      </c>
      <c r="AB24" s="27">
        <f t="shared" si="13"/>
        <v>65.5177126837537</v>
      </c>
      <c r="AC24" s="27">
        <f t="shared" si="13"/>
        <v>69.504476385689813</v>
      </c>
      <c r="AD24" s="27">
        <f t="shared" si="13"/>
        <v>73.566375158286107</v>
      </c>
      <c r="AE24" s="27">
        <f t="shared" si="13"/>
        <v>77.814514212059706</v>
      </c>
      <c r="AH24" t="str">
        <f>R24&amp;"."&amp;S24</f>
        <v>FR0.HYD_TOT</v>
      </c>
      <c r="AJ24">
        <f t="shared" si="14"/>
        <v>0.01</v>
      </c>
      <c r="AO24" t="s">
        <v>62</v>
      </c>
      <c r="AP24" t="s">
        <v>60</v>
      </c>
      <c r="AQ24" t="s">
        <v>21</v>
      </c>
      <c r="AR24" t="s">
        <v>15</v>
      </c>
      <c r="AS24">
        <v>59924643.071999997</v>
      </c>
      <c r="AT24">
        <v>24038.880000000001</v>
      </c>
      <c r="AU24">
        <v>2492.8217567540601</v>
      </c>
      <c r="AY24" t="s">
        <v>145</v>
      </c>
      <c r="AZ24" s="145">
        <f>AZ4</f>
        <v>0.01</v>
      </c>
    </row>
    <row r="25" spans="2:55">
      <c r="B25" t="str">
        <f t="shared" si="7"/>
        <v>CH0</v>
      </c>
      <c r="C25">
        <f t="shared" si="8"/>
        <v>2035</v>
      </c>
      <c r="D25" t="str">
        <f t="shared" si="9"/>
        <v>NUC_ELC</v>
      </c>
      <c r="E25" s="155">
        <f t="shared" si="4"/>
        <v>0</v>
      </c>
      <c r="F25" t="s">
        <v>31</v>
      </c>
      <c r="G25" t="str">
        <f t="shared" si="5"/>
        <v>nuclear_fuel</v>
      </c>
      <c r="H25">
        <f t="shared" si="10"/>
        <v>3</v>
      </c>
      <c r="I25">
        <f t="shared" si="11"/>
        <v>5</v>
      </c>
      <c r="J25">
        <f t="shared" si="12"/>
        <v>1</v>
      </c>
      <c r="N25">
        <f t="shared" si="1"/>
        <v>4.7E-2</v>
      </c>
      <c r="O25" s="155">
        <f t="shared" si="6"/>
        <v>0</v>
      </c>
      <c r="R25" t="s">
        <v>12</v>
      </c>
      <c r="S25" t="s">
        <v>145</v>
      </c>
      <c r="W25" s="27">
        <f>INDEX($AA$7:$AA$11,MATCH(R25,$W$7:$W$11,0))/1000000</f>
        <v>36.06733212392561</v>
      </c>
      <c r="X25" s="27">
        <f t="shared" si="13"/>
        <v>41.009203623529899</v>
      </c>
      <c r="Y25" s="27">
        <f t="shared" si="13"/>
        <v>43.215718268567102</v>
      </c>
      <c r="Z25" s="27">
        <f t="shared" si="13"/>
        <v>44.5334317535645</v>
      </c>
      <c r="AA25" s="27">
        <f t="shared" si="13"/>
        <v>44.552608736309303</v>
      </c>
      <c r="AB25" s="27">
        <f t="shared" si="13"/>
        <v>44.951017724301394</v>
      </c>
      <c r="AC25" s="27">
        <f t="shared" si="13"/>
        <v>45.094919404553998</v>
      </c>
      <c r="AD25" s="27">
        <f t="shared" si="13"/>
        <v>45.104727320443494</v>
      </c>
      <c r="AE25" s="27">
        <f t="shared" si="13"/>
        <v>45.775892729917494</v>
      </c>
      <c r="AH25" t="str">
        <f>R25&amp;"."&amp;S25</f>
        <v>AT0.HYD_TOT</v>
      </c>
      <c r="AJ25">
        <f t="shared" si="14"/>
        <v>0.01</v>
      </c>
      <c r="AO25" t="s">
        <v>63</v>
      </c>
      <c r="AP25" t="s">
        <v>60</v>
      </c>
      <c r="AQ25" t="s">
        <v>21</v>
      </c>
      <c r="AR25" t="s">
        <v>16</v>
      </c>
      <c r="AS25">
        <v>21900000</v>
      </c>
      <c r="AT25">
        <v>10236</v>
      </c>
      <c r="AU25">
        <v>2139.50762016413</v>
      </c>
      <c r="AY25" t="s">
        <v>55</v>
      </c>
      <c r="AZ25" s="145">
        <f>AZ6</f>
        <v>8.5000000000000006E-2</v>
      </c>
    </row>
    <row r="26" spans="2:55">
      <c r="B26" t="str">
        <f t="shared" si="7"/>
        <v>DE0</v>
      </c>
      <c r="C26">
        <f t="shared" si="8"/>
        <v>2040</v>
      </c>
      <c r="D26" t="str">
        <f t="shared" si="9"/>
        <v>NUC_ELC</v>
      </c>
      <c r="E26" s="155">
        <f t="shared" si="4"/>
        <v>0</v>
      </c>
      <c r="F26" t="s">
        <v>31</v>
      </c>
      <c r="G26" t="str">
        <f t="shared" si="5"/>
        <v>nuclear_fuel</v>
      </c>
      <c r="H26">
        <f t="shared" si="10"/>
        <v>1</v>
      </c>
      <c r="I26">
        <f t="shared" si="11"/>
        <v>6</v>
      </c>
      <c r="J26">
        <f t="shared" si="12"/>
        <v>1</v>
      </c>
      <c r="N26">
        <f t="shared" si="1"/>
        <v>4.7E-2</v>
      </c>
      <c r="O26" s="155">
        <f t="shared" si="6"/>
        <v>0</v>
      </c>
      <c r="R26" t="s">
        <v>400</v>
      </c>
      <c r="AO26" t="s">
        <v>64</v>
      </c>
      <c r="AP26" t="s">
        <v>60</v>
      </c>
      <c r="AQ26" t="s">
        <v>21</v>
      </c>
      <c r="AR26" t="s">
        <v>17</v>
      </c>
      <c r="AS26">
        <v>110230100</v>
      </c>
      <c r="AT26">
        <v>43923.990978955298</v>
      </c>
      <c r="AU26">
        <v>2509.5647627469298</v>
      </c>
      <c r="AY26" t="s">
        <v>110</v>
      </c>
      <c r="AZ26" s="145">
        <f>AZ25</f>
        <v>8.5000000000000006E-2</v>
      </c>
    </row>
    <row r="27" spans="2:55">
      <c r="B27" t="str">
        <f t="shared" si="7"/>
        <v>FR0</v>
      </c>
      <c r="C27">
        <f t="shared" si="8"/>
        <v>2040</v>
      </c>
      <c r="D27" t="str">
        <f t="shared" si="9"/>
        <v>NUC_ELC</v>
      </c>
      <c r="E27" s="155">
        <f t="shared" si="4"/>
        <v>285197035.19693631</v>
      </c>
      <c r="F27" t="s">
        <v>31</v>
      </c>
      <c r="G27" t="str">
        <f t="shared" si="5"/>
        <v>nuclear_fuel</v>
      </c>
      <c r="H27">
        <f t="shared" si="10"/>
        <v>2</v>
      </c>
      <c r="I27">
        <f t="shared" si="11"/>
        <v>6</v>
      </c>
      <c r="J27">
        <f t="shared" si="12"/>
        <v>1</v>
      </c>
      <c r="N27">
        <f t="shared" si="1"/>
        <v>4.7E-2</v>
      </c>
      <c r="O27" s="155">
        <f t="shared" si="6"/>
        <v>299262366.41861105</v>
      </c>
      <c r="R27" t="s">
        <v>14</v>
      </c>
      <c r="S27" t="s">
        <v>80</v>
      </c>
      <c r="V27" s="26">
        <f t="shared" ref="V27:V36" si="15">SUMIFS($Z$2:$Z$16,$U$2:$U$16,$S27,$W$2:$W$16,$R27)</f>
        <v>3991.31267166613</v>
      </c>
      <c r="W27" s="155">
        <f t="shared" ref="W27:AE27" si="16">$V27*W38</f>
        <v>16595000</v>
      </c>
      <c r="X27" s="155">
        <f t="shared" si="16"/>
        <v>16762990.450170962</v>
      </c>
      <c r="Y27" s="26">
        <f t="shared" si="16"/>
        <v>21291153.714628428</v>
      </c>
      <c r="Z27" s="26">
        <f t="shared" si="16"/>
        <v>21479809.507036526</v>
      </c>
      <c r="AA27" s="26">
        <f t="shared" si="16"/>
        <v>21587612.816984005</v>
      </c>
      <c r="AB27" s="26">
        <f t="shared" si="16"/>
        <v>21776437.052063897</v>
      </c>
      <c r="AC27" s="26">
        <f t="shared" si="16"/>
        <v>21964924.401800204</v>
      </c>
      <c r="AD27" s="26">
        <f t="shared" si="16"/>
        <v>22261383.5041558</v>
      </c>
      <c r="AE27" s="26">
        <f t="shared" si="16"/>
        <v>22557842.606511388</v>
      </c>
      <c r="AF27" s="26">
        <f>AE27+AE32</f>
        <v>44150000</v>
      </c>
      <c r="AH27" t="str">
        <f t="shared" ref="AH27:AH49" si="17">R27&amp;"."&amp;S27</f>
        <v>CH0.HYD_ROR</v>
      </c>
      <c r="AJ27">
        <f>INDEX($AZ$2:$AZ$41,MATCH($S27,$AY$2:$AY$41,0))</f>
        <v>0.01</v>
      </c>
      <c r="AQ27" t="s">
        <v>22</v>
      </c>
      <c r="AR27" t="s">
        <v>12</v>
      </c>
      <c r="AS27">
        <v>0</v>
      </c>
      <c r="AY27" t="s">
        <v>465</v>
      </c>
      <c r="AZ27" s="145">
        <f>AZ13</f>
        <v>8.5000000000000006E-2</v>
      </c>
    </row>
    <row r="28" spans="2:55">
      <c r="B28" t="str">
        <f t="shared" si="7"/>
        <v>CH0</v>
      </c>
      <c r="C28">
        <f t="shared" si="8"/>
        <v>2040</v>
      </c>
      <c r="D28" t="str">
        <f t="shared" si="9"/>
        <v>NUC_ELC</v>
      </c>
      <c r="E28" s="155">
        <f t="shared" si="4"/>
        <v>0</v>
      </c>
      <c r="F28" t="s">
        <v>31</v>
      </c>
      <c r="G28" t="str">
        <f t="shared" si="5"/>
        <v>nuclear_fuel</v>
      </c>
      <c r="H28">
        <f t="shared" si="10"/>
        <v>3</v>
      </c>
      <c r="I28">
        <f t="shared" si="11"/>
        <v>6</v>
      </c>
      <c r="J28">
        <f t="shared" si="12"/>
        <v>1</v>
      </c>
      <c r="N28">
        <f t="shared" si="1"/>
        <v>4.7E-2</v>
      </c>
      <c r="O28" s="155">
        <f t="shared" si="6"/>
        <v>0</v>
      </c>
      <c r="R28" t="s">
        <v>15</v>
      </c>
      <c r="S28" t="s">
        <v>80</v>
      </c>
      <c r="V28" s="26">
        <f t="shared" si="15"/>
        <v>4682.0916730763502</v>
      </c>
      <c r="W28" s="155">
        <f t="shared" ref="W28:AE28" si="18">$V28*W39</f>
        <v>17989532.626293954</v>
      </c>
      <c r="X28" s="155">
        <f t="shared" si="18"/>
        <v>18671943.73637284</v>
      </c>
      <c r="Y28" s="26">
        <f t="shared" si="18"/>
        <v>18677278.676829949</v>
      </c>
      <c r="Z28" s="26">
        <f t="shared" si="18"/>
        <v>19032788.262912951</v>
      </c>
      <c r="AA28" s="26">
        <f t="shared" si="18"/>
        <v>19565349.212234162</v>
      </c>
      <c r="AB28" s="26">
        <f t="shared" si="18"/>
        <v>20831970.689864844</v>
      </c>
      <c r="AC28" s="26">
        <f t="shared" si="18"/>
        <v>21903784.314733155</v>
      </c>
      <c r="AD28" s="26">
        <f t="shared" si="18"/>
        <v>23217120.414827593</v>
      </c>
      <c r="AE28" s="26">
        <f t="shared" si="18"/>
        <v>23949757.939577933</v>
      </c>
      <c r="AF28" s="26">
        <f>AE28+AE33</f>
        <v>30665145.320735998</v>
      </c>
      <c r="AH28" t="str">
        <f t="shared" si="17"/>
        <v>DE0.HYD_ROR</v>
      </c>
      <c r="AJ28">
        <f t="shared" ref="AJ28:AJ75" si="19">INDEX($AZ$2:$AZ$41,MATCH($S28,$AY$2:$AY$41,0))</f>
        <v>0.01</v>
      </c>
      <c r="AO28" t="s">
        <v>93</v>
      </c>
      <c r="AP28" t="s">
        <v>95</v>
      </c>
      <c r="AQ28" t="s">
        <v>22</v>
      </c>
      <c r="AR28" t="s">
        <v>14</v>
      </c>
      <c r="AS28">
        <v>22095000</v>
      </c>
      <c r="AT28">
        <v>3333</v>
      </c>
      <c r="AU28">
        <v>6629.1629162916297</v>
      </c>
      <c r="AY28" s="150" t="s">
        <v>468</v>
      </c>
      <c r="AZ28" s="145">
        <f>AZ11</f>
        <v>0.01</v>
      </c>
    </row>
    <row r="29" spans="2:55">
      <c r="B29" t="str">
        <f t="shared" si="7"/>
        <v>DE0</v>
      </c>
      <c r="C29">
        <f t="shared" si="8"/>
        <v>2045</v>
      </c>
      <c r="D29" t="str">
        <f t="shared" si="9"/>
        <v>NUC_ELC</v>
      </c>
      <c r="E29" s="155">
        <f t="shared" si="4"/>
        <v>0</v>
      </c>
      <c r="F29" t="s">
        <v>31</v>
      </c>
      <c r="G29" t="str">
        <f t="shared" si="5"/>
        <v>nuclear_fuel</v>
      </c>
      <c r="H29">
        <f t="shared" si="10"/>
        <v>1</v>
      </c>
      <c r="I29">
        <f t="shared" si="11"/>
        <v>7</v>
      </c>
      <c r="J29">
        <f t="shared" si="12"/>
        <v>1</v>
      </c>
      <c r="N29">
        <f t="shared" si="1"/>
        <v>4.7E-2</v>
      </c>
      <c r="O29" s="155">
        <f t="shared" si="6"/>
        <v>0</v>
      </c>
      <c r="R29" t="s">
        <v>17</v>
      </c>
      <c r="S29" t="s">
        <v>80</v>
      </c>
      <c r="V29" s="26">
        <f t="shared" si="15"/>
        <v>4020.2948129071901</v>
      </c>
      <c r="W29" s="155">
        <f t="shared" ref="W29:AE29" si="20">$V29*W40</f>
        <v>20918799.999999981</v>
      </c>
      <c r="X29" s="155">
        <f t="shared" si="20"/>
        <v>21018487.945202492</v>
      </c>
      <c r="Y29" s="26">
        <f t="shared" si="20"/>
        <v>21354898.214743346</v>
      </c>
      <c r="Z29" s="26">
        <f t="shared" si="20"/>
        <v>21354898.214743346</v>
      </c>
      <c r="AA29" s="26">
        <f t="shared" si="20"/>
        <v>21503081.233450789</v>
      </c>
      <c r="AB29" s="26">
        <f t="shared" si="20"/>
        <v>21804945.390183911</v>
      </c>
      <c r="AC29" s="26">
        <f t="shared" si="20"/>
        <v>22047135.850394614</v>
      </c>
      <c r="AD29" s="26">
        <f t="shared" si="20"/>
        <v>22167669.098395992</v>
      </c>
      <c r="AE29" s="26">
        <f t="shared" si="20"/>
        <v>22240088.057700165</v>
      </c>
      <c r="AF29" s="26">
        <f>AE29+AE34</f>
        <v>53875383.565522499</v>
      </c>
      <c r="AH29" t="str">
        <f t="shared" si="17"/>
        <v>IT0.HYD_ROR</v>
      </c>
      <c r="AJ29">
        <f t="shared" si="19"/>
        <v>0.01</v>
      </c>
      <c r="AO29" t="s">
        <v>94</v>
      </c>
      <c r="AP29" t="s">
        <v>95</v>
      </c>
      <c r="AQ29" t="s">
        <v>22</v>
      </c>
      <c r="AR29" t="s">
        <v>15</v>
      </c>
      <c r="AS29">
        <v>86738063.894999996</v>
      </c>
      <c r="AT29">
        <v>10800</v>
      </c>
      <c r="AU29">
        <v>8031.3022124999998</v>
      </c>
      <c r="AY29" s="150" t="s">
        <v>60</v>
      </c>
      <c r="AZ29" s="145">
        <f>AZ28</f>
        <v>0.01</v>
      </c>
    </row>
    <row r="30" spans="2:55">
      <c r="B30" t="str">
        <f t="shared" si="7"/>
        <v>FR0</v>
      </c>
      <c r="C30">
        <f t="shared" si="8"/>
        <v>2045</v>
      </c>
      <c r="D30" t="str">
        <f t="shared" si="9"/>
        <v>NUC_ELC</v>
      </c>
      <c r="E30" s="155">
        <f t="shared" si="4"/>
        <v>270121017.99136853</v>
      </c>
      <c r="F30" t="s">
        <v>31</v>
      </c>
      <c r="G30" t="str">
        <f t="shared" si="5"/>
        <v>nuclear_fuel</v>
      </c>
      <c r="H30">
        <f t="shared" si="10"/>
        <v>2</v>
      </c>
      <c r="I30">
        <f t="shared" si="11"/>
        <v>7</v>
      </c>
      <c r="J30">
        <f t="shared" si="12"/>
        <v>1</v>
      </c>
      <c r="N30">
        <f t="shared" si="1"/>
        <v>4.7E-2</v>
      </c>
      <c r="O30" s="155">
        <f t="shared" si="6"/>
        <v>283442831.05075401</v>
      </c>
      <c r="R30" t="s">
        <v>16</v>
      </c>
      <c r="S30" t="s">
        <v>80</v>
      </c>
      <c r="V30" s="26">
        <f t="shared" si="15"/>
        <v>4101.4618551099702</v>
      </c>
      <c r="W30" s="155">
        <f t="shared" ref="W30:AE30" si="21">$V30*W41</f>
        <v>42336656.421029665</v>
      </c>
      <c r="X30" s="155">
        <f t="shared" si="21"/>
        <v>42577451.259158142</v>
      </c>
      <c r="Y30" s="26">
        <f t="shared" si="21"/>
        <v>42577491.052334122</v>
      </c>
      <c r="Z30" s="26">
        <f t="shared" si="21"/>
        <v>42577491.052334122</v>
      </c>
      <c r="AA30" s="26">
        <f t="shared" si="21"/>
        <v>42577491.052334122</v>
      </c>
      <c r="AB30" s="26">
        <f t="shared" si="21"/>
        <v>43139586.267795131</v>
      </c>
      <c r="AC30" s="26">
        <f t="shared" si="21"/>
        <v>44640840.544954285</v>
      </c>
      <c r="AD30" s="26">
        <f t="shared" si="21"/>
        <v>46229191.896815486</v>
      </c>
      <c r="AE30" s="26">
        <f t="shared" si="21"/>
        <v>47845401.460985623</v>
      </c>
      <c r="AF30" s="26">
        <f>AE30+AE35</f>
        <v>77814514.212059706</v>
      </c>
      <c r="AH30" t="str">
        <f t="shared" si="17"/>
        <v>FR0.HYD_ROR</v>
      </c>
      <c r="AJ30">
        <f t="shared" si="19"/>
        <v>0.01</v>
      </c>
      <c r="AO30" t="s">
        <v>96</v>
      </c>
      <c r="AP30" t="s">
        <v>95</v>
      </c>
      <c r="AQ30" t="s">
        <v>22</v>
      </c>
      <c r="AR30" t="s">
        <v>16</v>
      </c>
      <c r="AS30">
        <v>416795000</v>
      </c>
      <c r="AT30">
        <v>63130</v>
      </c>
      <c r="AU30">
        <v>6602.1701251386003</v>
      </c>
      <c r="AY30" s="150" t="s">
        <v>441</v>
      </c>
      <c r="AZ30" s="145">
        <f>AZ29</f>
        <v>0.01</v>
      </c>
    </row>
    <row r="31" spans="2:55">
      <c r="B31" t="str">
        <f t="shared" si="7"/>
        <v>CH0</v>
      </c>
      <c r="C31">
        <f t="shared" si="8"/>
        <v>2045</v>
      </c>
      <c r="D31" t="str">
        <f t="shared" si="9"/>
        <v>NUC_ELC</v>
      </c>
      <c r="E31" s="155">
        <f t="shared" si="4"/>
        <v>0</v>
      </c>
      <c r="F31" t="s">
        <v>31</v>
      </c>
      <c r="G31" t="str">
        <f t="shared" si="5"/>
        <v>nuclear_fuel</v>
      </c>
      <c r="H31">
        <f t="shared" si="10"/>
        <v>3</v>
      </c>
      <c r="I31">
        <f t="shared" si="11"/>
        <v>7</v>
      </c>
      <c r="J31">
        <f t="shared" si="12"/>
        <v>1</v>
      </c>
      <c r="N31">
        <f t="shared" si="1"/>
        <v>4.7E-2</v>
      </c>
      <c r="O31" s="155">
        <f t="shared" si="6"/>
        <v>0</v>
      </c>
      <c r="R31" t="s">
        <v>12</v>
      </c>
      <c r="S31" t="s">
        <v>80</v>
      </c>
      <c r="V31" s="26">
        <f t="shared" si="15"/>
        <v>4723.6900067185297</v>
      </c>
      <c r="W31" s="155">
        <f t="shared" ref="W31:AE31" si="22">$V31*W42</f>
        <v>26717190.678000003</v>
      </c>
      <c r="X31" s="155">
        <f t="shared" si="22"/>
        <v>25738467.303467073</v>
      </c>
      <c r="Y31" s="26">
        <f t="shared" si="22"/>
        <v>26916850.246404722</v>
      </c>
      <c r="Z31" s="26">
        <f t="shared" si="22"/>
        <v>26916850.246404722</v>
      </c>
      <c r="AA31" s="26">
        <f t="shared" si="22"/>
        <v>26925826.54678227</v>
      </c>
      <c r="AB31" s="26">
        <f t="shared" si="22"/>
        <v>27108740.738760296</v>
      </c>
      <c r="AC31" s="26">
        <f t="shared" si="22"/>
        <v>27171567.129662704</v>
      </c>
      <c r="AD31" s="26">
        <f t="shared" si="22"/>
        <v>27171567.129662704</v>
      </c>
      <c r="AE31" s="26">
        <f t="shared" si="22"/>
        <v>27487373.949106738</v>
      </c>
      <c r="AF31" s="26">
        <f>AE31+AE36</f>
        <v>45775892.729917496</v>
      </c>
      <c r="AH31" t="str">
        <f t="shared" si="17"/>
        <v>AT0.HYD_ROR</v>
      </c>
      <c r="AJ31">
        <f t="shared" si="19"/>
        <v>0.01</v>
      </c>
      <c r="AQ31" t="s">
        <v>22</v>
      </c>
      <c r="AR31" t="s">
        <v>17</v>
      </c>
      <c r="AS31">
        <v>0</v>
      </c>
      <c r="AY31" s="150" t="s">
        <v>460</v>
      </c>
      <c r="AZ31" s="145">
        <f>AZ30</f>
        <v>0.01</v>
      </c>
    </row>
    <row r="32" spans="2:55">
      <c r="B32" t="str">
        <f t="shared" si="7"/>
        <v>DE0</v>
      </c>
      <c r="C32">
        <f t="shared" si="8"/>
        <v>2050</v>
      </c>
      <c r="D32" t="str">
        <f t="shared" si="9"/>
        <v>NUC_ELC</v>
      </c>
      <c r="E32" s="155">
        <f t="shared" si="4"/>
        <v>0</v>
      </c>
      <c r="F32" t="s">
        <v>31</v>
      </c>
      <c r="G32" t="str">
        <f t="shared" si="5"/>
        <v>nuclear_fuel</v>
      </c>
      <c r="H32">
        <f t="shared" si="10"/>
        <v>1</v>
      </c>
      <c r="I32">
        <f t="shared" si="11"/>
        <v>8</v>
      </c>
      <c r="J32">
        <f t="shared" si="12"/>
        <v>1</v>
      </c>
      <c r="N32">
        <f t="shared" si="1"/>
        <v>4.7E-2</v>
      </c>
      <c r="O32" s="155">
        <f t="shared" si="6"/>
        <v>0</v>
      </c>
      <c r="R32" t="s">
        <v>14</v>
      </c>
      <c r="S32" t="s">
        <v>75</v>
      </c>
      <c r="V32" s="26">
        <f t="shared" si="15"/>
        <v>2800.42861678485</v>
      </c>
      <c r="W32" s="155">
        <f t="shared" ref="W32:AB32" si="23">W21*1000000-W27</f>
        <v>21169000</v>
      </c>
      <c r="X32" s="155">
        <f t="shared" si="23"/>
        <v>22237009.549829036</v>
      </c>
      <c r="Y32" s="26">
        <f t="shared" si="23"/>
        <v>20668846.285371572</v>
      </c>
      <c r="Z32" s="26">
        <f t="shared" si="23"/>
        <v>20870190.492963474</v>
      </c>
      <c r="AA32" s="26">
        <f t="shared" si="23"/>
        <v>21082387.183015995</v>
      </c>
      <c r="AB32" s="26">
        <f t="shared" si="23"/>
        <v>21243562.947936103</v>
      </c>
      <c r="AC32" s="26">
        <f t="shared" ref="AC32:AE35" si="24">AC21*1000000-AC27</f>
        <v>21475075.598199796</v>
      </c>
      <c r="AD32" s="26">
        <f t="shared" si="24"/>
        <v>21558616.4958442</v>
      </c>
      <c r="AE32" s="26">
        <f t="shared" si="24"/>
        <v>21592157.393488612</v>
      </c>
      <c r="AH32" t="str">
        <f t="shared" si="17"/>
        <v>CH0.HYD_RES</v>
      </c>
      <c r="AJ32">
        <f>INDEX($AZ$2:$AZ$41,MATCH($S32,$AY$2:$AY$41,0))</f>
        <v>0.01</v>
      </c>
      <c r="AO32" t="s">
        <v>103</v>
      </c>
      <c r="AP32" t="s">
        <v>105</v>
      </c>
      <c r="AQ32" t="s">
        <v>131</v>
      </c>
      <c r="AR32" t="s">
        <v>12</v>
      </c>
      <c r="AS32">
        <v>937098</v>
      </c>
      <c r="AT32">
        <v>931.56299999999999</v>
      </c>
      <c r="AU32">
        <v>1005.94162713633</v>
      </c>
    </row>
    <row r="33" spans="2:47">
      <c r="B33" t="str">
        <f t="shared" si="7"/>
        <v>FR0</v>
      </c>
      <c r="C33">
        <f t="shared" si="8"/>
        <v>2050</v>
      </c>
      <c r="D33" t="str">
        <f t="shared" si="9"/>
        <v>NUC_ELC</v>
      </c>
      <c r="E33" s="155">
        <f t="shared" si="4"/>
        <v>234500553.64601052</v>
      </c>
      <c r="F33" t="s">
        <v>31</v>
      </c>
      <c r="G33" t="str">
        <f t="shared" si="5"/>
        <v>nuclear_fuel</v>
      </c>
      <c r="H33">
        <f t="shared" si="10"/>
        <v>2</v>
      </c>
      <c r="I33">
        <f t="shared" si="11"/>
        <v>8</v>
      </c>
      <c r="J33">
        <f t="shared" si="12"/>
        <v>1</v>
      </c>
      <c r="N33">
        <f t="shared" si="1"/>
        <v>4.7E-2</v>
      </c>
      <c r="O33" s="155">
        <f t="shared" si="6"/>
        <v>246065638.66317999</v>
      </c>
      <c r="R33" t="s">
        <v>15</v>
      </c>
      <c r="S33" t="s">
        <v>75</v>
      </c>
      <c r="V33" s="26">
        <f t="shared" si="15"/>
        <v>639.86151843606399</v>
      </c>
      <c r="W33" s="155">
        <f t="shared" ref="W33:AB33" si="25">W22*1000000-W28</f>
        <v>987626.25370601192</v>
      </c>
      <c r="X33" s="155">
        <f t="shared" si="25"/>
        <v>3708656.3370320648</v>
      </c>
      <c r="Y33" s="26">
        <f t="shared" si="25"/>
        <v>3827429.6615794525</v>
      </c>
      <c r="Z33" s="26">
        <f t="shared" si="25"/>
        <v>3975158.812799152</v>
      </c>
      <c r="AA33" s="26">
        <f t="shared" si="25"/>
        <v>4254337.1927295402</v>
      </c>
      <c r="AB33" s="26">
        <f t="shared" si="25"/>
        <v>4914109.2251859568</v>
      </c>
      <c r="AC33" s="26">
        <f t="shared" si="24"/>
        <v>5471311.2177672461</v>
      </c>
      <c r="AD33" s="26">
        <f t="shared" si="24"/>
        <v>6154449.4825580083</v>
      </c>
      <c r="AE33" s="26">
        <f t="shared" si="24"/>
        <v>6715387.3811580651</v>
      </c>
      <c r="AH33" t="str">
        <f t="shared" si="17"/>
        <v>DE0.HYD_RES</v>
      </c>
      <c r="AJ33">
        <f t="shared" si="19"/>
        <v>0.01</v>
      </c>
      <c r="AO33" t="s">
        <v>104</v>
      </c>
      <c r="AP33" t="s">
        <v>105</v>
      </c>
      <c r="AQ33" t="s">
        <v>131</v>
      </c>
      <c r="AR33" t="s">
        <v>14</v>
      </c>
      <c r="AS33">
        <v>1118550</v>
      </c>
      <c r="AT33">
        <v>1390.1</v>
      </c>
      <c r="AU33">
        <v>804.65434141428705</v>
      </c>
    </row>
    <row r="34" spans="2:47">
      <c r="B34" t="str">
        <f t="shared" si="7"/>
        <v>CH0</v>
      </c>
      <c r="C34">
        <f t="shared" si="8"/>
        <v>2050</v>
      </c>
      <c r="D34" t="str">
        <f t="shared" si="9"/>
        <v>NUC_ELC</v>
      </c>
      <c r="E34" s="155">
        <f t="shared" si="4"/>
        <v>0</v>
      </c>
      <c r="F34" t="s">
        <v>31</v>
      </c>
      <c r="G34" t="str">
        <f t="shared" si="5"/>
        <v>nuclear_fuel</v>
      </c>
      <c r="H34">
        <f t="shared" si="10"/>
        <v>3</v>
      </c>
      <c r="I34">
        <f t="shared" si="11"/>
        <v>8</v>
      </c>
      <c r="J34">
        <f t="shared" si="12"/>
        <v>1</v>
      </c>
      <c r="N34">
        <f t="shared" si="1"/>
        <v>4.7E-2</v>
      </c>
      <c r="O34" s="155">
        <f t="shared" si="6"/>
        <v>0</v>
      </c>
      <c r="R34" t="s">
        <v>17</v>
      </c>
      <c r="S34" t="s">
        <v>75</v>
      </c>
      <c r="V34" s="26">
        <f t="shared" si="15"/>
        <v>1862.09713408316</v>
      </c>
      <c r="W34" s="155">
        <f t="shared" ref="W34:AB34" si="26">W23*1000000-W29</f>
        <v>24618600.000000019</v>
      </c>
      <c r="X34" s="155">
        <f t="shared" si="26"/>
        <v>27104617.287962005</v>
      </c>
      <c r="Y34" s="26">
        <f t="shared" si="26"/>
        <v>26193871.403704949</v>
      </c>
      <c r="Z34" s="26">
        <f t="shared" si="26"/>
        <v>27638894.189470455</v>
      </c>
      <c r="AA34" s="26">
        <f t="shared" si="26"/>
        <v>28245777.624655616</v>
      </c>
      <c r="AB34" s="26">
        <f t="shared" si="26"/>
        <v>29537499.533108987</v>
      </c>
      <c r="AC34" s="26">
        <f t="shared" si="24"/>
        <v>30578904.392747983</v>
      </c>
      <c r="AD34" s="26">
        <f t="shared" si="24"/>
        <v>31156605.353590515</v>
      </c>
      <c r="AE34" s="26">
        <f t="shared" si="24"/>
        <v>31635295.507822335</v>
      </c>
      <c r="AH34" t="str">
        <f t="shared" si="17"/>
        <v>IT0.HYD_RES</v>
      </c>
      <c r="AJ34">
        <f t="shared" si="19"/>
        <v>0.01</v>
      </c>
      <c r="AO34" t="s">
        <v>106</v>
      </c>
      <c r="AP34" t="s">
        <v>105</v>
      </c>
      <c r="AQ34" t="s">
        <v>131</v>
      </c>
      <c r="AR34" t="s">
        <v>15</v>
      </c>
      <c r="AS34">
        <v>38726000</v>
      </c>
      <c r="AT34">
        <v>39224</v>
      </c>
      <c r="AU34">
        <v>987.30369161737701</v>
      </c>
    </row>
    <row r="35" spans="2:47">
      <c r="E35" s="155"/>
      <c r="O35" s="155"/>
      <c r="R35" t="s">
        <v>16</v>
      </c>
      <c r="S35" t="s">
        <v>75</v>
      </c>
      <c r="V35" s="26">
        <f t="shared" si="15"/>
        <v>1988.9631822461999</v>
      </c>
      <c r="W35" s="155">
        <f t="shared" ref="W35:AB35" si="27">W24*1000000-W30</f>
        <v>16337343.578970335</v>
      </c>
      <c r="X35" s="155">
        <f t="shared" si="27"/>
        <v>21095161.97159636</v>
      </c>
      <c r="Y35" s="26">
        <f t="shared" si="27"/>
        <v>24321788.019546375</v>
      </c>
      <c r="Z35" s="26">
        <f t="shared" si="27"/>
        <v>21545569.028752185</v>
      </c>
      <c r="AA35" s="26">
        <f t="shared" si="27"/>
        <v>21561817.385499582</v>
      </c>
      <c r="AB35" s="26">
        <f t="shared" si="27"/>
        <v>22378126.415958568</v>
      </c>
      <c r="AC35" s="26">
        <f t="shared" si="24"/>
        <v>24863635.840735525</v>
      </c>
      <c r="AD35" s="26">
        <f t="shared" si="24"/>
        <v>27337183.261470623</v>
      </c>
      <c r="AE35" s="26">
        <f t="shared" si="24"/>
        <v>29969112.751074083</v>
      </c>
      <c r="AH35" t="str">
        <f t="shared" si="17"/>
        <v>FR0.HYD_RES</v>
      </c>
      <c r="AJ35">
        <f t="shared" si="19"/>
        <v>0.01</v>
      </c>
      <c r="AO35" t="s">
        <v>107</v>
      </c>
      <c r="AP35" t="s">
        <v>105</v>
      </c>
      <c r="AQ35" t="s">
        <v>131</v>
      </c>
      <c r="AR35" t="s">
        <v>16</v>
      </c>
      <c r="AS35">
        <v>7262000</v>
      </c>
      <c r="AT35">
        <v>6196.2</v>
      </c>
      <c r="AU35">
        <v>1172.00865046319</v>
      </c>
    </row>
    <row r="36" spans="2:47">
      <c r="E36" s="155"/>
      <c r="O36" s="155"/>
      <c r="R36" t="s">
        <v>12</v>
      </c>
      <c r="S36" t="s">
        <v>75</v>
      </c>
      <c r="V36" s="26">
        <f t="shared" si="15"/>
        <v>2341.9496959930302</v>
      </c>
      <c r="W36" s="155">
        <f t="shared" ref="W36:AE36" si="28">W25*1000000-W31</f>
        <v>9350141.4459256083</v>
      </c>
      <c r="X36" s="155">
        <f t="shared" si="28"/>
        <v>15270736.320062824</v>
      </c>
      <c r="Y36" s="26">
        <f t="shared" si="28"/>
        <v>16298868.022162378</v>
      </c>
      <c r="Z36" s="26">
        <f t="shared" si="28"/>
        <v>17616581.507159777</v>
      </c>
      <c r="AA36" s="26">
        <f t="shared" si="28"/>
        <v>17626782.189527035</v>
      </c>
      <c r="AB36" s="26">
        <f t="shared" si="28"/>
        <v>17842276.985541102</v>
      </c>
      <c r="AC36" s="26">
        <f t="shared" si="28"/>
        <v>17923352.274891298</v>
      </c>
      <c r="AD36" s="26">
        <f t="shared" si="28"/>
        <v>17933160.190780792</v>
      </c>
      <c r="AE36" s="26">
        <f t="shared" si="28"/>
        <v>18288518.780810758</v>
      </c>
      <c r="AH36" t="str">
        <f t="shared" si="17"/>
        <v>AT0.HYD_RES</v>
      </c>
      <c r="AJ36">
        <f t="shared" si="19"/>
        <v>0.01</v>
      </c>
      <c r="AO36" t="s">
        <v>108</v>
      </c>
      <c r="AP36" t="s">
        <v>105</v>
      </c>
      <c r="AQ36" t="s">
        <v>131</v>
      </c>
      <c r="AR36" t="s">
        <v>17</v>
      </c>
      <c r="AS36">
        <v>22942200</v>
      </c>
      <c r="AT36">
        <v>18900.79</v>
      </c>
      <c r="AU36">
        <v>1213.8222793862101</v>
      </c>
    </row>
    <row r="37" spans="2:47">
      <c r="E37" s="155"/>
      <c r="H37">
        <f>COUNTA(H38:H45)</f>
        <v>3</v>
      </c>
      <c r="I37">
        <f>COUNTA(I38:I45)</f>
        <v>8</v>
      </c>
      <c r="J37">
        <f>COUNTA(J38:J45)</f>
        <v>2</v>
      </c>
      <c r="K37">
        <f>PRODUCT(H37:J37)</f>
        <v>48</v>
      </c>
      <c r="O37" s="155"/>
      <c r="AH37" t="str">
        <f t="shared" si="17"/>
        <v>.</v>
      </c>
      <c r="AO37" t="s">
        <v>86</v>
      </c>
      <c r="AP37" t="s">
        <v>85</v>
      </c>
      <c r="AQ37" t="s">
        <v>132</v>
      </c>
      <c r="AR37" t="s">
        <v>12</v>
      </c>
      <c r="AS37">
        <v>3847637.8580743899</v>
      </c>
      <c r="AT37">
        <v>4000.53958894879</v>
      </c>
      <c r="AU37">
        <v>961.77972309116001</v>
      </c>
    </row>
    <row r="38" spans="2:47">
      <c r="E38" s="155"/>
      <c r="H38" t="s">
        <v>17</v>
      </c>
      <c r="I38">
        <v>2015</v>
      </c>
      <c r="J38" t="s">
        <v>468</v>
      </c>
      <c r="K38" t="s">
        <v>21</v>
      </c>
      <c r="O38" s="155"/>
      <c r="Q38" s="210" t="s">
        <v>401</v>
      </c>
      <c r="R38" t="s">
        <v>14</v>
      </c>
      <c r="S38" t="s">
        <v>80</v>
      </c>
      <c r="W38" s="26">
        <f>SUMIFS(ALL_CAPACITY!P$6:P$84,ALL_CAPACITY!$O$6:$O$84,$S38,ALL_CAPACITY!$M$6:$M$84,$R38)</f>
        <v>4157.78</v>
      </c>
      <c r="X38" s="26">
        <f>SUMIFS(ALL_CAPACITY!Q$6:Q$84,ALL_CAPACITY!$O$6:$O$84,$S38,ALL_CAPACITY!$M$6:$M$84,$R38)</f>
        <v>4199.8690228328906</v>
      </c>
      <c r="Y38" s="26">
        <f>SUMIFS(ALL_CAPACITY!R$6:R$84,ALL_CAPACITY!$O$6:$O$84,$S38,ALL_CAPACITY!$M$6:$M$84,$R38)</f>
        <v>5334.3737928055307</v>
      </c>
      <c r="Z38" s="26">
        <f>SUMIFS(ALL_CAPACITY!S$6:S$84,ALL_CAPACITY!$O$6:$O$84,$S38,ALL_CAPACITY!$M$6:$M$84,$R38)</f>
        <v>5381.6403960329208</v>
      </c>
      <c r="AA38" s="26">
        <f>SUMIFS(ALL_CAPACITY!T$6:T$84,ALL_CAPACITY!$O$6:$O$84,$S38,ALL_CAPACITY!$M$6:$M$84,$R38)</f>
        <v>5408.6498835914281</v>
      </c>
      <c r="AB38" s="26">
        <f>SUMIFS(ALL_CAPACITY!U$6:U$84,ALL_CAPACITY!$O$6:$O$84,$S38,ALL_CAPACITY!$M$6:$M$84,$R38)</f>
        <v>5455.958689143129</v>
      </c>
      <c r="AC38" s="26">
        <f>SUMIFS(ALL_CAPACITY!V$6:V$84,ALL_CAPACITY!$O$6:$O$84,$S38,ALL_CAPACITY!$M$6:$M$84,$R38)</f>
        <v>5503.1830900462091</v>
      </c>
      <c r="AD38" s="26">
        <f>SUMIFS(ALL_CAPACITY!W$6:W$84,ALL_CAPACITY!$O$6:$O$84,$S38,ALL_CAPACITY!$M$6:$M$84,$R38)</f>
        <v>5577.4591808321111</v>
      </c>
      <c r="AE38" s="26">
        <f>SUMIFS(ALL_CAPACITY!X$6:X$84,ALL_CAPACITY!$O$6:$O$84,$S38,ALL_CAPACITY!$M$6:$M$84,$R38)</f>
        <v>5651.7352716180121</v>
      </c>
      <c r="AH38" t="str">
        <f t="shared" si="17"/>
        <v>CH0.HYD_ROR</v>
      </c>
      <c r="AJ38">
        <f t="shared" si="19"/>
        <v>0.01</v>
      </c>
      <c r="AO38" t="s">
        <v>87</v>
      </c>
      <c r="AP38" t="s">
        <v>85</v>
      </c>
      <c r="AQ38" t="s">
        <v>132</v>
      </c>
      <c r="AR38" t="s">
        <v>14</v>
      </c>
      <c r="AS38">
        <v>1722000</v>
      </c>
      <c r="AT38">
        <v>1898.3</v>
      </c>
      <c r="AU38">
        <v>907.12742980561598</v>
      </c>
    </row>
    <row r="39" spans="2:47">
      <c r="E39" s="155"/>
      <c r="H39" t="s">
        <v>16</v>
      </c>
      <c r="I39">
        <v>2020</v>
      </c>
      <c r="J39" t="s">
        <v>70</v>
      </c>
      <c r="K39" t="s">
        <v>18</v>
      </c>
      <c r="O39" s="155"/>
      <c r="Q39" s="210"/>
      <c r="R39" t="s">
        <v>15</v>
      </c>
      <c r="S39" t="s">
        <v>80</v>
      </c>
      <c r="W39" s="26">
        <f>SUMIFS(ALL_CAPACITY!P$6:P$84,ALL_CAPACITY!$O$6:$O$84,$S39,ALL_CAPACITY!$M$6:$M$84,$R39)</f>
        <v>3842.2</v>
      </c>
      <c r="X39" s="26">
        <f>SUMIFS(ALL_CAPACITY!Q$6:Q$84,ALL_CAPACITY!$O$6:$O$84,$S39,ALL_CAPACITY!$M$6:$M$84,$R39)</f>
        <v>3987.949198804241</v>
      </c>
      <c r="Y39" s="26">
        <f>SUMIFS(ALL_CAPACITY!R$6:R$84,ALL_CAPACITY!$O$6:$O$84,$S39,ALL_CAPACITY!$M$6:$M$84,$R39)</f>
        <v>3989.0886340886436</v>
      </c>
      <c r="Z39" s="26">
        <f>SUMIFS(ALL_CAPACITY!S$6:S$84,ALL_CAPACITY!$O$6:$O$84,$S39,ALL_CAPACITY!$M$6:$M$84,$R39)</f>
        <v>4065.0182849597072</v>
      </c>
      <c r="AA39" s="26">
        <f>SUMIFS(ALL_CAPACITY!T$6:T$84,ALL_CAPACITY!$O$6:$O$84,$S39,ALL_CAPACITY!$M$6:$M$84,$R39)</f>
        <v>4178.7625229001178</v>
      </c>
      <c r="AB39" s="26">
        <f>SUMIFS(ALL_CAPACITY!U$6:U$84,ALL_CAPACITY!$O$6:$O$84,$S39,ALL_CAPACITY!$M$6:$M$84,$R39)</f>
        <v>4449.2872298199318</v>
      </c>
      <c r="AC39" s="26">
        <f>SUMIFS(ALL_CAPACITY!V$6:V$84,ALL_CAPACITY!$O$6:$O$84,$S39,ALL_CAPACITY!$M$6:$M$84,$R39)</f>
        <v>4678.204922959434</v>
      </c>
      <c r="AD39" s="26">
        <f>SUMIFS(ALL_CAPACITY!W$6:W$84,ALL_CAPACITY!$O$6:$O$84,$S39,ALL_CAPACITY!$M$6:$M$84,$R39)</f>
        <v>4958.7069275755712</v>
      </c>
      <c r="AE39" s="26">
        <f>SUMIFS(ALL_CAPACITY!X$6:X$84,ALL_CAPACITY!$O$6:$O$84,$S39,ALL_CAPACITY!$M$6:$M$84,$R39)</f>
        <v>5115.1834718011487</v>
      </c>
      <c r="AH39" t="str">
        <f t="shared" si="17"/>
        <v>DE0.HYD_ROR</v>
      </c>
      <c r="AJ39">
        <f t="shared" si="19"/>
        <v>0.01</v>
      </c>
      <c r="AO39" t="s">
        <v>88</v>
      </c>
      <c r="AP39" t="s">
        <v>85</v>
      </c>
      <c r="AQ39" t="s">
        <v>132</v>
      </c>
      <c r="AR39" t="s">
        <v>15</v>
      </c>
      <c r="AS39">
        <v>5921000</v>
      </c>
      <c r="AT39">
        <v>8149.2</v>
      </c>
      <c r="AU39">
        <v>726.57438766995494</v>
      </c>
    </row>
    <row r="40" spans="2:47">
      <c r="E40" s="155"/>
      <c r="H40" t="s">
        <v>12</v>
      </c>
      <c r="I40">
        <v>2025</v>
      </c>
      <c r="O40" s="155"/>
      <c r="Q40" s="210"/>
      <c r="R40" t="s">
        <v>17</v>
      </c>
      <c r="S40" t="s">
        <v>80</v>
      </c>
      <c r="W40" s="26">
        <f>SUMIFS(ALL_CAPACITY!P$6:P$84,ALL_CAPACITY!$O$6:$O$84,$S40,ALL_CAPACITY!$M$6:$M$84,$R40)</f>
        <v>5203.3</v>
      </c>
      <c r="X40" s="26">
        <f>SUMIFS(ALL_CAPACITY!Q$6:Q$84,ALL_CAPACITY!$O$6:$O$84,$S40,ALL_CAPACITY!$M$6:$M$84,$R40)</f>
        <v>5228.0961778530418</v>
      </c>
      <c r="Y40" s="26">
        <f>SUMIFS(ALL_CAPACITY!R$6:R$84,ALL_CAPACITY!$O$6:$O$84,$S40,ALL_CAPACITY!$M$6:$M$84,$R40)</f>
        <v>5311.7741878489278</v>
      </c>
      <c r="Z40" s="26">
        <f>SUMIFS(ALL_CAPACITY!S$6:S$84,ALL_CAPACITY!$O$6:$O$84,$S40,ALL_CAPACITY!$M$6:$M$84,$R40)</f>
        <v>5311.7741878489278</v>
      </c>
      <c r="AA40" s="26">
        <f>SUMIFS(ALL_CAPACITY!T$6:T$84,ALL_CAPACITY!$O$6:$O$84,$S40,ALL_CAPACITY!$M$6:$M$84,$R40)</f>
        <v>5348.6329321956609</v>
      </c>
      <c r="AB40" s="26">
        <f>SUMIFS(ALL_CAPACITY!U$6:U$84,ALL_CAPACITY!$O$6:$O$84,$S40,ALL_CAPACITY!$M$6:$M$84,$R40)</f>
        <v>5423.7180119674185</v>
      </c>
      <c r="AC40" s="26">
        <f>SUMIFS(ALL_CAPACITY!V$6:V$84,ALL_CAPACITY!$O$6:$O$84,$S40,ALL_CAPACITY!$M$6:$M$84,$R40)</f>
        <v>5483.9599771668736</v>
      </c>
      <c r="AD40" s="26">
        <f>SUMIFS(ALL_CAPACITY!W$6:W$84,ALL_CAPACITY!$O$6:$O$84,$S40,ALL_CAPACITY!$M$6:$M$84,$R40)</f>
        <v>5513.9411734747673</v>
      </c>
      <c r="AE40" s="26">
        <f>SUMIFS(ALL_CAPACITY!X$6:X$84,ALL_CAPACITY!$O$6:$O$84,$S40,ALL_CAPACITY!$M$6:$M$84,$R40)</f>
        <v>5531.9545189318396</v>
      </c>
      <c r="AH40" t="str">
        <f t="shared" si="17"/>
        <v>IT0.HYD_ROR</v>
      </c>
      <c r="AJ40">
        <f t="shared" si="19"/>
        <v>0.01</v>
      </c>
      <c r="AO40" t="s">
        <v>89</v>
      </c>
      <c r="AP40" t="s">
        <v>85</v>
      </c>
      <c r="AQ40" t="s">
        <v>132</v>
      </c>
      <c r="AR40" t="s">
        <v>16</v>
      </c>
      <c r="AS40">
        <v>4896000</v>
      </c>
      <c r="AT40">
        <v>4965</v>
      </c>
      <c r="AU40">
        <v>986.10271903323303</v>
      </c>
    </row>
    <row r="41" spans="2:47">
      <c r="E41" s="155"/>
      <c r="I41">
        <v>2030</v>
      </c>
      <c r="O41" s="155"/>
      <c r="Q41" s="210"/>
      <c r="R41" t="s">
        <v>16</v>
      </c>
      <c r="S41" t="s">
        <v>80</v>
      </c>
      <c r="W41" s="26">
        <f>SUMIFS(ALL_CAPACITY!P$6:P$84,ALL_CAPACITY!$O$6:$O$84,$S41,ALL_CAPACITY!$M$6:$M$84,$R41)</f>
        <v>10322.333333</v>
      </c>
      <c r="X41" s="26">
        <f>SUMIFS(ALL_CAPACITY!Q$6:Q$84,ALL_CAPACITY!$O$6:$O$84,$S41,ALL_CAPACITY!$M$6:$M$84,$R41)</f>
        <v>10381.042848444713</v>
      </c>
      <c r="Y41" s="26">
        <f>SUMIFS(ALL_CAPACITY!R$6:R$84,ALL_CAPACITY!$O$6:$O$84,$S41,ALL_CAPACITY!$M$6:$M$84,$R41)</f>
        <v>10381.052550638075</v>
      </c>
      <c r="Z41" s="26">
        <f>SUMIFS(ALL_CAPACITY!S$6:S$84,ALL_CAPACITY!$O$6:$O$84,$S41,ALL_CAPACITY!$M$6:$M$84,$R41)</f>
        <v>10381.052550638075</v>
      </c>
      <c r="AA41" s="26">
        <f>SUMIFS(ALL_CAPACITY!T$6:T$84,ALL_CAPACITY!$O$6:$O$84,$S41,ALL_CAPACITY!$M$6:$M$84,$R41)</f>
        <v>10381.052550638075</v>
      </c>
      <c r="AB41" s="26">
        <f>SUMIFS(ALL_CAPACITY!U$6:U$84,ALL_CAPACITY!$O$6:$O$84,$S41,ALL_CAPACITY!$M$6:$M$84,$R41)</f>
        <v>10518.100080352559</v>
      </c>
      <c r="AC41" s="26">
        <f>SUMIFS(ALL_CAPACITY!V$6:V$84,ALL_CAPACITY!$O$6:$O$84,$S41,ALL_CAPACITY!$M$6:$M$84,$R41)</f>
        <v>10884.129152471993</v>
      </c>
      <c r="AD41" s="26">
        <f>SUMIFS(ALL_CAPACITY!W$6:W$84,ALL_CAPACITY!$O$6:$O$84,$S41,ALL_CAPACITY!$M$6:$M$84,$R41)</f>
        <v>11271.393841983194</v>
      </c>
      <c r="AE41" s="26">
        <f>SUMIFS(ALL_CAPACITY!X$6:X$84,ALL_CAPACITY!$O$6:$O$84,$S41,ALL_CAPACITY!$M$6:$M$84,$R41)</f>
        <v>11665.450795641442</v>
      </c>
      <c r="AH41" t="str">
        <f t="shared" si="17"/>
        <v>FR0.HYD_ROR</v>
      </c>
      <c r="AJ41">
        <f t="shared" si="19"/>
        <v>0.01</v>
      </c>
      <c r="AO41" t="s">
        <v>90</v>
      </c>
      <c r="AP41" t="s">
        <v>85</v>
      </c>
      <c r="AQ41" t="s">
        <v>132</v>
      </c>
      <c r="AR41" t="s">
        <v>17</v>
      </c>
      <c r="AS41">
        <v>1432100</v>
      </c>
      <c r="AT41">
        <v>3795.9</v>
      </c>
      <c r="AU41">
        <v>377.27548144050201</v>
      </c>
    </row>
    <row r="42" spans="2:47">
      <c r="E42" s="155"/>
      <c r="I42">
        <v>2035</v>
      </c>
      <c r="O42" s="155"/>
      <c r="Q42" s="210"/>
      <c r="R42" t="s">
        <v>12</v>
      </c>
      <c r="S42" t="s">
        <v>80</v>
      </c>
      <c r="W42" s="26">
        <f>SUMIFS(ALL_CAPACITY!P$6:P$84,ALL_CAPACITY!$O$6:$O$84,$S42,ALL_CAPACITY!$M$6:$M$84,$R42)</f>
        <v>5656</v>
      </c>
      <c r="X42" s="26">
        <f>SUMIFS(ALL_CAPACITY!Q$6:Q$84,ALL_CAPACITY!$O$6:$O$84,$S42,ALL_CAPACITY!$M$6:$M$84,$R42)</f>
        <v>5448.8053337240826</v>
      </c>
      <c r="Y42" s="26">
        <f>SUMIFS(ALL_CAPACITY!R$6:R$84,ALL_CAPACITY!$O$6:$O$84,$S42,ALL_CAPACITY!$M$6:$M$84,$R42)</f>
        <v>5698.2677119202872</v>
      </c>
      <c r="Z42" s="26">
        <f>SUMIFS(ALL_CAPACITY!S$6:S$84,ALL_CAPACITY!$O$6:$O$84,$S42,ALL_CAPACITY!$M$6:$M$84,$R42)</f>
        <v>5698.2677119202872</v>
      </c>
      <c r="AA42" s="26">
        <f>SUMIFS(ALL_CAPACITY!T$6:T$84,ALL_CAPACITY!$O$6:$O$84,$S42,ALL_CAPACITY!$M$6:$M$84,$R42)</f>
        <v>5700.1679848773992</v>
      </c>
      <c r="AB42" s="26">
        <f>SUMIFS(ALL_CAPACITY!U$6:U$84,ALL_CAPACITY!$O$6:$O$84,$S42,ALL_CAPACITY!$M$6:$M$84,$R42)</f>
        <v>5738.8907189513684</v>
      </c>
      <c r="AC42" s="26">
        <f>SUMIFS(ALL_CAPACITY!V$6:V$84,ALL_CAPACITY!$O$6:$O$84,$S42,ALL_CAPACITY!$M$6:$M$84,$R42)</f>
        <v>5752.1909970841516</v>
      </c>
      <c r="AD42" s="26">
        <f>SUMIFS(ALL_CAPACITY!W$6:W$84,ALL_CAPACITY!$O$6:$O$84,$S42,ALL_CAPACITY!$M$6:$M$84,$R42)</f>
        <v>5752.1909970841516</v>
      </c>
      <c r="AE42" s="26">
        <f>SUMIFS(ALL_CAPACITY!X$6:X$84,ALL_CAPACITY!$O$6:$O$84,$S42,ALL_CAPACITY!$M$6:$M$84,$R42)</f>
        <v>5819.0469548194942</v>
      </c>
      <c r="AH42" t="str">
        <f t="shared" si="17"/>
        <v>AT0.HYD_ROR</v>
      </c>
      <c r="AJ42">
        <f t="shared" si="19"/>
        <v>0.01</v>
      </c>
      <c r="AO42" t="s">
        <v>73</v>
      </c>
      <c r="AP42" t="s">
        <v>75</v>
      </c>
      <c r="AQ42" t="s">
        <v>25</v>
      </c>
      <c r="AR42" t="s">
        <v>12</v>
      </c>
      <c r="AS42">
        <v>9350141.4459256101</v>
      </c>
      <c r="AT42">
        <v>3992.46041105121</v>
      </c>
      <c r="AU42">
        <v>2341.9496959930302</v>
      </c>
    </row>
    <row r="43" spans="2:47">
      <c r="E43" s="155"/>
      <c r="I43">
        <v>2040</v>
      </c>
      <c r="O43" s="155"/>
      <c r="Q43" s="210"/>
      <c r="R43" t="s">
        <v>14</v>
      </c>
      <c r="S43" t="s">
        <v>75</v>
      </c>
      <c r="W43" s="26">
        <f>SUMIFS(ALL_CAPACITY!P$6:P$84,ALL_CAPACITY!$O$6:$O$84,$S43,ALL_CAPACITY!$M$6:$M$84,$R43)</f>
        <v>7559.2</v>
      </c>
      <c r="X43" s="26">
        <f>SUMIFS(ALL_CAPACITY!Q$6:Q$84,ALL_CAPACITY!$O$6:$O$84,$S43,ALL_CAPACITY!$M$6:$M$84,$R43)</f>
        <v>7635.7214468775128</v>
      </c>
      <c r="Y43" s="26">
        <f>SUMIFS(ALL_CAPACITY!R$6:R$84,ALL_CAPACITY!$O$6:$O$84,$S43,ALL_CAPACITY!$M$6:$M$84,$R43)</f>
        <v>9698.3482470394229</v>
      </c>
      <c r="Z43" s="26">
        <f>SUMIFS(ALL_CAPACITY!S$6:S$84,ALL_CAPACITY!$O$6:$O$84,$S43,ALL_CAPACITY!$M$6:$M$84,$R43)</f>
        <v>9784.2829783423022</v>
      </c>
      <c r="AA43" s="26">
        <f>SUMIFS(ALL_CAPACITY!T$6:T$84,ALL_CAPACITY!$O$6:$O$84,$S43,ALL_CAPACITY!$M$6:$M$84,$R43)</f>
        <v>9833.3885390868036</v>
      </c>
      <c r="AB43" s="26">
        <f>SUMIFS(ALL_CAPACITY!U$6:U$84,ALL_CAPACITY!$O$6:$O$84,$S43,ALL_CAPACITY!$M$6:$M$84,$R43)</f>
        <v>9919.3999978283482</v>
      </c>
      <c r="AC43" s="26">
        <f>SUMIFS(ALL_CAPACITY!V$6:V$84,ALL_CAPACITY!$O$6:$O$84,$S43,ALL_CAPACITY!$M$6:$M$84,$R43)</f>
        <v>10005.258001692564</v>
      </c>
      <c r="AD43" s="26">
        <f>SUMIFS(ALL_CAPACITY!W$6:W$84,ALL_CAPACITY!$O$6:$O$84,$S43,ALL_CAPACITY!$M$6:$M$84,$R43)</f>
        <v>10140.298293739952</v>
      </c>
      <c r="AE43" s="26">
        <f>SUMIFS(ALL_CAPACITY!X$6:X$84,ALL_CAPACITY!$O$6:$O$84,$S43,ALL_CAPACITY!$M$6:$M$84,$R43)</f>
        <v>10275.33858578734</v>
      </c>
      <c r="AH43" t="str">
        <f t="shared" si="17"/>
        <v>CH0.HYD_RES</v>
      </c>
      <c r="AJ43">
        <f t="shared" si="19"/>
        <v>0.01</v>
      </c>
      <c r="AO43" t="s">
        <v>74</v>
      </c>
      <c r="AP43" t="s">
        <v>75</v>
      </c>
      <c r="AQ43" t="s">
        <v>25</v>
      </c>
      <c r="AR43" t="s">
        <v>14</v>
      </c>
      <c r="AS43">
        <v>21169000</v>
      </c>
      <c r="AT43">
        <v>7559.2</v>
      </c>
      <c r="AU43">
        <v>2800.42861678485</v>
      </c>
    </row>
    <row r="44" spans="2:47">
      <c r="E44" s="155"/>
      <c r="I44">
        <v>2045</v>
      </c>
      <c r="O44" s="155"/>
      <c r="Q44" s="210"/>
      <c r="R44" t="s">
        <v>15</v>
      </c>
      <c r="S44" t="s">
        <v>75</v>
      </c>
      <c r="W44" s="26">
        <f>SUMIFS(ALL_CAPACITY!P$6:P$84,ALL_CAPACITY!$O$6:$O$84,$S44,ALL_CAPACITY!$M$6:$M$84,$R44)</f>
        <v>1543.5</v>
      </c>
      <c r="X44" s="26">
        <f>SUMIFS(ALL_CAPACITY!Q$6:Q$84,ALL_CAPACITY!$O$6:$O$84,$S44,ALL_CAPACITY!$M$6:$M$84,$R44)</f>
        <v>1602.0508011957593</v>
      </c>
      <c r="Y44" s="26">
        <f>SUMIFS(ALL_CAPACITY!R$6:R$84,ALL_CAPACITY!$O$6:$O$84,$S44,ALL_CAPACITY!$M$6:$M$84,$R44)</f>
        <v>1602.5085385237162</v>
      </c>
      <c r="Z44" s="26">
        <f>SUMIFS(ALL_CAPACITY!S$6:S$84,ALL_CAPACITY!$O$6:$O$84,$S44,ALL_CAPACITY!$M$6:$M$84,$R44)</f>
        <v>1633.0112234749124</v>
      </c>
      <c r="AA44" s="26">
        <f>SUMIFS(ALL_CAPACITY!T$6:T$84,ALL_CAPACITY!$O$6:$O$84,$S44,ALL_CAPACITY!$M$6:$M$84,$R44)</f>
        <v>1678.7048966988525</v>
      </c>
      <c r="AB44" s="26">
        <f>SUMIFS(ALL_CAPACITY!U$6:U$84,ALL_CAPACITY!$O$6:$O$84,$S44,ALL_CAPACITY!$M$6:$M$84,$R44)</f>
        <v>1787.3808857495876</v>
      </c>
      <c r="AC44" s="26">
        <f>SUMIFS(ALL_CAPACITY!V$6:V$84,ALL_CAPACITY!$O$6:$O$84,$S44,ALL_CAPACITY!$M$6:$M$84,$R44)</f>
        <v>1879.3423816011366</v>
      </c>
      <c r="AD44" s="26">
        <f>SUMIFS(ALL_CAPACITY!W$6:W$84,ALL_CAPACITY!$O$6:$O$84,$S44,ALL_CAPACITY!$M$6:$M$84,$R44)</f>
        <v>1992.0264803271289</v>
      </c>
      <c r="AE44" s="26">
        <f>SUMIFS(ALL_CAPACITY!X$6:X$84,ALL_CAPACITY!$O$6:$O$84,$S44,ALL_CAPACITY!$M$6:$M$84,$R44)</f>
        <v>2054.8867025987906</v>
      </c>
      <c r="AH44" t="str">
        <f t="shared" si="17"/>
        <v>DE0.HYD_RES</v>
      </c>
      <c r="AJ44">
        <f t="shared" si="19"/>
        <v>0.01</v>
      </c>
      <c r="AO44" t="s">
        <v>76</v>
      </c>
      <c r="AP44" t="s">
        <v>75</v>
      </c>
      <c r="AQ44" t="s">
        <v>25</v>
      </c>
      <c r="AR44" t="s">
        <v>15</v>
      </c>
      <c r="AS44">
        <v>987626.25370606501</v>
      </c>
      <c r="AT44">
        <v>1543.5</v>
      </c>
      <c r="AU44">
        <v>639.86151843606399</v>
      </c>
    </row>
    <row r="45" spans="2:47">
      <c r="E45" s="155"/>
      <c r="I45">
        <v>2050</v>
      </c>
      <c r="O45" s="155"/>
      <c r="Q45" s="210"/>
      <c r="R45" t="s">
        <v>17</v>
      </c>
      <c r="S45" t="s">
        <v>75</v>
      </c>
      <c r="W45" s="26">
        <f>SUMIFS(ALL_CAPACITY!P$6:P$84,ALL_CAPACITY!$O$6:$O$84,$S45,ALL_CAPACITY!$M$6:$M$84,$R45)</f>
        <v>13220.9</v>
      </c>
      <c r="X45" s="26">
        <f>SUMIFS(ALL_CAPACITY!Q$6:Q$84,ALL_CAPACITY!$O$6:$O$84,$S45,ALL_CAPACITY!$M$6:$M$84,$R45)</f>
        <v>13283.903822146958</v>
      </c>
      <c r="Y45" s="26">
        <f>SUMIFS(ALL_CAPACITY!R$6:R$84,ALL_CAPACITY!$O$6:$O$84,$S45,ALL_CAPACITY!$M$6:$M$84,$R45)</f>
        <v>13496.518624744273</v>
      </c>
      <c r="Z45" s="26">
        <f>SUMIFS(ALL_CAPACITY!S$6:S$84,ALL_CAPACITY!$O$6:$O$84,$S45,ALL_CAPACITY!$M$6:$M$84,$R45)</f>
        <v>13496.518624744273</v>
      </c>
      <c r="AA45" s="26">
        <f>SUMIFS(ALL_CAPACITY!T$6:T$84,ALL_CAPACITY!$O$6:$O$84,$S45,ALL_CAPACITY!$M$6:$M$84,$R45)</f>
        <v>13590.171839652838</v>
      </c>
      <c r="AB45" s="26">
        <f>SUMIFS(ALL_CAPACITY!U$6:U$84,ALL_CAPACITY!$O$6:$O$84,$S45,ALL_CAPACITY!$M$6:$M$84,$R45)</f>
        <v>13780.953138281482</v>
      </c>
      <c r="AC45" s="26">
        <f>SUMIFS(ALL_CAPACITY!V$6:V$84,ALL_CAPACITY!$O$6:$O$84,$S45,ALL_CAPACITY!$M$6:$M$84,$R45)</f>
        <v>13934.020037692526</v>
      </c>
      <c r="AD45" s="26">
        <f>SUMIFS(ALL_CAPACITY!W$6:W$84,ALL_CAPACITY!$O$6:$O$84,$S45,ALL_CAPACITY!$M$6:$M$84,$R45)</f>
        <v>14010.198308841032</v>
      </c>
      <c r="AE45" s="26">
        <f>SUMIFS(ALL_CAPACITY!X$6:X$84,ALL_CAPACITY!$O$6:$O$84,$S45,ALL_CAPACITY!$M$6:$M$84,$R45)</f>
        <v>14055.967847201959</v>
      </c>
      <c r="AH45" t="str">
        <f t="shared" si="17"/>
        <v>IT0.HYD_RES</v>
      </c>
      <c r="AJ45">
        <f t="shared" si="19"/>
        <v>0.01</v>
      </c>
      <c r="AO45" t="s">
        <v>77</v>
      </c>
      <c r="AP45" t="s">
        <v>75</v>
      </c>
      <c r="AQ45" t="s">
        <v>25</v>
      </c>
      <c r="AR45" t="s">
        <v>16</v>
      </c>
      <c r="AS45">
        <v>16337343.5789703</v>
      </c>
      <c r="AT45">
        <v>8214</v>
      </c>
      <c r="AU45">
        <v>1988.9631822461999</v>
      </c>
    </row>
    <row r="46" spans="2:47" ht="15">
      <c r="E46" s="155"/>
      <c r="H46" s="126" t="s">
        <v>470</v>
      </c>
      <c r="O46" s="155"/>
      <c r="Q46" s="210"/>
      <c r="R46" t="s">
        <v>16</v>
      </c>
      <c r="S46" t="s">
        <v>75</v>
      </c>
      <c r="W46" s="26">
        <f>SUMIFS(ALL_CAPACITY!P$6:P$84,ALL_CAPACITY!$O$6:$O$84,$S46,ALL_CAPACITY!$M$6:$M$84,$R46)</f>
        <v>8214</v>
      </c>
      <c r="X46" s="26">
        <f>SUMIFS(ALL_CAPACITY!Q$6:Q$84,ALL_CAPACITY!$O$6:$O$84,$S46,ALL_CAPACITY!$M$6:$M$84,$R46)</f>
        <v>8260.7181154014052</v>
      </c>
      <c r="Y46" s="26">
        <f>SUMIFS(ALL_CAPACITY!R$6:R$84,ALL_CAPACITY!$O$6:$O$84,$S46,ALL_CAPACITY!$M$6:$M$84,$R46)</f>
        <v>8260.7258359248281</v>
      </c>
      <c r="Z46" s="26">
        <f>SUMIFS(ALL_CAPACITY!S$6:S$84,ALL_CAPACITY!$O$6:$O$84,$S46,ALL_CAPACITY!$M$6:$M$84,$R46)</f>
        <v>8260.7258359248281</v>
      </c>
      <c r="AA46" s="26">
        <f>SUMIFS(ALL_CAPACITY!T$6:T$84,ALL_CAPACITY!$O$6:$O$84,$S46,ALL_CAPACITY!$M$6:$M$84,$R46)</f>
        <v>8260.7258359248281</v>
      </c>
      <c r="AB46" s="26">
        <f>SUMIFS(ALL_CAPACITY!U$6:U$84,ALL_CAPACITY!$O$6:$O$84,$S46,ALL_CAPACITY!$M$6:$M$84,$R46)</f>
        <v>8369.7814508482425</v>
      </c>
      <c r="AC46" s="26">
        <f>SUMIFS(ALL_CAPACITY!V$6:V$84,ALL_CAPACITY!$O$6:$O$84,$S46,ALL_CAPACITY!$M$6:$M$84,$R46)</f>
        <v>8661.0492002414139</v>
      </c>
      <c r="AD46" s="26">
        <f>SUMIFS(ALL_CAPACITY!W$6:W$84,ALL_CAPACITY!$O$6:$O$84,$S46,ALL_CAPACITY!$M$6:$M$84,$R46)</f>
        <v>8969.2151988606929</v>
      </c>
      <c r="AE46" s="26">
        <f>SUMIFS(ALL_CAPACITY!X$6:X$84,ALL_CAPACITY!$O$6:$O$84,$S46,ALL_CAPACITY!$M$6:$M$84,$R46)</f>
        <v>9282.7861438137097</v>
      </c>
      <c r="AH46" t="str">
        <f t="shared" si="17"/>
        <v>FR0.HYD_RES</v>
      </c>
      <c r="AJ46">
        <f t="shared" si="19"/>
        <v>0.01</v>
      </c>
      <c r="AO46" t="s">
        <v>78</v>
      </c>
      <c r="AP46" t="s">
        <v>75</v>
      </c>
      <c r="AQ46" t="s">
        <v>25</v>
      </c>
      <c r="AR46" t="s">
        <v>17</v>
      </c>
      <c r="AS46">
        <v>24618600</v>
      </c>
      <c r="AT46">
        <v>13220.9</v>
      </c>
      <c r="AU46">
        <v>1862.09713408316</v>
      </c>
    </row>
    <row r="47" spans="2:47">
      <c r="B47" t="str">
        <f t="shared" ref="B47:D48" si="29">INDEX(H$38:H$45,H47)</f>
        <v>IT0</v>
      </c>
      <c r="C47">
        <f t="shared" si="29"/>
        <v>2015</v>
      </c>
      <c r="D47" t="str">
        <f t="shared" si="29"/>
        <v>GAS_TOT</v>
      </c>
      <c r="E47" s="155">
        <f t="shared" si="4"/>
        <v>109190007.43939728</v>
      </c>
      <c r="F47" t="s">
        <v>31</v>
      </c>
      <c r="G47" t="str">
        <f>INDEX(K$38:K$45,J47)</f>
        <v>natural_gas</v>
      </c>
      <c r="H47">
        <v>1</v>
      </c>
      <c r="I47">
        <v>1</v>
      </c>
      <c r="J47">
        <v>1</v>
      </c>
      <c r="N47">
        <f t="shared" ref="N47:N94" si="30">INDEX($AJ$21:$AJ$249,MATCH(B47&amp;"."&amp;D47,$AH$21:$AH$249,0))</f>
        <v>0.01</v>
      </c>
      <c r="O47" s="155">
        <f t="shared" si="6"/>
        <v>110292936.80747199</v>
      </c>
      <c r="Q47" s="210"/>
      <c r="R47" t="s">
        <v>12</v>
      </c>
      <c r="S47" t="s">
        <v>75</v>
      </c>
      <c r="W47" s="26">
        <f>SUMIFS(ALL_CAPACITY!P$6:P$84,ALL_CAPACITY!$O$6:$O$84,$S47,ALL_CAPACITY!$M$6:$M$84,$R47)</f>
        <v>3992.46041105121</v>
      </c>
      <c r="X47" s="26">
        <f>SUMIFS(ALL_CAPACITY!Q$6:Q$84,ALL_CAPACITY!$O$6:$O$84,$S47,ALL_CAPACITY!$M$6:$M$84,$R47)</f>
        <v>3846.2057253214416</v>
      </c>
      <c r="Y47" s="26">
        <f>SUMIFS(ALL_CAPACITY!R$6:R$84,ALL_CAPACITY!$O$6:$O$84,$S47,ALL_CAPACITY!$M$6:$M$84,$R47)</f>
        <v>4022.2963669400824</v>
      </c>
      <c r="Z47" s="26">
        <f>SUMIFS(ALL_CAPACITY!S$6:S$84,ALL_CAPACITY!$O$6:$O$84,$S47,ALL_CAPACITY!$M$6:$M$84,$R47)</f>
        <v>4022.2963669400824</v>
      </c>
      <c r="AA47" s="26">
        <f>SUMIFS(ALL_CAPACITY!T$6:T$84,ALL_CAPACITY!$O$6:$O$84,$S47,ALL_CAPACITY!$M$6:$M$84,$R47)</f>
        <v>4023.6377326670031</v>
      </c>
      <c r="AB47" s="26">
        <f>SUMIFS(ALL_CAPACITY!U$6:U$84,ALL_CAPACITY!$O$6:$O$84,$S47,ALL_CAPACITY!$M$6:$M$84,$R47)</f>
        <v>4050.9713576312861</v>
      </c>
      <c r="AC47" s="26">
        <f>SUMIFS(ALL_CAPACITY!V$6:V$84,ALL_CAPACITY!$O$6:$O$84,$S47,ALL_CAPACITY!$M$6:$M$84,$R47)</f>
        <v>4060.3597653224292</v>
      </c>
      <c r="AD47" s="26">
        <f>SUMIFS(ALL_CAPACITY!W$6:W$84,ALL_CAPACITY!$O$6:$O$84,$S47,ALL_CAPACITY!$M$6:$M$84,$R47)</f>
        <v>4060.3597653224292</v>
      </c>
      <c r="AE47" s="26">
        <f>SUMIFS(ALL_CAPACITY!X$6:X$84,ALL_CAPACITY!$O$6:$O$84,$S47,ALL_CAPACITY!$M$6:$M$84,$R47)</f>
        <v>4107.5520857788069</v>
      </c>
      <c r="AH47" t="str">
        <f t="shared" si="17"/>
        <v>AT0.HYD_RES</v>
      </c>
      <c r="AJ47">
        <f t="shared" si="19"/>
        <v>0.01</v>
      </c>
      <c r="AO47" t="s">
        <v>79</v>
      </c>
      <c r="AP47" t="s">
        <v>80</v>
      </c>
      <c r="AQ47" t="s">
        <v>26</v>
      </c>
      <c r="AR47" t="s">
        <v>12</v>
      </c>
      <c r="AS47">
        <v>26717190.677999999</v>
      </c>
      <c r="AT47">
        <v>5656</v>
      </c>
      <c r="AU47">
        <v>4723.6900067185297</v>
      </c>
    </row>
    <row r="48" spans="2:47">
      <c r="B48" t="str">
        <f t="shared" si="29"/>
        <v>FR0</v>
      </c>
      <c r="C48">
        <f t="shared" si="29"/>
        <v>2015</v>
      </c>
      <c r="D48" t="str">
        <f t="shared" si="29"/>
        <v>GAS_TOT</v>
      </c>
      <c r="E48" s="155">
        <f t="shared" si="4"/>
        <v>25494984.986944769</v>
      </c>
      <c r="F48" t="s">
        <v>31</v>
      </c>
      <c r="G48" t="str">
        <f>INDEX(K$38:K$45,J48)</f>
        <v>natural_gas</v>
      </c>
      <c r="H48">
        <f>IF(H47=$H$37,1,H47+1)</f>
        <v>2</v>
      </c>
      <c r="I48">
        <f>IF(H48=1,IF(I47=$I$37,1,I47+1),I47)</f>
        <v>1</v>
      </c>
      <c r="J48">
        <f>IF(AND(I48=1,I47&gt;1),IF(J47=$J$37,1,J47+1),J47)</f>
        <v>1</v>
      </c>
      <c r="N48">
        <f t="shared" si="30"/>
        <v>0.01</v>
      </c>
      <c r="O48" s="155">
        <f t="shared" si="6"/>
        <v>25752510.087823</v>
      </c>
      <c r="AH48" t="str">
        <f t="shared" si="17"/>
        <v>.</v>
      </c>
      <c r="AO48" t="s">
        <v>81</v>
      </c>
      <c r="AP48" t="s">
        <v>80</v>
      </c>
      <c r="AQ48" t="s">
        <v>26</v>
      </c>
      <c r="AR48" t="s">
        <v>14</v>
      </c>
      <c r="AS48">
        <v>16595000</v>
      </c>
      <c r="AT48">
        <v>4157.78</v>
      </c>
      <c r="AU48">
        <v>3991.31267166613</v>
      </c>
    </row>
    <row r="49" spans="2:47">
      <c r="B49" t="str">
        <f t="shared" ref="B49:B79" si="31">INDEX(H$38:H$45,H49)</f>
        <v>AT0</v>
      </c>
      <c r="C49">
        <f t="shared" ref="C49:C79" si="32">INDEX(I$38:I$45,I49)</f>
        <v>2015</v>
      </c>
      <c r="D49" t="str">
        <f t="shared" ref="D49:D79" si="33">INDEX(J$38:J$45,J49)</f>
        <v>GAS_TOT</v>
      </c>
      <c r="E49" s="155">
        <f t="shared" si="4"/>
        <v>6706152.0955656618</v>
      </c>
      <c r="F49" t="s">
        <v>31</v>
      </c>
      <c r="G49" t="str">
        <f t="shared" ref="G49:G79" si="34">INDEX(K$38:K$45,J49)</f>
        <v>natural_gas</v>
      </c>
      <c r="H49">
        <f t="shared" ref="H49:H79" si="35">IF(H48=$H$1,1,H48+1)</f>
        <v>3</v>
      </c>
      <c r="I49">
        <f t="shared" ref="I49:I79" si="36">IF(H49=1,IF(I48=$I$1,1,I48+1),I48)</f>
        <v>1</v>
      </c>
      <c r="J49">
        <f t="shared" ref="J49:J79" si="37">IF(AND(I49=1,I48&gt;1),IF(J48=$J$37,1,J48+1),J48)</f>
        <v>1</v>
      </c>
      <c r="N49">
        <f t="shared" si="30"/>
        <v>0.01</v>
      </c>
      <c r="O49" s="155">
        <f t="shared" si="6"/>
        <v>6773891.0056218803</v>
      </c>
      <c r="AH49" t="str">
        <f t="shared" si="17"/>
        <v>.</v>
      </c>
      <c r="AO49" t="s">
        <v>82</v>
      </c>
      <c r="AP49" t="s">
        <v>80</v>
      </c>
      <c r="AQ49" t="s">
        <v>26</v>
      </c>
      <c r="AR49" t="s">
        <v>15</v>
      </c>
      <c r="AS49">
        <v>17989532.626293901</v>
      </c>
      <c r="AT49">
        <v>3842.2</v>
      </c>
      <c r="AU49">
        <v>4682.0916730763502</v>
      </c>
    </row>
    <row r="50" spans="2:47" ht="15">
      <c r="B50" t="str">
        <f t="shared" si="31"/>
        <v>IT0</v>
      </c>
      <c r="C50">
        <f t="shared" si="32"/>
        <v>2020</v>
      </c>
      <c r="D50" t="str">
        <f t="shared" si="33"/>
        <v>GAS_TOT</v>
      </c>
      <c r="E50" s="155">
        <f t="shared" si="4"/>
        <v>124904448.59117445</v>
      </c>
      <c r="F50" t="s">
        <v>31</v>
      </c>
      <c r="G50" t="str">
        <f t="shared" si="34"/>
        <v>natural_gas</v>
      </c>
      <c r="H50">
        <f t="shared" si="35"/>
        <v>1</v>
      </c>
      <c r="I50">
        <f t="shared" si="36"/>
        <v>2</v>
      </c>
      <c r="J50">
        <f t="shared" si="37"/>
        <v>1</v>
      </c>
      <c r="N50">
        <f t="shared" si="30"/>
        <v>0.01</v>
      </c>
      <c r="O50" s="155">
        <f t="shared" si="6"/>
        <v>126166109.68805501</v>
      </c>
      <c r="Q50" s="133" t="s">
        <v>402</v>
      </c>
      <c r="R50" s="134"/>
      <c r="S50" s="134"/>
      <c r="T50" s="134"/>
      <c r="U50" s="134"/>
      <c r="V50" s="134"/>
      <c r="W50" s="134" t="s">
        <v>126</v>
      </c>
      <c r="X50" s="134">
        <v>2015</v>
      </c>
      <c r="Y50" s="134">
        <v>2020</v>
      </c>
      <c r="Z50" s="134">
        <v>2025</v>
      </c>
      <c r="AA50" s="134">
        <v>2030</v>
      </c>
      <c r="AB50" s="134">
        <v>2035</v>
      </c>
      <c r="AC50" s="134">
        <v>2040</v>
      </c>
      <c r="AD50" s="134">
        <v>2045</v>
      </c>
      <c r="AE50" s="134">
        <v>2050</v>
      </c>
      <c r="AF50" s="134"/>
      <c r="AG50" s="135"/>
      <c r="AO50" t="s">
        <v>83</v>
      </c>
      <c r="AP50" t="s">
        <v>80</v>
      </c>
      <c r="AQ50" t="s">
        <v>26</v>
      </c>
      <c r="AR50" t="s">
        <v>16</v>
      </c>
      <c r="AS50">
        <v>42336656.421029702</v>
      </c>
      <c r="AT50">
        <v>10322.333333</v>
      </c>
      <c r="AU50">
        <v>4101.4618551099702</v>
      </c>
    </row>
    <row r="51" spans="2:47">
      <c r="B51" t="str">
        <f t="shared" si="31"/>
        <v>FR0</v>
      </c>
      <c r="C51">
        <f t="shared" si="32"/>
        <v>2020</v>
      </c>
      <c r="D51" t="str">
        <f t="shared" si="33"/>
        <v>GAS_TOT</v>
      </c>
      <c r="E51" s="155">
        <f t="shared" si="4"/>
        <v>22102503.81462159</v>
      </c>
      <c r="F51" t="s">
        <v>31</v>
      </c>
      <c r="G51" t="str">
        <f t="shared" si="34"/>
        <v>natural_gas</v>
      </c>
      <c r="H51">
        <f t="shared" si="35"/>
        <v>2</v>
      </c>
      <c r="I51">
        <f t="shared" si="36"/>
        <v>2</v>
      </c>
      <c r="J51">
        <f t="shared" si="37"/>
        <v>1</v>
      </c>
      <c r="N51">
        <f t="shared" si="30"/>
        <v>0.01</v>
      </c>
      <c r="O51" s="155">
        <f t="shared" si="6"/>
        <v>22325761.428910699</v>
      </c>
      <c r="Q51" s="136"/>
      <c r="R51" t="s">
        <v>17</v>
      </c>
      <c r="S51" t="s">
        <v>65</v>
      </c>
      <c r="W51" s="27">
        <f>SUMIFS($AS$4:$AS$69,$AP$4:$AP$69,$S51,$AR$4:$AR$69,$R51)</f>
        <v>6185000</v>
      </c>
      <c r="X51" s="137">
        <f t="shared" ref="X51:AE51" si="38">SUMIFS(X$256:X$302,$S$256:$S$302,$R51,$R$256:$R$302,$S51)*1000</f>
        <v>6210402.0000000102</v>
      </c>
      <c r="Y51" s="137">
        <f t="shared" si="38"/>
        <v>6210402</v>
      </c>
      <c r="Z51" s="137">
        <f t="shared" si="38"/>
        <v>6210402</v>
      </c>
      <c r="AA51" s="137">
        <f t="shared" si="38"/>
        <v>6210402</v>
      </c>
      <c r="AB51" s="137">
        <f t="shared" si="38"/>
        <v>6210402</v>
      </c>
      <c r="AC51" s="137">
        <f t="shared" si="38"/>
        <v>6210402</v>
      </c>
      <c r="AD51" s="137">
        <f t="shared" si="38"/>
        <v>5749188</v>
      </c>
      <c r="AE51" s="137">
        <f t="shared" si="38"/>
        <v>5749188.0000000102</v>
      </c>
      <c r="AG51" s="138"/>
      <c r="AH51" t="str">
        <f>R51&amp;"."&amp;S51</f>
        <v>IT0.GEO_ELC</v>
      </c>
      <c r="AJ51">
        <f t="shared" si="19"/>
        <v>4.7E-2</v>
      </c>
      <c r="AO51" t="s">
        <v>84</v>
      </c>
      <c r="AP51" t="s">
        <v>80</v>
      </c>
      <c r="AQ51" t="s">
        <v>26</v>
      </c>
      <c r="AR51" t="s">
        <v>17</v>
      </c>
      <c r="AS51">
        <v>20918800</v>
      </c>
      <c r="AT51">
        <v>5203.3</v>
      </c>
      <c r="AU51">
        <v>4020.2948129071901</v>
      </c>
    </row>
    <row r="52" spans="2:47">
      <c r="B52" t="str">
        <f t="shared" si="31"/>
        <v>AT0</v>
      </c>
      <c r="C52">
        <f t="shared" si="32"/>
        <v>2020</v>
      </c>
      <c r="D52" t="str">
        <f t="shared" si="33"/>
        <v>GAS_TOT</v>
      </c>
      <c r="E52" s="155">
        <f t="shared" si="4"/>
        <v>13936802.34363615</v>
      </c>
      <c r="F52" t="s">
        <v>31</v>
      </c>
      <c r="G52" t="str">
        <f t="shared" si="34"/>
        <v>natural_gas</v>
      </c>
      <c r="H52">
        <f t="shared" si="35"/>
        <v>3</v>
      </c>
      <c r="I52">
        <f t="shared" si="36"/>
        <v>2</v>
      </c>
      <c r="J52">
        <f t="shared" si="37"/>
        <v>1</v>
      </c>
      <c r="N52">
        <f t="shared" si="30"/>
        <v>0.01</v>
      </c>
      <c r="O52" s="155">
        <f t="shared" si="6"/>
        <v>14077578.124885</v>
      </c>
      <c r="Q52" s="136"/>
      <c r="W52" s="26"/>
      <c r="X52" s="26"/>
      <c r="Y52" s="26"/>
      <c r="Z52" s="26"/>
      <c r="AA52" s="26"/>
      <c r="AB52" s="26"/>
      <c r="AC52" s="26"/>
      <c r="AD52" s="26"/>
      <c r="AE52" s="26"/>
      <c r="AG52" s="138"/>
      <c r="AO52" t="s">
        <v>133</v>
      </c>
      <c r="AP52" t="s">
        <v>134</v>
      </c>
      <c r="AQ52" t="s">
        <v>135</v>
      </c>
      <c r="AR52" t="s">
        <v>12</v>
      </c>
      <c r="AS52">
        <v>0</v>
      </c>
      <c r="AT52">
        <v>1</v>
      </c>
      <c r="AU52">
        <v>0</v>
      </c>
    </row>
    <row r="53" spans="2:47">
      <c r="B53" t="str">
        <f t="shared" si="31"/>
        <v>IT0</v>
      </c>
      <c r="C53">
        <f t="shared" si="32"/>
        <v>2025</v>
      </c>
      <c r="D53" t="str">
        <f t="shared" si="33"/>
        <v>GAS_TOT</v>
      </c>
      <c r="E53" s="155">
        <f t="shared" si="4"/>
        <v>123003190.60945939</v>
      </c>
      <c r="F53" t="s">
        <v>31</v>
      </c>
      <c r="G53" t="str">
        <f t="shared" si="34"/>
        <v>natural_gas</v>
      </c>
      <c r="H53">
        <f t="shared" si="35"/>
        <v>1</v>
      </c>
      <c r="I53">
        <f t="shared" si="36"/>
        <v>3</v>
      </c>
      <c r="J53">
        <f t="shared" si="37"/>
        <v>1</v>
      </c>
      <c r="N53">
        <f t="shared" si="30"/>
        <v>0.01</v>
      </c>
      <c r="O53" s="155">
        <f t="shared" si="6"/>
        <v>124245647.08026201</v>
      </c>
      <c r="Q53" s="136"/>
      <c r="R53" t="s">
        <v>14</v>
      </c>
      <c r="S53" t="s">
        <v>65</v>
      </c>
      <c r="T53" t="s">
        <v>296</v>
      </c>
      <c r="W53" t="e">
        <f>INDEX($X$317:$AE$356,MATCH($S53&amp;"."&amp;$T53,$S$317:$S$356,0),MATCH(W$20,$X$316:$AE$316,0))*1000000</f>
        <v>#N/A</v>
      </c>
      <c r="X53" s="139">
        <f t="shared" ref="X53:AD53" si="39">X54*$AE$55</f>
        <v>0</v>
      </c>
      <c r="Y53" s="139">
        <f t="shared" si="39"/>
        <v>102331.00233100275</v>
      </c>
      <c r="Z53" s="139">
        <f t="shared" si="39"/>
        <v>296759.90675990708</v>
      </c>
      <c r="AA53" s="139">
        <f t="shared" si="39"/>
        <v>695850.81585081609</v>
      </c>
      <c r="AB53" s="139">
        <f t="shared" si="39"/>
        <v>1361002.3310023353</v>
      </c>
      <c r="AC53" s="139">
        <f t="shared" si="39"/>
        <v>2363846.153846154</v>
      </c>
      <c r="AD53" s="139">
        <f t="shared" si="39"/>
        <v>3458787.8787878798</v>
      </c>
      <c r="AE53" s="140">
        <f>INDEX($X$317:$AE$356,MATCH($S53&amp;"."&amp;$T53,$S$317:$S$356,0),MATCH(AE$20,$X$316:$AE$316,0))*1000000</f>
        <v>4390000</v>
      </c>
      <c r="AF53" t="s">
        <v>403</v>
      </c>
      <c r="AG53" s="138"/>
      <c r="AH53" t="str">
        <f t="shared" ref="AH53:AH62" si="40">R53&amp;"."&amp;S53&amp;"."&amp;T53</f>
        <v>CH0.GEO_ELC.POM C&amp;E</v>
      </c>
      <c r="AJ53">
        <f t="shared" si="19"/>
        <v>4.7E-2</v>
      </c>
      <c r="AO53" t="s">
        <v>136</v>
      </c>
      <c r="AP53" t="s">
        <v>134</v>
      </c>
      <c r="AQ53" t="s">
        <v>135</v>
      </c>
      <c r="AR53" t="s">
        <v>14</v>
      </c>
      <c r="AS53">
        <v>0</v>
      </c>
      <c r="AT53">
        <v>1</v>
      </c>
      <c r="AU53">
        <v>0</v>
      </c>
    </row>
    <row r="54" spans="2:47">
      <c r="B54" t="str">
        <f t="shared" si="31"/>
        <v>FR0</v>
      </c>
      <c r="C54">
        <f t="shared" si="32"/>
        <v>2025</v>
      </c>
      <c r="D54" t="str">
        <f t="shared" si="33"/>
        <v>GAS_TOT</v>
      </c>
      <c r="E54" s="155">
        <f t="shared" si="4"/>
        <v>23433783.796855375</v>
      </c>
      <c r="F54" t="s">
        <v>31</v>
      </c>
      <c r="G54" t="str">
        <f t="shared" si="34"/>
        <v>natural_gas</v>
      </c>
      <c r="H54">
        <f t="shared" si="35"/>
        <v>2</v>
      </c>
      <c r="I54">
        <f t="shared" si="36"/>
        <v>3</v>
      </c>
      <c r="J54">
        <f t="shared" si="37"/>
        <v>1</v>
      </c>
      <c r="N54">
        <f t="shared" si="30"/>
        <v>0.01</v>
      </c>
      <c r="O54" s="155">
        <f t="shared" si="6"/>
        <v>23670488.683692299</v>
      </c>
      <c r="Q54" s="136" t="s">
        <v>404</v>
      </c>
      <c r="R54" t="s">
        <v>14</v>
      </c>
      <c r="S54" t="s">
        <v>65</v>
      </c>
      <c r="T54" t="s">
        <v>296</v>
      </c>
      <c r="W54" s="26">
        <f>SUMIFS(ALL_CAPACITY!P$6:P$84,ALL_CAPACITY!$O$6:$O$84,$S54,ALL_CAPACITY!$M$6:$M$84,$R54)</f>
        <v>0</v>
      </c>
      <c r="X54" s="26">
        <f>INDEX(CH!$D$2:$K$37,MATCH($S54&amp;"."&amp;$T54,CH!$M$2:$M$37,0),MATCH(X$50,CH!$D$1:$K$1,0))</f>
        <v>0</v>
      </c>
      <c r="Y54" s="26">
        <f>INDEX(CH!$D$2:$K$37,MATCH($S54&amp;"."&amp;$T54,CH!$M$2:$M$37,0),MATCH(Y$50,CH!$D$1:$K$1,0))</f>
        <v>12.9795791896249</v>
      </c>
      <c r="Z54" s="26">
        <f>INDEX(CH!$D$2:$K$37,MATCH($S54&amp;"."&amp;$T54,CH!$M$2:$M$37,0),MATCH(Z$50,CH!$D$1:$K$1,0))</f>
        <v>37.640779649912098</v>
      </c>
      <c r="AA54" s="26">
        <f>INDEX(CH!$D$2:$K$37,MATCH($S54&amp;"."&amp;$T54,CH!$M$2:$M$37,0),MATCH(AA$50,CH!$D$1:$K$1,0))</f>
        <v>88.261138489448996</v>
      </c>
      <c r="AB54" s="26">
        <f>INDEX(CH!$D$2:$K$37,MATCH($S54&amp;"."&amp;$T54,CH!$M$2:$M$37,0),MATCH(AB$50,CH!$D$1:$K$1,0))</f>
        <v>172.628403222011</v>
      </c>
      <c r="AC54" s="26">
        <f>INDEX(CH!$D$2:$K$37,MATCH($S54&amp;"."&amp;$T54,CH!$M$2:$M$37,0),MATCH(AC$50,CH!$D$1:$K$1,0))</f>
        <v>299.82827928033402</v>
      </c>
      <c r="AD54" s="26">
        <f>INDEX(CH!$D$2:$K$37,MATCH($S54&amp;"."&amp;$T54,CH!$M$2:$M$37,0),MATCH(AD$50,CH!$D$1:$K$1,0))</f>
        <v>438.70977660931999</v>
      </c>
      <c r="AE54" s="26">
        <f>INDEX(CH!$D$2:$K$37,MATCH($S54&amp;"."&amp;$T54,CH!$M$2:$M$37,0),MATCH(AE$50,CH!$D$1:$K$1,0))</f>
        <v>556.82394723490597</v>
      </c>
      <c r="AG54" s="138"/>
      <c r="AH54" t="str">
        <f t="shared" si="40"/>
        <v>CH0.GEO_ELC.POM C&amp;E</v>
      </c>
      <c r="AJ54">
        <f t="shared" si="19"/>
        <v>4.7E-2</v>
      </c>
      <c r="AO54" t="s">
        <v>137</v>
      </c>
      <c r="AP54" t="s">
        <v>134</v>
      </c>
      <c r="AQ54" t="s">
        <v>135</v>
      </c>
      <c r="AR54" t="s">
        <v>15</v>
      </c>
      <c r="AS54">
        <v>0</v>
      </c>
      <c r="AT54">
        <v>1</v>
      </c>
      <c r="AU54">
        <v>0</v>
      </c>
    </row>
    <row r="55" spans="2:47">
      <c r="B55" t="str">
        <f t="shared" si="31"/>
        <v>AT0</v>
      </c>
      <c r="C55">
        <f t="shared" si="32"/>
        <v>2025</v>
      </c>
      <c r="D55" t="str">
        <f t="shared" si="33"/>
        <v>GAS_TOT</v>
      </c>
      <c r="E55" s="155">
        <f t="shared" si="4"/>
        <v>13429319.477037651</v>
      </c>
      <c r="F55" t="s">
        <v>31</v>
      </c>
      <c r="G55" t="str">
        <f t="shared" si="34"/>
        <v>natural_gas</v>
      </c>
      <c r="H55">
        <f t="shared" si="35"/>
        <v>3</v>
      </c>
      <c r="I55">
        <f t="shared" si="36"/>
        <v>3</v>
      </c>
      <c r="J55">
        <f t="shared" si="37"/>
        <v>1</v>
      </c>
      <c r="N55">
        <f t="shared" si="30"/>
        <v>0.01</v>
      </c>
      <c r="O55" s="155">
        <f t="shared" si="6"/>
        <v>13564969.1687249</v>
      </c>
      <c r="Q55" s="136"/>
      <c r="W55" s="27"/>
      <c r="X55" s="27" t="e">
        <f t="shared" ref="X55:AD55" si="41">X53/X54/8760</f>
        <v>#DIV/0!</v>
      </c>
      <c r="Y55" s="27">
        <f t="shared" si="41"/>
        <v>0.90000000000000036</v>
      </c>
      <c r="Z55" s="27">
        <f t="shared" si="41"/>
        <v>0.90000000000000036</v>
      </c>
      <c r="AA55" s="27">
        <f t="shared" si="41"/>
        <v>0.90000000000000036</v>
      </c>
      <c r="AB55" s="27">
        <f t="shared" si="41"/>
        <v>0.90000000000000047</v>
      </c>
      <c r="AC55" s="27">
        <f t="shared" si="41"/>
        <v>0.90000000000000024</v>
      </c>
      <c r="AD55" s="27">
        <f t="shared" si="41"/>
        <v>0.90000000000000036</v>
      </c>
      <c r="AE55" s="27">
        <f>AE53/AE54</f>
        <v>7884.0000000000027</v>
      </c>
      <c r="AG55" s="138"/>
      <c r="AH55" t="str">
        <f t="shared" si="40"/>
        <v>..</v>
      </c>
      <c r="AO55" t="s">
        <v>138</v>
      </c>
      <c r="AP55" t="s">
        <v>134</v>
      </c>
      <c r="AQ55" t="s">
        <v>135</v>
      </c>
      <c r="AR55" t="s">
        <v>16</v>
      </c>
      <c r="AS55">
        <v>0</v>
      </c>
      <c r="AT55">
        <v>1</v>
      </c>
      <c r="AU55">
        <v>0</v>
      </c>
    </row>
    <row r="56" spans="2:47">
      <c r="B56" t="str">
        <f t="shared" si="31"/>
        <v>IT0</v>
      </c>
      <c r="C56">
        <f t="shared" si="32"/>
        <v>2030</v>
      </c>
      <c r="D56" t="str">
        <f t="shared" si="33"/>
        <v>GAS_TOT</v>
      </c>
      <c r="E56" s="155">
        <f t="shared" si="4"/>
        <v>121222677.48178104</v>
      </c>
      <c r="F56" t="s">
        <v>31</v>
      </c>
      <c r="G56" t="str">
        <f t="shared" si="34"/>
        <v>natural_gas</v>
      </c>
      <c r="H56">
        <f t="shared" si="35"/>
        <v>1</v>
      </c>
      <c r="I56">
        <f t="shared" si="36"/>
        <v>4</v>
      </c>
      <c r="J56">
        <f t="shared" si="37"/>
        <v>1</v>
      </c>
      <c r="N56">
        <f t="shared" si="30"/>
        <v>0.01</v>
      </c>
      <c r="O56" s="155">
        <f t="shared" si="6"/>
        <v>122447148.971496</v>
      </c>
      <c r="Q56" s="136"/>
      <c r="X56" s="26"/>
      <c r="AG56" s="138"/>
      <c r="AH56" t="str">
        <f t="shared" si="40"/>
        <v>..</v>
      </c>
      <c r="AO56" t="s">
        <v>139</v>
      </c>
      <c r="AP56" t="s">
        <v>134</v>
      </c>
      <c r="AQ56" t="s">
        <v>135</v>
      </c>
      <c r="AR56" t="s">
        <v>17</v>
      </c>
      <c r="AS56">
        <v>0</v>
      </c>
      <c r="AT56">
        <v>1</v>
      </c>
      <c r="AU56">
        <v>0</v>
      </c>
    </row>
    <row r="57" spans="2:47">
      <c r="B57" t="str">
        <f t="shared" si="31"/>
        <v>FR0</v>
      </c>
      <c r="C57">
        <f t="shared" si="32"/>
        <v>2030</v>
      </c>
      <c r="D57" t="str">
        <f t="shared" si="33"/>
        <v>GAS_TOT</v>
      </c>
      <c r="E57" s="155">
        <f t="shared" si="4"/>
        <v>11927007.535156759</v>
      </c>
      <c r="F57" t="s">
        <v>31</v>
      </c>
      <c r="G57" t="str">
        <f t="shared" si="34"/>
        <v>natural_gas</v>
      </c>
      <c r="H57">
        <f t="shared" si="35"/>
        <v>2</v>
      </c>
      <c r="I57">
        <f t="shared" si="36"/>
        <v>4</v>
      </c>
      <c r="J57">
        <f t="shared" si="37"/>
        <v>1</v>
      </c>
      <c r="N57">
        <f t="shared" si="30"/>
        <v>0.01</v>
      </c>
      <c r="O57" s="155">
        <f t="shared" si="6"/>
        <v>12047482.3587442</v>
      </c>
      <c r="Q57" s="136"/>
      <c r="R57" t="s">
        <v>14</v>
      </c>
      <c r="S57" t="s">
        <v>65</v>
      </c>
      <c r="T57" t="s">
        <v>142</v>
      </c>
      <c r="W57" t="e">
        <f>INDEX($X$317:$AE$356,MATCH($S57&amp;"."&amp;$T57,$S$317:$S$356,0),MATCH(W$20,$X$316:$AE$316,0))*1000000</f>
        <v>#N/A</v>
      </c>
      <c r="X57" s="139">
        <f t="shared" ref="X57:AD57" si="42">X58*$AE$55</f>
        <v>0</v>
      </c>
      <c r="Y57" s="139">
        <f t="shared" si="42"/>
        <v>75384.615384615376</v>
      </c>
      <c r="Z57" s="139">
        <f t="shared" si="42"/>
        <v>183076.92307692309</v>
      </c>
      <c r="AA57" s="139">
        <f t="shared" si="42"/>
        <v>323076.92307692335</v>
      </c>
      <c r="AB57" s="139">
        <f t="shared" si="42"/>
        <v>387692.30769230763</v>
      </c>
      <c r="AC57" s="139">
        <f t="shared" si="42"/>
        <v>387692.30769230763</v>
      </c>
      <c r="AD57" s="139">
        <f t="shared" si="42"/>
        <v>420000.00000000012</v>
      </c>
      <c r="AE57" s="140">
        <f>INDEX($X$317:$AE$356,MATCH($S57&amp;"."&amp;$T57,$S$317:$S$356,0),MATCH(AE$20,$X$316:$AE$316,0))*1000000</f>
        <v>420000</v>
      </c>
      <c r="AF57" t="s">
        <v>403</v>
      </c>
      <c r="AG57" s="138"/>
      <c r="AH57" t="str">
        <f t="shared" si="40"/>
        <v>CH0.GEO_ELC.POM C</v>
      </c>
      <c r="AJ57">
        <f t="shared" si="19"/>
        <v>4.7E-2</v>
      </c>
      <c r="AO57" t="s">
        <v>109</v>
      </c>
      <c r="AP57" t="s">
        <v>110</v>
      </c>
      <c r="AQ57" t="s">
        <v>24</v>
      </c>
      <c r="AR57" t="s">
        <v>12</v>
      </c>
      <c r="AS57">
        <v>1069365.737</v>
      </c>
      <c r="AT57">
        <v>368.98248725878699</v>
      </c>
      <c r="AU57">
        <v>2898.1476734693902</v>
      </c>
    </row>
    <row r="58" spans="2:47">
      <c r="B58" t="str">
        <f t="shared" si="31"/>
        <v>AT0</v>
      </c>
      <c r="C58">
        <f t="shared" si="32"/>
        <v>2030</v>
      </c>
      <c r="D58" t="str">
        <f t="shared" si="33"/>
        <v>GAS_TOT</v>
      </c>
      <c r="E58" s="155">
        <f t="shared" si="4"/>
        <v>14443443.116787661</v>
      </c>
      <c r="F58" t="s">
        <v>31</v>
      </c>
      <c r="G58" t="str">
        <f t="shared" si="34"/>
        <v>natural_gas</v>
      </c>
      <c r="H58">
        <f t="shared" si="35"/>
        <v>3</v>
      </c>
      <c r="I58">
        <f t="shared" si="36"/>
        <v>4</v>
      </c>
      <c r="J58">
        <f t="shared" si="37"/>
        <v>1</v>
      </c>
      <c r="N58">
        <f t="shared" si="30"/>
        <v>0.01</v>
      </c>
      <c r="O58" s="155">
        <f t="shared" si="6"/>
        <v>14589336.481603699</v>
      </c>
      <c r="Q58" s="136" t="s">
        <v>404</v>
      </c>
      <c r="R58" t="s">
        <v>14</v>
      </c>
      <c r="S58" t="s">
        <v>65</v>
      </c>
      <c r="T58" t="s">
        <v>142</v>
      </c>
      <c r="W58" s="26">
        <f>SUMIFS(ALL_CAPACITY!P$6:P$84,ALL_CAPACITY!$O$6:$O$84,$S58,ALL_CAPACITY!$M$6:$M$84,$R58)</f>
        <v>0</v>
      </c>
      <c r="X58" s="26">
        <f>INDEX(CH!$D$2:$K$37,MATCH($S58&amp;"."&amp;$T58,CH!$M$2:$M$37,0),MATCH(X$50,CH!$D$1:$K$1,0))</f>
        <v>0</v>
      </c>
      <c r="Y58" s="26">
        <f>INDEX(CH!$D$2:$K$37,MATCH($S58&amp;"."&amp;$T58,CH!$M$2:$M$37,0),MATCH(Y$50,CH!$D$1:$K$1,0))</f>
        <v>9.5617218904890091</v>
      </c>
      <c r="Z58" s="26">
        <f>INDEX(CH!$D$2:$K$37,MATCH($S58&amp;"."&amp;$T58,CH!$M$2:$M$37,0),MATCH(Z$50,CH!$D$1:$K$1,0))</f>
        <v>23.221324591187599</v>
      </c>
      <c r="AA58" s="26">
        <f>INDEX(CH!$D$2:$K$37,MATCH($S58&amp;"."&amp;$T58,CH!$M$2:$M$37,0),MATCH(AA$50,CH!$D$1:$K$1,0))</f>
        <v>40.978808102095797</v>
      </c>
      <c r="AB58" s="26">
        <f>INDEX(CH!$D$2:$K$37,MATCH($S58&amp;"."&amp;$T58,CH!$M$2:$M$37,0),MATCH(AB$50,CH!$D$1:$K$1,0))</f>
        <v>49.174569722514903</v>
      </c>
      <c r="AC58" s="26">
        <f>INDEX(CH!$D$2:$K$37,MATCH($S58&amp;"."&amp;$T58,CH!$M$2:$M$37,0),MATCH(AC$50,CH!$D$1:$K$1,0))</f>
        <v>49.174569722514903</v>
      </c>
      <c r="AD58" s="26">
        <f>INDEX(CH!$D$2:$K$37,MATCH($S58&amp;"."&amp;$T58,CH!$M$2:$M$37,0),MATCH(AD$50,CH!$D$1:$K$1,0))</f>
        <v>53.272450532724498</v>
      </c>
      <c r="AE58" s="26">
        <f>INDEX(CH!$D$2:$K$37,MATCH($S58&amp;"."&amp;$T58,CH!$M$2:$M$37,0),MATCH(AE$50,CH!$D$1:$K$1,0))</f>
        <v>53.272450532724498</v>
      </c>
      <c r="AG58" s="138"/>
      <c r="AH58" t="str">
        <f t="shared" si="40"/>
        <v>CH0.GEO_ELC.POM C</v>
      </c>
      <c r="AJ58">
        <f t="shared" si="19"/>
        <v>4.7E-2</v>
      </c>
      <c r="AO58" t="s">
        <v>111</v>
      </c>
      <c r="AP58" t="s">
        <v>110</v>
      </c>
      <c r="AQ58" t="s">
        <v>24</v>
      </c>
      <c r="AR58" t="s">
        <v>14</v>
      </c>
      <c r="AS58">
        <v>2184173.5</v>
      </c>
      <c r="AT58">
        <v>439.268492108766</v>
      </c>
      <c r="AU58">
        <v>4972.2972151145796</v>
      </c>
    </row>
    <row r="59" spans="2:47">
      <c r="B59" t="str">
        <f t="shared" si="31"/>
        <v>IT0</v>
      </c>
      <c r="C59">
        <f t="shared" si="32"/>
        <v>2035</v>
      </c>
      <c r="D59" t="str">
        <f t="shared" si="33"/>
        <v>GAS_TOT</v>
      </c>
      <c r="E59" s="155">
        <f t="shared" si="4"/>
        <v>135012943.76575994</v>
      </c>
      <c r="F59" t="s">
        <v>31</v>
      </c>
      <c r="G59" t="str">
        <f t="shared" si="34"/>
        <v>natural_gas</v>
      </c>
      <c r="H59">
        <f t="shared" si="35"/>
        <v>1</v>
      </c>
      <c r="I59">
        <f t="shared" si="36"/>
        <v>5</v>
      </c>
      <c r="J59">
        <f t="shared" si="37"/>
        <v>1</v>
      </c>
      <c r="N59">
        <f t="shared" si="30"/>
        <v>0.01</v>
      </c>
      <c r="O59" s="155">
        <f t="shared" si="6"/>
        <v>136376710.87450498</v>
      </c>
      <c r="Q59" s="136"/>
      <c r="X59" s="27" t="e">
        <f t="shared" ref="X59:AD59" si="43">X57/X58/8760</f>
        <v>#DIV/0!</v>
      </c>
      <c r="Y59" s="27">
        <f t="shared" si="43"/>
        <v>0.90000000000000036</v>
      </c>
      <c r="Z59" s="27">
        <f t="shared" si="43"/>
        <v>0.90000000000000036</v>
      </c>
      <c r="AA59" s="27">
        <f t="shared" si="43"/>
        <v>0.90000000000000024</v>
      </c>
      <c r="AB59" s="27">
        <f t="shared" si="43"/>
        <v>0.90000000000000036</v>
      </c>
      <c r="AC59" s="27">
        <f t="shared" si="43"/>
        <v>0.90000000000000036</v>
      </c>
      <c r="AD59" s="27">
        <f t="shared" si="43"/>
        <v>0.90000000000000047</v>
      </c>
      <c r="AE59" s="27">
        <f>AE57/AE58</f>
        <v>7884.0000000000009</v>
      </c>
      <c r="AG59" s="138"/>
      <c r="AH59" t="str">
        <f t="shared" si="40"/>
        <v>..</v>
      </c>
      <c r="AO59" t="s">
        <v>112</v>
      </c>
      <c r="AP59" t="s">
        <v>110</v>
      </c>
      <c r="AQ59" t="s">
        <v>24</v>
      </c>
      <c r="AR59" t="s">
        <v>15</v>
      </c>
      <c r="AS59">
        <v>11536853</v>
      </c>
      <c r="AT59">
        <v>1924</v>
      </c>
      <c r="AU59">
        <v>5996.2853430353398</v>
      </c>
    </row>
    <row r="60" spans="2:47">
      <c r="B60" t="str">
        <f t="shared" si="31"/>
        <v>FR0</v>
      </c>
      <c r="C60">
        <f t="shared" si="32"/>
        <v>2035</v>
      </c>
      <c r="D60" t="str">
        <f t="shared" si="33"/>
        <v>GAS_TOT</v>
      </c>
      <c r="E60" s="155">
        <f t="shared" si="4"/>
        <v>9941925.832129864</v>
      </c>
      <c r="F60" t="s">
        <v>31</v>
      </c>
      <c r="G60" t="str">
        <f t="shared" si="34"/>
        <v>natural_gas</v>
      </c>
      <c r="H60">
        <f t="shared" si="35"/>
        <v>2</v>
      </c>
      <c r="I60">
        <f t="shared" si="36"/>
        <v>5</v>
      </c>
      <c r="J60">
        <f t="shared" si="37"/>
        <v>1</v>
      </c>
      <c r="N60">
        <f t="shared" si="30"/>
        <v>0.01</v>
      </c>
      <c r="O60" s="155">
        <f t="shared" si="6"/>
        <v>10042349.3253837</v>
      </c>
      <c r="Q60" s="136"/>
      <c r="X60" s="26"/>
      <c r="AG60" s="138"/>
      <c r="AH60" t="str">
        <f t="shared" si="40"/>
        <v>..</v>
      </c>
      <c r="AO60" t="s">
        <v>113</v>
      </c>
      <c r="AP60" t="s">
        <v>110</v>
      </c>
      <c r="AQ60" t="s">
        <v>24</v>
      </c>
      <c r="AR60" t="s">
        <v>16</v>
      </c>
      <c r="AS60">
        <v>4244000</v>
      </c>
      <c r="AT60">
        <v>779.92819999999995</v>
      </c>
      <c r="AU60">
        <v>5441.5265405200098</v>
      </c>
    </row>
    <row r="61" spans="2:47">
      <c r="B61" t="str">
        <f t="shared" si="31"/>
        <v>AT0</v>
      </c>
      <c r="C61">
        <f t="shared" si="32"/>
        <v>2035</v>
      </c>
      <c r="D61" t="str">
        <f t="shared" si="33"/>
        <v>GAS_TOT</v>
      </c>
      <c r="E61" s="155">
        <f t="shared" si="4"/>
        <v>19208570.310340982</v>
      </c>
      <c r="F61" t="s">
        <v>31</v>
      </c>
      <c r="G61" t="str">
        <f t="shared" si="34"/>
        <v>natural_gas</v>
      </c>
      <c r="H61">
        <f t="shared" si="35"/>
        <v>3</v>
      </c>
      <c r="I61">
        <f t="shared" si="36"/>
        <v>5</v>
      </c>
      <c r="J61">
        <f t="shared" si="37"/>
        <v>1</v>
      </c>
      <c r="N61">
        <f t="shared" si="30"/>
        <v>0.01</v>
      </c>
      <c r="O61" s="155">
        <f t="shared" si="6"/>
        <v>19402596.273071699</v>
      </c>
      <c r="Q61" s="136"/>
      <c r="R61" t="s">
        <v>14</v>
      </c>
      <c r="S61" t="s">
        <v>65</v>
      </c>
      <c r="T61" t="s">
        <v>143</v>
      </c>
      <c r="W61" t="e">
        <f>INDEX($X$317:$AE$356,MATCH($S61&amp;"."&amp;$T61,$S$317:$S$356,0),MATCH(W$20,$X$316:$AE$316,0))*1000000</f>
        <v>#N/A</v>
      </c>
      <c r="X61" s="139">
        <f t="shared" ref="X61:AD61" si="44">X62*$AE$55</f>
        <v>0</v>
      </c>
      <c r="Y61" s="139">
        <f t="shared" si="44"/>
        <v>102331.00233100275</v>
      </c>
      <c r="Z61" s="139">
        <f t="shared" si="44"/>
        <v>296759.90675990708</v>
      </c>
      <c r="AA61" s="139">
        <f t="shared" si="44"/>
        <v>695850.81585081609</v>
      </c>
      <c r="AB61" s="139">
        <f t="shared" si="44"/>
        <v>1361002.3310023353</v>
      </c>
      <c r="AC61" s="139">
        <f t="shared" si="44"/>
        <v>2363846.153846154</v>
      </c>
      <c r="AD61" s="139">
        <f t="shared" si="44"/>
        <v>3458787.8787878798</v>
      </c>
      <c r="AE61" s="140">
        <f>INDEX($X$317:$AE$356,MATCH($S61&amp;"."&amp;$T61,$S$317:$S$356,0),MATCH(AE$20,$X$316:$AE$316,0))*1000000</f>
        <v>4390000</v>
      </c>
      <c r="AF61" t="s">
        <v>403</v>
      </c>
      <c r="AG61" s="138"/>
      <c r="AH61" t="str">
        <f t="shared" si="40"/>
        <v>CH0.GEO_ELC.POM E</v>
      </c>
      <c r="AJ61">
        <f t="shared" si="19"/>
        <v>4.7E-2</v>
      </c>
      <c r="AO61" t="s">
        <v>114</v>
      </c>
      <c r="AP61" t="s">
        <v>110</v>
      </c>
      <c r="AQ61" t="s">
        <v>24</v>
      </c>
      <c r="AR61" t="s">
        <v>17</v>
      </c>
      <c r="AS61">
        <v>2439800</v>
      </c>
      <c r="AT61">
        <v>916.759056476757</v>
      </c>
      <c r="AU61">
        <v>2661.3317673419201</v>
      </c>
    </row>
    <row r="62" spans="2:47">
      <c r="B62" t="str">
        <f t="shared" si="31"/>
        <v>IT0</v>
      </c>
      <c r="C62">
        <f t="shared" si="32"/>
        <v>2040</v>
      </c>
      <c r="D62" t="str">
        <f t="shared" si="33"/>
        <v>GAS_TOT</v>
      </c>
      <c r="E62" s="155">
        <f t="shared" si="4"/>
        <v>165949662.54158127</v>
      </c>
      <c r="F62" t="s">
        <v>31</v>
      </c>
      <c r="G62" t="str">
        <f t="shared" si="34"/>
        <v>natural_gas</v>
      </c>
      <c r="H62">
        <f t="shared" si="35"/>
        <v>1</v>
      </c>
      <c r="I62">
        <f t="shared" si="36"/>
        <v>6</v>
      </c>
      <c r="J62">
        <f t="shared" si="37"/>
        <v>1</v>
      </c>
      <c r="N62">
        <f t="shared" si="30"/>
        <v>0.01</v>
      </c>
      <c r="O62" s="155">
        <f t="shared" si="6"/>
        <v>167625921.75917301</v>
      </c>
      <c r="Q62" s="136" t="s">
        <v>404</v>
      </c>
      <c r="R62" t="s">
        <v>14</v>
      </c>
      <c r="S62" t="s">
        <v>65</v>
      </c>
      <c r="T62" t="s">
        <v>143</v>
      </c>
      <c r="W62" s="26">
        <f>SUMIFS(ALL_CAPACITY!P$6:P$84,ALL_CAPACITY!$O$6:$O$84,$S62,ALL_CAPACITY!$M$6:$M$84,$R62)</f>
        <v>0</v>
      </c>
      <c r="X62" s="26">
        <f>INDEX(CH!$D$2:$K$37,MATCH($S62&amp;"."&amp;$T62,CH!$M$2:$M$37,0),MATCH(X$50,CH!$D$1:$K$1,0))</f>
        <v>0</v>
      </c>
      <c r="Y62" s="26">
        <f>INDEX(CH!$D$2:$K$37,MATCH($S62&amp;"."&amp;$T62,CH!$M$2:$M$37,0),MATCH(Y$50,CH!$D$1:$K$1,0))</f>
        <v>12.9795791896249</v>
      </c>
      <c r="Z62" s="26">
        <f>INDEX(CH!$D$2:$K$37,MATCH($S62&amp;"."&amp;$T62,CH!$M$2:$M$37,0),MATCH(Z$50,CH!$D$1:$K$1,0))</f>
        <v>37.640779649912098</v>
      </c>
      <c r="AA62" s="26">
        <f>INDEX(CH!$D$2:$K$37,MATCH($S62&amp;"."&amp;$T62,CH!$M$2:$M$37,0),MATCH(AA$50,CH!$D$1:$K$1,0))</f>
        <v>88.261138489448996</v>
      </c>
      <c r="AB62" s="26">
        <f>INDEX(CH!$D$2:$K$37,MATCH($S62&amp;"."&amp;$T62,CH!$M$2:$M$37,0),MATCH(AB$50,CH!$D$1:$K$1,0))</f>
        <v>172.628403222011</v>
      </c>
      <c r="AC62" s="26">
        <f>INDEX(CH!$D$2:$K$37,MATCH($S62&amp;"."&amp;$T62,CH!$M$2:$M$37,0),MATCH(AC$50,CH!$D$1:$K$1,0))</f>
        <v>299.82827928033402</v>
      </c>
      <c r="AD62" s="26">
        <f>INDEX(CH!$D$2:$K$37,MATCH($S62&amp;"."&amp;$T62,CH!$M$2:$M$37,0),MATCH(AD$50,CH!$D$1:$K$1,0))</f>
        <v>438.70977660931999</v>
      </c>
      <c r="AE62" s="26">
        <f>INDEX(CH!$D$2:$K$37,MATCH($S62&amp;"."&amp;$T62,CH!$M$2:$M$37,0),MATCH(AE$50,CH!$D$1:$K$1,0))</f>
        <v>556.82394723490597</v>
      </c>
      <c r="AG62" s="138"/>
      <c r="AH62" t="str">
        <f t="shared" si="40"/>
        <v>CH0.GEO_ELC.POM E</v>
      </c>
      <c r="AJ62">
        <f t="shared" si="19"/>
        <v>4.7E-2</v>
      </c>
      <c r="AQ62" t="s">
        <v>140</v>
      </c>
      <c r="AR62" t="s">
        <v>14</v>
      </c>
      <c r="AS62">
        <v>0</v>
      </c>
    </row>
    <row r="63" spans="2:47">
      <c r="B63" t="str">
        <f t="shared" si="31"/>
        <v>FR0</v>
      </c>
      <c r="C63">
        <f t="shared" si="32"/>
        <v>2040</v>
      </c>
      <c r="D63" t="str">
        <f t="shared" si="33"/>
        <v>GAS_TOT</v>
      </c>
      <c r="E63" s="155">
        <f t="shared" si="4"/>
        <v>53435115.643548772</v>
      </c>
      <c r="F63" t="s">
        <v>31</v>
      </c>
      <c r="G63" t="str">
        <f t="shared" si="34"/>
        <v>natural_gas</v>
      </c>
      <c r="H63">
        <f t="shared" si="35"/>
        <v>2</v>
      </c>
      <c r="I63">
        <f t="shared" si="36"/>
        <v>6</v>
      </c>
      <c r="J63">
        <f t="shared" si="37"/>
        <v>1</v>
      </c>
      <c r="N63">
        <f t="shared" si="30"/>
        <v>0.01</v>
      </c>
      <c r="O63" s="155">
        <f t="shared" si="6"/>
        <v>53974864.286412902</v>
      </c>
      <c r="Q63" s="136"/>
      <c r="X63" s="27" t="e">
        <f t="shared" ref="X63:AD63" si="45">X61/X62/8760</f>
        <v>#DIV/0!</v>
      </c>
      <c r="Y63" s="27">
        <f t="shared" si="45"/>
        <v>0.90000000000000036</v>
      </c>
      <c r="Z63" s="27">
        <f t="shared" si="45"/>
        <v>0.90000000000000036</v>
      </c>
      <c r="AA63" s="27">
        <f t="shared" si="45"/>
        <v>0.90000000000000036</v>
      </c>
      <c r="AB63" s="27">
        <f t="shared" si="45"/>
        <v>0.90000000000000047</v>
      </c>
      <c r="AC63" s="27">
        <f t="shared" si="45"/>
        <v>0.90000000000000024</v>
      </c>
      <c r="AD63" s="27">
        <f t="shared" si="45"/>
        <v>0.90000000000000036</v>
      </c>
      <c r="AE63" s="27">
        <f>AE61/AE62</f>
        <v>7884.0000000000027</v>
      </c>
      <c r="AG63" s="138"/>
      <c r="AH63" t="str">
        <f t="shared" ref="AH63:AH77" si="46">R63&amp;"."&amp;S63</f>
        <v>.</v>
      </c>
      <c r="AO63" t="s">
        <v>116</v>
      </c>
      <c r="AP63" t="s">
        <v>115</v>
      </c>
      <c r="AQ63" t="s">
        <v>140</v>
      </c>
      <c r="AR63" t="s">
        <v>15</v>
      </c>
      <c r="AS63">
        <v>8284000</v>
      </c>
      <c r="AT63">
        <v>3283</v>
      </c>
      <c r="AU63">
        <v>2523.30185805666</v>
      </c>
    </row>
    <row r="64" spans="2:47">
      <c r="B64" t="str">
        <f t="shared" si="31"/>
        <v>AT0</v>
      </c>
      <c r="C64">
        <f t="shared" si="32"/>
        <v>2040</v>
      </c>
      <c r="D64" t="str">
        <f t="shared" si="33"/>
        <v>GAS_TOT</v>
      </c>
      <c r="E64" s="155">
        <f t="shared" si="4"/>
        <v>19737238.551186319</v>
      </c>
      <c r="F64" t="s">
        <v>31</v>
      </c>
      <c r="G64" t="str">
        <f t="shared" si="34"/>
        <v>natural_gas</v>
      </c>
      <c r="H64">
        <f t="shared" si="35"/>
        <v>3</v>
      </c>
      <c r="I64">
        <f t="shared" si="36"/>
        <v>6</v>
      </c>
      <c r="J64">
        <f t="shared" si="37"/>
        <v>1</v>
      </c>
      <c r="N64">
        <f t="shared" si="30"/>
        <v>0.01</v>
      </c>
      <c r="O64" s="155">
        <f t="shared" si="6"/>
        <v>19936604.597157899</v>
      </c>
      <c r="Q64" s="136"/>
      <c r="X64" s="26"/>
      <c r="AG64" s="138"/>
      <c r="AH64" t="str">
        <f t="shared" si="46"/>
        <v>.</v>
      </c>
      <c r="AQ64" t="s">
        <v>140</v>
      </c>
      <c r="AR64" t="s">
        <v>16</v>
      </c>
      <c r="AS64">
        <v>0</v>
      </c>
    </row>
    <row r="65" spans="2:47">
      <c r="B65" t="str">
        <f t="shared" si="31"/>
        <v>IT0</v>
      </c>
      <c r="C65">
        <f t="shared" si="32"/>
        <v>2045</v>
      </c>
      <c r="D65" t="str">
        <f t="shared" si="33"/>
        <v>GAS_TOT</v>
      </c>
      <c r="E65" s="155">
        <f t="shared" si="4"/>
        <v>145277769.02369347</v>
      </c>
      <c r="F65" t="s">
        <v>31</v>
      </c>
      <c r="G65" t="str">
        <f t="shared" si="34"/>
        <v>natural_gas</v>
      </c>
      <c r="H65">
        <f t="shared" si="35"/>
        <v>1</v>
      </c>
      <c r="I65">
        <f t="shared" si="36"/>
        <v>7</v>
      </c>
      <c r="J65">
        <f t="shared" si="37"/>
        <v>1</v>
      </c>
      <c r="N65">
        <f t="shared" si="30"/>
        <v>0.01</v>
      </c>
      <c r="O65" s="155">
        <f t="shared" si="6"/>
        <v>146745221.236054</v>
      </c>
      <c r="Q65" s="141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3"/>
      <c r="AH65" t="str">
        <f t="shared" si="46"/>
        <v>.</v>
      </c>
      <c r="AO65" t="s">
        <v>118</v>
      </c>
      <c r="AP65" t="s">
        <v>120</v>
      </c>
      <c r="AQ65" t="s">
        <v>141</v>
      </c>
      <c r="AR65" t="s">
        <v>12</v>
      </c>
      <c r="AS65">
        <v>4840320.6849378198</v>
      </c>
      <c r="AT65">
        <v>2421</v>
      </c>
      <c r="AU65">
        <v>1999.3063547863801</v>
      </c>
    </row>
    <row r="66" spans="2:47">
      <c r="B66" t="str">
        <f t="shared" si="31"/>
        <v>FR0</v>
      </c>
      <c r="C66">
        <f t="shared" si="32"/>
        <v>2045</v>
      </c>
      <c r="D66" t="str">
        <f t="shared" si="33"/>
        <v>GAS_TOT</v>
      </c>
      <c r="E66" s="155">
        <f t="shared" si="4"/>
        <v>55320585.443686828</v>
      </c>
      <c r="F66" t="s">
        <v>31</v>
      </c>
      <c r="G66" t="str">
        <f t="shared" si="34"/>
        <v>natural_gas</v>
      </c>
      <c r="H66">
        <f t="shared" si="35"/>
        <v>2</v>
      </c>
      <c r="I66">
        <f t="shared" si="36"/>
        <v>7</v>
      </c>
      <c r="J66">
        <f t="shared" si="37"/>
        <v>1</v>
      </c>
      <c r="N66">
        <f t="shared" si="30"/>
        <v>0.01</v>
      </c>
      <c r="O66" s="155">
        <f t="shared" si="6"/>
        <v>55879379.236047305</v>
      </c>
      <c r="AH66" t="str">
        <f t="shared" si="46"/>
        <v>.</v>
      </c>
      <c r="AO66" t="s">
        <v>119</v>
      </c>
      <c r="AP66" t="s">
        <v>120</v>
      </c>
      <c r="AQ66" t="s">
        <v>141</v>
      </c>
      <c r="AR66" t="s">
        <v>14</v>
      </c>
      <c r="AS66">
        <v>110030</v>
      </c>
      <c r="AT66">
        <v>60.287999999999997</v>
      </c>
      <c r="AU66">
        <v>1825.07298301486</v>
      </c>
    </row>
    <row r="67" spans="2:47" ht="15">
      <c r="B67" t="str">
        <f t="shared" si="31"/>
        <v>AT0</v>
      </c>
      <c r="C67">
        <f t="shared" si="32"/>
        <v>2045</v>
      </c>
      <c r="D67" t="str">
        <f t="shared" si="33"/>
        <v>GAS_TOT</v>
      </c>
      <c r="E67" s="155">
        <f t="shared" si="4"/>
        <v>19584917.188930467</v>
      </c>
      <c r="F67" t="s">
        <v>31</v>
      </c>
      <c r="G67" t="str">
        <f t="shared" si="34"/>
        <v>natural_gas</v>
      </c>
      <c r="H67">
        <f t="shared" si="35"/>
        <v>3</v>
      </c>
      <c r="I67">
        <f t="shared" si="36"/>
        <v>7</v>
      </c>
      <c r="J67">
        <f t="shared" si="37"/>
        <v>1</v>
      </c>
      <c r="N67">
        <f t="shared" si="30"/>
        <v>0.01</v>
      </c>
      <c r="O67" s="155">
        <f t="shared" si="6"/>
        <v>19782744.635283299</v>
      </c>
      <c r="Q67" s="133" t="s">
        <v>405</v>
      </c>
      <c r="R67" s="134"/>
      <c r="S67" s="134"/>
      <c r="T67" s="134"/>
      <c r="U67" s="134" t="s">
        <v>398</v>
      </c>
      <c r="V67" s="134"/>
      <c r="W67" s="134" t="s">
        <v>126</v>
      </c>
      <c r="X67" s="134">
        <v>2015</v>
      </c>
      <c r="Y67" s="134">
        <v>2020</v>
      </c>
      <c r="Z67" s="134">
        <v>2025</v>
      </c>
      <c r="AA67" s="134">
        <v>2030</v>
      </c>
      <c r="AB67" s="134">
        <v>2035</v>
      </c>
      <c r="AC67" s="134">
        <v>2040</v>
      </c>
      <c r="AD67" s="134">
        <v>2045</v>
      </c>
      <c r="AE67" s="134">
        <v>2050</v>
      </c>
      <c r="AF67" s="134"/>
      <c r="AG67" s="135"/>
      <c r="AH67" t="str">
        <f t="shared" si="46"/>
        <v>.</v>
      </c>
      <c r="AO67" t="s">
        <v>121</v>
      </c>
      <c r="AP67" t="s">
        <v>120</v>
      </c>
      <c r="AQ67" t="s">
        <v>141</v>
      </c>
      <c r="AR67" t="s">
        <v>15</v>
      </c>
      <c r="AS67">
        <v>72340000</v>
      </c>
      <c r="AT67">
        <v>41297</v>
      </c>
      <c r="AU67">
        <v>1751.70109208901</v>
      </c>
    </row>
    <row r="68" spans="2:47">
      <c r="B68" t="str">
        <f t="shared" si="31"/>
        <v>IT0</v>
      </c>
      <c r="C68">
        <f t="shared" si="32"/>
        <v>2050</v>
      </c>
      <c r="D68" t="str">
        <f t="shared" si="33"/>
        <v>GAS_TOT</v>
      </c>
      <c r="E68" s="155">
        <f t="shared" si="4"/>
        <v>142296187.69353238</v>
      </c>
      <c r="F68" t="s">
        <v>31</v>
      </c>
      <c r="G68" t="str">
        <f t="shared" si="34"/>
        <v>natural_gas</v>
      </c>
      <c r="H68">
        <f t="shared" si="35"/>
        <v>1</v>
      </c>
      <c r="I68">
        <f t="shared" si="36"/>
        <v>8</v>
      </c>
      <c r="J68">
        <f t="shared" si="37"/>
        <v>1</v>
      </c>
      <c r="N68">
        <f t="shared" si="30"/>
        <v>0.01</v>
      </c>
      <c r="O68" s="155">
        <f t="shared" si="6"/>
        <v>143733522.92275998</v>
      </c>
      <c r="Q68" s="136"/>
      <c r="R68" t="s">
        <v>17</v>
      </c>
      <c r="S68" t="s">
        <v>55</v>
      </c>
      <c r="W68" s="1">
        <f>SUMIFS($AS$4:$AS$69,$AP$4:$AP$69,$S68,$AR$4:$AR$69,$R68)</f>
        <v>18175800</v>
      </c>
      <c r="X68" s="144">
        <f t="shared" ref="X68:AE68" si="47">X69*$U69</f>
        <v>18175800</v>
      </c>
      <c r="Y68" s="144">
        <f t="shared" si="47"/>
        <v>22743426.763591714</v>
      </c>
      <c r="Z68" s="144">
        <f t="shared" si="47"/>
        <v>23179157.71364205</v>
      </c>
      <c r="AA68" s="144">
        <f t="shared" si="47"/>
        <v>22912542.223823972</v>
      </c>
      <c r="AB68" s="144">
        <f t="shared" si="47"/>
        <v>23514013.431404926</v>
      </c>
      <c r="AC68" s="144">
        <f t="shared" si="47"/>
        <v>28775777.58661503</v>
      </c>
      <c r="AD68" s="144">
        <f t="shared" si="47"/>
        <v>28826887.290175006</v>
      </c>
      <c r="AE68" s="144">
        <f t="shared" si="47"/>
        <v>28483746.453836191</v>
      </c>
      <c r="AG68" s="138"/>
      <c r="AH68" t="str">
        <f t="shared" si="46"/>
        <v>IT0.BAL_ELC</v>
      </c>
      <c r="AJ68">
        <f t="shared" si="19"/>
        <v>8.5000000000000006E-2</v>
      </c>
      <c r="AO68" t="s">
        <v>122</v>
      </c>
      <c r="AP68" t="s">
        <v>120</v>
      </c>
      <c r="AQ68" t="s">
        <v>141</v>
      </c>
      <c r="AR68" t="s">
        <v>16</v>
      </c>
      <c r="AS68">
        <v>21249000</v>
      </c>
      <c r="AT68">
        <v>10324.5</v>
      </c>
      <c r="AU68">
        <v>2058.1141943919802</v>
      </c>
    </row>
    <row r="69" spans="2:47">
      <c r="B69" t="str">
        <f t="shared" si="31"/>
        <v>FR0</v>
      </c>
      <c r="C69">
        <f t="shared" si="32"/>
        <v>2050</v>
      </c>
      <c r="D69" t="str">
        <f t="shared" si="33"/>
        <v>GAS_TOT</v>
      </c>
      <c r="E69" s="155">
        <f t="shared" si="4"/>
        <v>38889687.315191127</v>
      </c>
      <c r="F69" t="s">
        <v>31</v>
      </c>
      <c r="G69" t="str">
        <f t="shared" si="34"/>
        <v>natural_gas</v>
      </c>
      <c r="H69">
        <f t="shared" si="35"/>
        <v>2</v>
      </c>
      <c r="I69">
        <f t="shared" si="36"/>
        <v>8</v>
      </c>
      <c r="J69">
        <f t="shared" si="37"/>
        <v>1</v>
      </c>
      <c r="N69">
        <f t="shared" si="30"/>
        <v>0.01</v>
      </c>
      <c r="O69" s="155">
        <f t="shared" si="6"/>
        <v>39282512.439586997</v>
      </c>
      <c r="Q69" s="136" t="s">
        <v>404</v>
      </c>
      <c r="R69" t="s">
        <v>17</v>
      </c>
      <c r="S69" t="s">
        <v>55</v>
      </c>
      <c r="U69" s="155">
        <f>W68/W69</f>
        <v>6090.2498369225532</v>
      </c>
      <c r="W69" s="26">
        <f>SUMIFS(ALL_CAPACITY!P$6:P$84,ALL_CAPACITY!$O$6:$O$84,$S69,ALL_CAPACITY!$M$6:$M$84,$R69)</f>
        <v>2984.4095869118501</v>
      </c>
      <c r="X69" s="26">
        <f>INDEX(ALL_CAPACITY!$P$6:$X$84,MATCH($R69&amp;"."&amp;$S69,ALL_CAPACITY!$Z$6:$Z$84,0),MATCH(X$67,ALL_CAPACITY!$P$5:$X$5,0))</f>
        <v>2984.4095869118501</v>
      </c>
      <c r="Y69" s="26">
        <f>INDEX(ALL_CAPACITY!$P$6:$X$84,MATCH($R69&amp;"."&amp;$S69,ALL_CAPACITY!$Z$6:$Z$84,0),MATCH(Y$67,ALL_CAPACITY!$P$5:$X$5,0))</f>
        <v>3734.3996342659284</v>
      </c>
      <c r="Z69" s="26">
        <f>INDEX(ALL_CAPACITY!$P$6:$X$84,MATCH($R69&amp;"."&amp;$S69,ALL_CAPACITY!$Z$6:$Z$84,0),MATCH(Z$67,ALL_CAPACITY!$P$5:$X$5,0))</f>
        <v>3805.945295235153</v>
      </c>
      <c r="AA69" s="26">
        <f>INDEX(ALL_CAPACITY!$P$6:$X$84,MATCH($R69&amp;"."&amp;$S69,ALL_CAPACITY!$Z$6:$Z$84,0),MATCH(AA$67,ALL_CAPACITY!$P$5:$X$5,0))</f>
        <v>3762.1678645948364</v>
      </c>
      <c r="AB69" s="26">
        <f>INDEX(ALL_CAPACITY!$P$6:$X$84,MATCH($R69&amp;"."&amp;$S69,ALL_CAPACITY!$Z$6:$Z$84,0),MATCH(AB$67,ALL_CAPACITY!$P$5:$X$5,0))</f>
        <v>3860.927558151986</v>
      </c>
      <c r="AC69" s="26">
        <f>INDEX(ALL_CAPACITY!$P$6:$X$84,MATCH($R69&amp;"."&amp;$S69,ALL_CAPACITY!$Z$6:$Z$84,0),MATCH(AC$67,ALL_CAPACITY!$P$5:$X$5,0))</f>
        <v>4724.8927970343557</v>
      </c>
      <c r="AD69" s="26">
        <f>INDEX(ALL_CAPACITY!$P$6:$X$84,MATCH($R69&amp;"."&amp;$S69,ALL_CAPACITY!$Z$6:$Z$84,0),MATCH(AD$67,ALL_CAPACITY!$P$5:$X$5,0))</f>
        <v>4733.2848507149974</v>
      </c>
      <c r="AE69" s="26">
        <f>INDEX(ALL_CAPACITY!$P$6:$X$84,MATCH($R69&amp;"."&amp;$S69,ALL_CAPACITY!$Z$6:$Z$84,0),MATCH(AE$67,ALL_CAPACITY!$P$5:$X$5,0))</f>
        <v>4676.9421972070086</v>
      </c>
      <c r="AG69" s="138"/>
      <c r="AH69" t="str">
        <f t="shared" si="46"/>
        <v>IT0.BAL_ELC</v>
      </c>
      <c r="AJ69">
        <f t="shared" si="19"/>
        <v>8.5000000000000006E-2</v>
      </c>
      <c r="AO69" t="s">
        <v>123</v>
      </c>
      <c r="AP69" t="s">
        <v>120</v>
      </c>
      <c r="AQ69" t="s">
        <v>141</v>
      </c>
      <c r="AR69" t="s">
        <v>17</v>
      </c>
      <c r="AS69">
        <v>14843900</v>
      </c>
      <c r="AT69">
        <v>9136.6291141882502</v>
      </c>
      <c r="AU69">
        <v>1624.6582644959201</v>
      </c>
    </row>
    <row r="70" spans="2:47">
      <c r="B70" t="str">
        <f t="shared" si="31"/>
        <v>AT0</v>
      </c>
      <c r="C70">
        <f t="shared" si="32"/>
        <v>2050</v>
      </c>
      <c r="D70" t="str">
        <f t="shared" si="33"/>
        <v>GAS_TOT</v>
      </c>
      <c r="E70" s="155">
        <f t="shared" si="4"/>
        <v>17289143.838449109</v>
      </c>
      <c r="F70" t="s">
        <v>31</v>
      </c>
      <c r="G70" t="str">
        <f t="shared" si="34"/>
        <v>natural_gas</v>
      </c>
      <c r="H70">
        <f t="shared" si="35"/>
        <v>3</v>
      </c>
      <c r="I70">
        <f t="shared" si="36"/>
        <v>8</v>
      </c>
      <c r="J70">
        <f t="shared" si="37"/>
        <v>1</v>
      </c>
      <c r="N70">
        <f t="shared" si="30"/>
        <v>0.01</v>
      </c>
      <c r="O70" s="155">
        <f t="shared" si="6"/>
        <v>17463781.6549991</v>
      </c>
      <c r="Q70" s="136"/>
      <c r="R70" t="s">
        <v>15</v>
      </c>
      <c r="S70" t="s">
        <v>55</v>
      </c>
      <c r="U70" s="155"/>
      <c r="W70" s="1">
        <f>SUMIFS($AS$4:$AS$69,$AP$4:$AP$69,$S70,$AR$4:$AR$69,$R70)</f>
        <v>44573000</v>
      </c>
      <c r="X70" s="144">
        <f t="shared" ref="X70:AE70" si="48">X71*$U71</f>
        <v>44573000</v>
      </c>
      <c r="Y70" s="144">
        <f t="shared" si="48"/>
        <v>44573000</v>
      </c>
      <c r="Z70" s="144">
        <f t="shared" si="48"/>
        <v>44573000</v>
      </c>
      <c r="AA70" s="144">
        <f t="shared" si="48"/>
        <v>44573000</v>
      </c>
      <c r="AB70" s="144">
        <f t="shared" si="48"/>
        <v>44573000</v>
      </c>
      <c r="AC70" s="144">
        <f t="shared" si="48"/>
        <v>44573000</v>
      </c>
      <c r="AD70" s="144">
        <f t="shared" si="48"/>
        <v>44573000</v>
      </c>
      <c r="AE70" s="144">
        <f t="shared" si="48"/>
        <v>44573000</v>
      </c>
      <c r="AG70" s="138"/>
      <c r="AH70" t="str">
        <f t="shared" si="46"/>
        <v>DE0.BAL_ELC</v>
      </c>
      <c r="AJ70">
        <f t="shared" si="19"/>
        <v>8.5000000000000006E-2</v>
      </c>
    </row>
    <row r="71" spans="2:47">
      <c r="B71" t="str">
        <f t="shared" si="31"/>
        <v>IT0</v>
      </c>
      <c r="C71">
        <f t="shared" si="32"/>
        <v>2015</v>
      </c>
      <c r="D71" t="str">
        <f t="shared" si="33"/>
        <v>HCO_LIN</v>
      </c>
      <c r="E71" s="155">
        <f t="shared" si="4"/>
        <v>53853059.962231345</v>
      </c>
      <c r="F71" t="s">
        <v>31</v>
      </c>
      <c r="G71" t="str">
        <f t="shared" si="34"/>
        <v>hard_coal</v>
      </c>
      <c r="H71">
        <f t="shared" si="35"/>
        <v>1</v>
      </c>
      <c r="I71">
        <f t="shared" si="36"/>
        <v>1</v>
      </c>
      <c r="J71">
        <f t="shared" si="37"/>
        <v>2</v>
      </c>
      <c r="N71">
        <f t="shared" si="30"/>
        <v>8.5000000000000006E-2</v>
      </c>
      <c r="O71" s="155">
        <f t="shared" si="6"/>
        <v>58855803.237411305</v>
      </c>
      <c r="Q71" s="136" t="s">
        <v>404</v>
      </c>
      <c r="R71" t="s">
        <v>15</v>
      </c>
      <c r="S71" t="s">
        <v>55</v>
      </c>
      <c r="U71" s="155">
        <f>W70/W71</f>
        <v>5969.3317262622204</v>
      </c>
      <c r="W71" s="26">
        <f>SUMIFS(ALL_CAPACITY!P$6:P$84,ALL_CAPACITY!$O$6:$O$84,$S71,ALL_CAPACITY!$M$6:$M$84,$R71)</f>
        <v>7467</v>
      </c>
      <c r="X71" s="26">
        <f>INDEX(ALL_CAPACITY!$P$6:$X$84,MATCH($R71&amp;"."&amp;$S71,ALL_CAPACITY!$Z$6:$Z$84,0),MATCH(X$67,ALL_CAPACITY!$P$5:$X$5,0))</f>
        <v>7467</v>
      </c>
      <c r="Y71" s="26">
        <f>INDEX(ALL_CAPACITY!$P$6:$X$84,MATCH($R71&amp;"."&amp;$S71,ALL_CAPACITY!$Z$6:$Z$84,0),MATCH(Y$67,ALL_CAPACITY!$P$5:$X$5,0))</f>
        <v>7467</v>
      </c>
      <c r="Z71" s="26">
        <f>INDEX(ALL_CAPACITY!$P$6:$X$84,MATCH($R71&amp;"."&amp;$S71,ALL_CAPACITY!$Z$6:$Z$84,0),MATCH(Z$67,ALL_CAPACITY!$P$5:$X$5,0))</f>
        <v>7467</v>
      </c>
      <c r="AA71" s="26">
        <f>INDEX(ALL_CAPACITY!$P$6:$X$84,MATCH($R71&amp;"."&amp;$S71,ALL_CAPACITY!$Z$6:$Z$84,0),MATCH(AA$67,ALL_CAPACITY!$P$5:$X$5,0))</f>
        <v>7467</v>
      </c>
      <c r="AB71" s="26">
        <f>INDEX(ALL_CAPACITY!$P$6:$X$84,MATCH($R71&amp;"."&amp;$S71,ALL_CAPACITY!$Z$6:$Z$84,0),MATCH(AB$67,ALL_CAPACITY!$P$5:$X$5,0))</f>
        <v>7467</v>
      </c>
      <c r="AC71" s="26">
        <f>INDEX(ALL_CAPACITY!$P$6:$X$84,MATCH($R71&amp;"."&amp;$S71,ALL_CAPACITY!$Z$6:$Z$84,0),MATCH(AC$67,ALL_CAPACITY!$P$5:$X$5,0))</f>
        <v>7467</v>
      </c>
      <c r="AD71" s="26">
        <f>INDEX(ALL_CAPACITY!$P$6:$X$84,MATCH($R71&amp;"."&amp;$S71,ALL_CAPACITY!$Z$6:$Z$84,0),MATCH(AD$67,ALL_CAPACITY!$P$5:$X$5,0))</f>
        <v>7467</v>
      </c>
      <c r="AE71" s="26">
        <f>INDEX(ALL_CAPACITY!$P$6:$X$84,MATCH($R71&amp;"."&amp;$S71,ALL_CAPACITY!$Z$6:$Z$84,0),MATCH(AE$67,ALL_CAPACITY!$P$5:$X$5,0))</f>
        <v>7467</v>
      </c>
      <c r="AG71" s="138"/>
      <c r="AH71" t="str">
        <f t="shared" si="46"/>
        <v>DE0.BAL_ELC</v>
      </c>
      <c r="AJ71">
        <f t="shared" si="19"/>
        <v>8.5000000000000006E-2</v>
      </c>
    </row>
    <row r="72" spans="2:47">
      <c r="B72" t="str">
        <f t="shared" si="31"/>
        <v>FR0</v>
      </c>
      <c r="C72">
        <f t="shared" si="32"/>
        <v>2015</v>
      </c>
      <c r="D72" t="str">
        <f t="shared" si="33"/>
        <v>HCO_LIN</v>
      </c>
      <c r="E72" s="155">
        <f t="shared" si="4"/>
        <v>8070642.0824392093</v>
      </c>
      <c r="F72" t="s">
        <v>31</v>
      </c>
      <c r="G72" t="str">
        <f t="shared" si="34"/>
        <v>hard_coal</v>
      </c>
      <c r="H72">
        <f t="shared" si="35"/>
        <v>2</v>
      </c>
      <c r="I72">
        <f t="shared" si="36"/>
        <v>1</v>
      </c>
      <c r="J72">
        <f t="shared" si="37"/>
        <v>2</v>
      </c>
      <c r="N72">
        <f t="shared" si="30"/>
        <v>8.5000000000000006E-2</v>
      </c>
      <c r="O72" s="155">
        <f t="shared" si="6"/>
        <v>8820373.8605892994</v>
      </c>
      <c r="Q72" s="136"/>
      <c r="R72" t="s">
        <v>12</v>
      </c>
      <c r="S72" t="s">
        <v>55</v>
      </c>
      <c r="U72" s="155"/>
      <c r="W72" s="1">
        <f>SUMIFS($AS$4:$AS$69,$AP$4:$AP$69,$S72,$AR$4:$AR$69,$R72)</f>
        <v>4120629.6161127202</v>
      </c>
      <c r="X72" s="144">
        <f t="shared" ref="X72:AE72" si="49">X73*$U73</f>
        <v>2648250.2555197589</v>
      </c>
      <c r="Y72" s="144">
        <f t="shared" si="49"/>
        <v>3251344.5362840658</v>
      </c>
      <c r="Z72" s="144">
        <f t="shared" si="49"/>
        <v>3196597.7199299862</v>
      </c>
      <c r="AA72" s="144">
        <f t="shared" si="49"/>
        <v>3400640.8275722992</v>
      </c>
      <c r="AB72" s="144">
        <f t="shared" si="49"/>
        <v>3371863.6834417703</v>
      </c>
      <c r="AC72" s="144">
        <f t="shared" si="49"/>
        <v>4319440.3836140661</v>
      </c>
      <c r="AD72" s="144">
        <f t="shared" si="49"/>
        <v>4145429.5978129795</v>
      </c>
      <c r="AE72" s="144">
        <f t="shared" si="49"/>
        <v>3537615.9834788484</v>
      </c>
      <c r="AG72" s="138"/>
      <c r="AH72" t="str">
        <f t="shared" si="46"/>
        <v>AT0.BAL_ELC</v>
      </c>
      <c r="AJ72">
        <f t="shared" si="19"/>
        <v>8.5000000000000006E-2</v>
      </c>
    </row>
    <row r="73" spans="2:47">
      <c r="B73" t="str">
        <f t="shared" si="31"/>
        <v>AT0</v>
      </c>
      <c r="C73">
        <f t="shared" si="32"/>
        <v>2015</v>
      </c>
      <c r="D73" t="str">
        <f t="shared" si="33"/>
        <v>HCO_LIN</v>
      </c>
      <c r="E73" s="155">
        <f t="shared" si="4"/>
        <v>3837415.2229196681</v>
      </c>
      <c r="F73" t="s">
        <v>31</v>
      </c>
      <c r="G73" t="str">
        <f t="shared" si="34"/>
        <v>hard_coal</v>
      </c>
      <c r="H73">
        <f t="shared" si="35"/>
        <v>3</v>
      </c>
      <c r="I73">
        <f t="shared" si="36"/>
        <v>1</v>
      </c>
      <c r="J73">
        <f t="shared" si="37"/>
        <v>2</v>
      </c>
      <c r="N73">
        <f t="shared" si="30"/>
        <v>8.5000000000000006E-2</v>
      </c>
      <c r="O73" s="155">
        <f t="shared" si="6"/>
        <v>4193896.4184914404</v>
      </c>
      <c r="Q73" s="136" t="s">
        <v>404</v>
      </c>
      <c r="R73" t="s">
        <v>12</v>
      </c>
      <c r="S73" t="s">
        <v>55</v>
      </c>
      <c r="U73" s="155">
        <f>W72/W73</f>
        <v>6685.0606712230947</v>
      </c>
      <c r="W73" s="26">
        <f>SUMIFS(ALL_CAPACITY!P$6:P$84,ALL_CAPACITY!$O$6:$O$84,$S73,ALL_CAPACITY!$M$6:$M$84,$R73)</f>
        <v>616.39374999999995</v>
      </c>
      <c r="X73" s="26">
        <f>INDEX(ALL_CAPACITY!$P$6:$X$84,MATCH($R73&amp;"."&amp;$S73,ALL_CAPACITY!$Z$6:$Z$84,0),MATCH(X$67,ALL_CAPACITY!$P$5:$X$5,0))</f>
        <v>396.1445356688493</v>
      </c>
      <c r="Y73" s="26">
        <f>INDEX(ALL_CAPACITY!$P$6:$X$84,MATCH($R73&amp;"."&amp;$S73,ALL_CAPACITY!$Z$6:$Z$84,0),MATCH(Y$67,ALL_CAPACITY!$P$5:$X$5,0))</f>
        <v>486.35976488291192</v>
      </c>
      <c r="Z73" s="26">
        <f>INDEX(ALL_CAPACITY!$P$6:$X$84,MATCH($R73&amp;"."&amp;$S73,ALL_CAPACITY!$Z$6:$Z$84,0),MATCH(Z$67,ALL_CAPACITY!$P$5:$X$5,0))</f>
        <v>478.17033788343144</v>
      </c>
      <c r="AA73" s="26">
        <f>INDEX(ALL_CAPACITY!$P$6:$X$84,MATCH($R73&amp;"."&amp;$S73,ALL_CAPACITY!$Z$6:$Z$84,0),MATCH(AA$67,ALL_CAPACITY!$P$5:$X$5,0))</f>
        <v>508.69259006292907</v>
      </c>
      <c r="AB73" s="26">
        <f>INDEX(ALL_CAPACITY!$P$6:$X$84,MATCH($R73&amp;"."&amp;$S73,ALL_CAPACITY!$Z$6:$Z$84,0),MATCH(AB$67,ALL_CAPACITY!$P$5:$X$5,0))</f>
        <v>504.38789552898044</v>
      </c>
      <c r="AC73" s="26">
        <f>INDEX(ALL_CAPACITY!$P$6:$X$84,MATCH($R73&amp;"."&amp;$S73,ALL_CAPACITY!$Z$6:$Z$84,0),MATCH(AC$67,ALL_CAPACITY!$P$5:$X$5,0))</f>
        <v>646.13331068299544</v>
      </c>
      <c r="AD73" s="26">
        <f>INDEX(ALL_CAPACITY!$P$6:$X$84,MATCH($R73&amp;"."&amp;$S73,ALL_CAPACITY!$Z$6:$Z$84,0),MATCH(AD$67,ALL_CAPACITY!$P$5:$X$5,0))</f>
        <v>620.1035116491372</v>
      </c>
      <c r="AE73" s="26">
        <f>INDEX(ALL_CAPACITY!$P$6:$X$84,MATCH($R73&amp;"."&amp;$S73,ALL_CAPACITY!$Z$6:$Z$84,0),MATCH(AE$67,ALL_CAPACITY!$P$5:$X$5,0))</f>
        <v>529.18233019291483</v>
      </c>
      <c r="AG73" s="138"/>
      <c r="AH73" t="str">
        <f t="shared" si="46"/>
        <v>AT0.BAL_ELC</v>
      </c>
      <c r="AJ73">
        <f t="shared" si="19"/>
        <v>8.5000000000000006E-2</v>
      </c>
    </row>
    <row r="74" spans="2:47">
      <c r="B74" t="str">
        <f t="shared" si="31"/>
        <v>IT0</v>
      </c>
      <c r="C74">
        <f t="shared" si="32"/>
        <v>2020</v>
      </c>
      <c r="D74" t="str">
        <f t="shared" si="33"/>
        <v>HCO_LIN</v>
      </c>
      <c r="E74" s="155">
        <f t="shared" si="4"/>
        <v>61453986.182493925</v>
      </c>
      <c r="F74" t="s">
        <v>31</v>
      </c>
      <c r="G74" t="str">
        <f t="shared" si="34"/>
        <v>hard_coal</v>
      </c>
      <c r="H74">
        <f t="shared" si="35"/>
        <v>1</v>
      </c>
      <c r="I74">
        <f t="shared" si="36"/>
        <v>2</v>
      </c>
      <c r="J74">
        <f t="shared" si="37"/>
        <v>2</v>
      </c>
      <c r="N74">
        <f t="shared" si="30"/>
        <v>8.5000000000000006E-2</v>
      </c>
      <c r="O74" s="155">
        <f t="shared" si="6"/>
        <v>67162826.428955108</v>
      </c>
      <c r="Q74" s="136"/>
      <c r="R74" t="s">
        <v>16</v>
      </c>
      <c r="S74" t="s">
        <v>55</v>
      </c>
      <c r="U74" s="155"/>
      <c r="W74" s="1">
        <f>SUMIFS($AS$4:$AS$69,$AP$4:$AP$69,$S74,$AR$4:$AR$69,$R74)</f>
        <v>7964700</v>
      </c>
      <c r="X74" s="144">
        <f t="shared" ref="X74:AE74" si="50">X75*$U75</f>
        <v>7964699.9999999991</v>
      </c>
      <c r="Y74" s="144">
        <f t="shared" si="50"/>
        <v>13534867.329808174</v>
      </c>
      <c r="Z74" s="144">
        <f t="shared" si="50"/>
        <v>15416749.202747503</v>
      </c>
      <c r="AA74" s="144">
        <f t="shared" si="50"/>
        <v>16048428.163721601</v>
      </c>
      <c r="AB74" s="144">
        <f t="shared" si="50"/>
        <v>16185864.899553459</v>
      </c>
      <c r="AC74" s="144">
        <f t="shared" si="50"/>
        <v>16408348.427767087</v>
      </c>
      <c r="AD74" s="144">
        <f t="shared" si="50"/>
        <v>16828758.73964949</v>
      </c>
      <c r="AE74" s="144">
        <f t="shared" si="50"/>
        <v>17005241.578574676</v>
      </c>
      <c r="AG74" s="138"/>
      <c r="AH74" t="str">
        <f t="shared" si="46"/>
        <v>FR0.BAL_ELC</v>
      </c>
      <c r="AJ74">
        <f t="shared" si="19"/>
        <v>8.5000000000000006E-2</v>
      </c>
    </row>
    <row r="75" spans="2:47">
      <c r="B75" t="str">
        <f t="shared" si="31"/>
        <v>FR0</v>
      </c>
      <c r="C75">
        <f t="shared" si="32"/>
        <v>2020</v>
      </c>
      <c r="D75" t="str">
        <f t="shared" si="33"/>
        <v>HCO_LIN</v>
      </c>
      <c r="E75" s="155">
        <f t="shared" si="4"/>
        <v>8334656.9916366898</v>
      </c>
      <c r="F75" t="s">
        <v>31</v>
      </c>
      <c r="G75" t="str">
        <f t="shared" si="34"/>
        <v>hard_coal</v>
      </c>
      <c r="H75">
        <f t="shared" si="35"/>
        <v>2</v>
      </c>
      <c r="I75">
        <f t="shared" si="36"/>
        <v>2</v>
      </c>
      <c r="J75">
        <f t="shared" si="37"/>
        <v>2</v>
      </c>
      <c r="N75">
        <f t="shared" si="30"/>
        <v>8.5000000000000006E-2</v>
      </c>
      <c r="O75" s="155">
        <f t="shared" si="6"/>
        <v>9108914.7449581306</v>
      </c>
      <c r="Q75" s="136" t="s">
        <v>404</v>
      </c>
      <c r="R75" t="s">
        <v>16</v>
      </c>
      <c r="S75" t="s">
        <v>55</v>
      </c>
      <c r="U75" s="155">
        <f>W74/W75</f>
        <v>8629.4077457187741</v>
      </c>
      <c r="W75" s="26">
        <f>SUMIFS(ALL_CAPACITY!P$6:P$84,ALL_CAPACITY!$O$6:$O$84,$S75,ALL_CAPACITY!$M$6:$M$84,$R75)</f>
        <v>922.97180000000003</v>
      </c>
      <c r="X75" s="26">
        <f>INDEX(ALL_CAPACITY!$P$6:$X$84,MATCH($R75&amp;"."&amp;$S75,ALL_CAPACITY!$Z$6:$Z$84,0),MATCH(X$67,ALL_CAPACITY!$P$5:$X$5,0))</f>
        <v>922.97180000000003</v>
      </c>
      <c r="Y75" s="26">
        <f>INDEX(ALL_CAPACITY!$P$6:$X$84,MATCH($R75&amp;"."&amp;$S75,ALL_CAPACITY!$Z$6:$Z$84,0),MATCH(Y$67,ALL_CAPACITY!$P$5:$X$5,0))</f>
        <v>1568.4584305942778</v>
      </c>
      <c r="Z75" s="26">
        <f>INDEX(ALL_CAPACITY!$P$6:$X$84,MATCH($R75&amp;"."&amp;$S75,ALL_CAPACITY!$Z$6:$Z$84,0),MATCH(Z$67,ALL_CAPACITY!$P$5:$X$5,0))</f>
        <v>1786.5361861474291</v>
      </c>
      <c r="AA75" s="26">
        <f>INDEX(ALL_CAPACITY!$P$6:$X$84,MATCH($R75&amp;"."&amp;$S75,ALL_CAPACITY!$Z$6:$Z$84,0),MATCH(AA$67,ALL_CAPACITY!$P$5:$X$5,0))</f>
        <v>1859.7369178300278</v>
      </c>
      <c r="AB75" s="26">
        <f>INDEX(ALL_CAPACITY!$P$6:$X$84,MATCH($R75&amp;"."&amp;$S75,ALL_CAPACITY!$Z$6:$Z$84,0),MATCH(AB$67,ALL_CAPACITY!$P$5:$X$5,0))</f>
        <v>1875.663472685434</v>
      </c>
      <c r="AC75" s="26">
        <f>INDEX(ALL_CAPACITY!$P$6:$X$84,MATCH($R75&amp;"."&amp;$S75,ALL_CAPACITY!$Z$6:$Z$84,0),MATCH(AC$67,ALL_CAPACITY!$P$5:$X$5,0))</f>
        <v>1901.4454886440619</v>
      </c>
      <c r="AD75" s="26">
        <f>INDEX(ALL_CAPACITY!$P$6:$X$84,MATCH($R75&amp;"."&amp;$S75,ALL_CAPACITY!$Z$6:$Z$84,0),MATCH(AD$67,ALL_CAPACITY!$P$5:$X$5,0))</f>
        <v>1950.1638160508269</v>
      </c>
      <c r="AE75" s="26">
        <f>INDEX(ALL_CAPACITY!$P$6:$X$84,MATCH($R75&amp;"."&amp;$S75,ALL_CAPACITY!$Z$6:$Z$84,0),MATCH(AE$67,ALL_CAPACITY!$P$5:$X$5,0))</f>
        <v>1970.6151429698432</v>
      </c>
      <c r="AG75" s="138"/>
      <c r="AH75" t="str">
        <f t="shared" si="46"/>
        <v>FR0.BAL_ELC</v>
      </c>
      <c r="AJ75">
        <f t="shared" si="19"/>
        <v>8.5000000000000006E-2</v>
      </c>
    </row>
    <row r="76" spans="2:47">
      <c r="B76" t="str">
        <f t="shared" si="31"/>
        <v>AT0</v>
      </c>
      <c r="C76">
        <f t="shared" si="32"/>
        <v>2020</v>
      </c>
      <c r="D76" t="str">
        <f t="shared" si="33"/>
        <v>HCO_LIN</v>
      </c>
      <c r="E76" s="155">
        <f t="shared" ref="E76:E139" si="51">O76*(1-N76)</f>
        <v>4519671.393254864</v>
      </c>
      <c r="F76" t="s">
        <v>31</v>
      </c>
      <c r="G76" t="str">
        <f t="shared" si="34"/>
        <v>hard_coal</v>
      </c>
      <c r="H76">
        <f t="shared" si="35"/>
        <v>3</v>
      </c>
      <c r="I76">
        <f t="shared" si="36"/>
        <v>2</v>
      </c>
      <c r="J76">
        <f t="shared" si="37"/>
        <v>2</v>
      </c>
      <c r="N76">
        <f t="shared" si="30"/>
        <v>8.5000000000000006E-2</v>
      </c>
      <c r="O76" s="155">
        <f t="shared" ref="O76:O139" si="52">INDEX($W$21:$AE$249,MATCH(B76&amp;"."&amp;D76,$AH$21:$AH$249,0),MATCH(C76,$W$20:$AE$20,0))</f>
        <v>4939531.5773277199</v>
      </c>
      <c r="Q76" s="136"/>
      <c r="U76" s="155"/>
      <c r="AG76" s="138"/>
      <c r="AH76" t="str">
        <f t="shared" si="46"/>
        <v>.</v>
      </c>
    </row>
    <row r="77" spans="2:47">
      <c r="B77" t="str">
        <f t="shared" si="31"/>
        <v>IT0</v>
      </c>
      <c r="C77">
        <f t="shared" si="32"/>
        <v>2025</v>
      </c>
      <c r="D77" t="str">
        <f t="shared" si="33"/>
        <v>HCO_LIN</v>
      </c>
      <c r="E77" s="155">
        <f t="shared" si="51"/>
        <v>41260345.388193317</v>
      </c>
      <c r="F77" t="s">
        <v>31</v>
      </c>
      <c r="G77" t="str">
        <f t="shared" si="34"/>
        <v>hard_coal</v>
      </c>
      <c r="H77">
        <f t="shared" si="35"/>
        <v>1</v>
      </c>
      <c r="I77">
        <f t="shared" si="36"/>
        <v>3</v>
      </c>
      <c r="J77">
        <f t="shared" si="37"/>
        <v>2</v>
      </c>
      <c r="N77">
        <f t="shared" si="30"/>
        <v>8.5000000000000006E-2</v>
      </c>
      <c r="O77" s="155">
        <f t="shared" si="52"/>
        <v>45093273.648298703</v>
      </c>
      <c r="Q77" s="136"/>
      <c r="U77" s="155"/>
      <c r="AG77" s="138"/>
      <c r="AH77" t="str">
        <f t="shared" si="46"/>
        <v>.</v>
      </c>
    </row>
    <row r="78" spans="2:47">
      <c r="B78" t="str">
        <f t="shared" si="31"/>
        <v>FR0</v>
      </c>
      <c r="C78">
        <f t="shared" si="32"/>
        <v>2025</v>
      </c>
      <c r="D78" t="str">
        <f t="shared" si="33"/>
        <v>HCO_LIN</v>
      </c>
      <c r="E78" s="155">
        <f t="shared" si="51"/>
        <v>330600.45434457943</v>
      </c>
      <c r="F78" t="s">
        <v>31</v>
      </c>
      <c r="G78" t="str">
        <f t="shared" si="34"/>
        <v>hard_coal</v>
      </c>
      <c r="H78">
        <f t="shared" si="35"/>
        <v>2</v>
      </c>
      <c r="I78">
        <f t="shared" si="36"/>
        <v>3</v>
      </c>
      <c r="J78">
        <f t="shared" si="37"/>
        <v>2</v>
      </c>
      <c r="N78">
        <f t="shared" si="30"/>
        <v>8.5000000000000006E-2</v>
      </c>
      <c r="O78" s="155">
        <f t="shared" si="52"/>
        <v>361311.971961289</v>
      </c>
      <c r="Q78" s="136"/>
      <c r="R78" t="s">
        <v>14</v>
      </c>
      <c r="S78" t="s">
        <v>55</v>
      </c>
      <c r="T78" t="s">
        <v>142</v>
      </c>
      <c r="U78" s="155"/>
      <c r="W78" s="1">
        <f>SUMIFS($AS$4:$AS$69,$AP$4:$AP$69,$S78,$AR$4:$AR$69,$R78)</f>
        <v>213607.48</v>
      </c>
      <c r="X78" s="144">
        <f t="shared" ref="X78:AE78" si="53">X79*$U79</f>
        <v>213607.48</v>
      </c>
      <c r="Y78" s="144">
        <f t="shared" si="53"/>
        <v>585975.54425531975</v>
      </c>
      <c r="Z78" s="144">
        <f t="shared" si="53"/>
        <v>1041092.067234042</v>
      </c>
      <c r="AA78" s="144">
        <f t="shared" si="53"/>
        <v>1413460.1314893619</v>
      </c>
      <c r="AB78" s="144">
        <f t="shared" si="53"/>
        <v>1427251.5412765953</v>
      </c>
      <c r="AC78" s="144">
        <f t="shared" si="53"/>
        <v>1468625.7706382968</v>
      </c>
      <c r="AD78" s="144">
        <f t="shared" si="53"/>
        <v>1509999.9999999979</v>
      </c>
      <c r="AE78" s="144">
        <f t="shared" si="53"/>
        <v>1509999.9999999979</v>
      </c>
      <c r="AG78" s="138"/>
      <c r="AH78" t="str">
        <f t="shared" ref="AH78:AH85" si="54">R78&amp;"."&amp;S78&amp;"."&amp;T78</f>
        <v>CH0.BAL_ELC.POM C</v>
      </c>
      <c r="AJ78">
        <f t="shared" ref="AJ78:AJ79" si="55">INDEX($AZ$2:$AZ$41,MATCH($S78,$AY$2:$AY$41,0))</f>
        <v>8.5000000000000006E-2</v>
      </c>
    </row>
    <row r="79" spans="2:47">
      <c r="B79" t="str">
        <f t="shared" si="31"/>
        <v>AT0</v>
      </c>
      <c r="C79">
        <f t="shared" si="32"/>
        <v>2025</v>
      </c>
      <c r="D79" t="str">
        <f t="shared" si="33"/>
        <v>HCO_LIN</v>
      </c>
      <c r="E79" s="155">
        <f t="shared" si="51"/>
        <v>3036771.1119949338</v>
      </c>
      <c r="F79" t="s">
        <v>31</v>
      </c>
      <c r="G79" t="str">
        <f t="shared" si="34"/>
        <v>hard_coal</v>
      </c>
      <c r="H79">
        <f t="shared" si="35"/>
        <v>3</v>
      </c>
      <c r="I79">
        <f t="shared" si="36"/>
        <v>3</v>
      </c>
      <c r="J79">
        <f t="shared" si="37"/>
        <v>2</v>
      </c>
      <c r="N79">
        <f t="shared" si="30"/>
        <v>8.5000000000000006E-2</v>
      </c>
      <c r="O79" s="155">
        <f t="shared" si="52"/>
        <v>3318875.5322349002</v>
      </c>
      <c r="Q79" s="136" t="s">
        <v>404</v>
      </c>
      <c r="R79" t="s">
        <v>14</v>
      </c>
      <c r="S79" t="s">
        <v>55</v>
      </c>
      <c r="T79" t="s">
        <v>142</v>
      </c>
      <c r="U79" s="155">
        <f>W78/W79</f>
        <v>4623.5385281385279</v>
      </c>
      <c r="W79" s="26">
        <f>SUMIFS(ALL_CAPACITY!P$6:P$84,ALL_CAPACITY!$O$6:$O$84,$S79,ALL_CAPACITY!$M$6:$M$84,$R79)</f>
        <v>46.2</v>
      </c>
      <c r="X79" s="26">
        <f>INDEX(CH!$D$2:$K$37,MATCH($S79&amp;"."&amp;$T79,CH!$M$2:$M$37,0),MATCH(X$67,CH!$D$1:$K$1,0))</f>
        <v>46.2</v>
      </c>
      <c r="Y79" s="26">
        <f>INDEX(CH!$D$2:$K$37,MATCH($S79&amp;"."&amp;$T79,CH!$M$2:$M$37,0),MATCH(Y$67,CH!$D$1:$K$1,0))</f>
        <v>126.737463241436</v>
      </c>
      <c r="Z79" s="26">
        <f>INDEX(CH!$D$2:$K$37,MATCH($S79&amp;"."&amp;$T79,CH!$M$2:$M$37,0),MATCH(Z$67,CH!$D$1:$K$1,0))</f>
        <v>225.17214053652401</v>
      </c>
      <c r="AA79" s="26">
        <f>INDEX(CH!$D$2:$K$37,MATCH($S79&amp;"."&amp;$T79,CH!$M$2:$M$37,0),MATCH(AA$67,CH!$D$1:$K$1,0))</f>
        <v>305.70960377796001</v>
      </c>
      <c r="AB79" s="26">
        <f>INDEX(CH!$D$2:$K$37,MATCH($S79&amp;"."&amp;$T79,CH!$M$2:$M$37,0),MATCH(AB$67,CH!$D$1:$K$1,0))</f>
        <v>308.69247278690199</v>
      </c>
      <c r="AC79" s="26">
        <f>INDEX(CH!$D$2:$K$37,MATCH($S79&amp;"."&amp;$T79,CH!$M$2:$M$37,0),MATCH(AC$67,CH!$D$1:$K$1,0))</f>
        <v>317.64107981372803</v>
      </c>
      <c r="AD79" s="26">
        <f>INDEX(CH!$D$2:$K$37,MATCH($S79&amp;"."&amp;$T79,CH!$M$2:$M$37,0),MATCH(AD$67,CH!$D$1:$K$1,0))</f>
        <v>326.58968684055401</v>
      </c>
      <c r="AE79" s="26">
        <f>INDEX(CH!$D$2:$K$37,MATCH($S79&amp;"."&amp;$T79,CH!$M$2:$M$37,0),MATCH(AE$67,CH!$D$1:$K$1,0))</f>
        <v>326.58968684055401</v>
      </c>
      <c r="AG79" s="138"/>
      <c r="AH79" t="str">
        <f t="shared" si="54"/>
        <v>CH0.BAL_ELC.POM C</v>
      </c>
      <c r="AJ79">
        <f t="shared" si="55"/>
        <v>8.5000000000000006E-2</v>
      </c>
    </row>
    <row r="80" spans="2:47">
      <c r="B80" t="str">
        <f t="shared" ref="B80:B94" si="56">INDEX(H$38:H$45,H80)</f>
        <v>IT0</v>
      </c>
      <c r="C80">
        <f t="shared" ref="C80:C94" si="57">INDEX(I$38:I$45,I80)</f>
        <v>2030</v>
      </c>
      <c r="D80" t="str">
        <f t="shared" ref="D80:D94" si="58">INDEX(J$38:J$45,J80)</f>
        <v>HCO_LIN</v>
      </c>
      <c r="E80" s="155">
        <f t="shared" si="51"/>
        <v>40870902.538665265</v>
      </c>
      <c r="F80" t="s">
        <v>31</v>
      </c>
      <c r="G80" t="str">
        <f t="shared" ref="G80:G94" si="59">INDEX(K$38:K$45,J80)</f>
        <v>hard_coal</v>
      </c>
      <c r="H80">
        <f t="shared" ref="H80:H94" si="60">IF(H79=$H$1,1,H79+1)</f>
        <v>1</v>
      </c>
      <c r="I80">
        <f t="shared" ref="I80:I94" si="61">IF(H80=1,IF(I79=$I$1,1,I79+1),I79)</f>
        <v>4</v>
      </c>
      <c r="J80">
        <f t="shared" ref="J80:J94" si="62">IF(AND(I80=1,I79&gt;1),IF(J79=$J$37,1,J79+1),J79)</f>
        <v>2</v>
      </c>
      <c r="N80">
        <f t="shared" si="30"/>
        <v>8.5000000000000006E-2</v>
      </c>
      <c r="O80" s="155">
        <f t="shared" si="52"/>
        <v>44667653.047721602</v>
      </c>
      <c r="Q80" s="136"/>
      <c r="U80" s="155"/>
      <c r="AG80" s="138"/>
      <c r="AH80" t="str">
        <f t="shared" si="54"/>
        <v>..</v>
      </c>
    </row>
    <row r="81" spans="2:36">
      <c r="B81" t="str">
        <f t="shared" si="56"/>
        <v>FR0</v>
      </c>
      <c r="C81">
        <f t="shared" si="57"/>
        <v>2030</v>
      </c>
      <c r="D81" t="str">
        <f t="shared" si="58"/>
        <v>HCO_LIN</v>
      </c>
      <c r="E81" s="155">
        <f t="shared" si="51"/>
        <v>62797.312271808318</v>
      </c>
      <c r="F81" t="s">
        <v>31</v>
      </c>
      <c r="G81" t="str">
        <f t="shared" si="59"/>
        <v>hard_coal</v>
      </c>
      <c r="H81">
        <f t="shared" si="60"/>
        <v>2</v>
      </c>
      <c r="I81">
        <f t="shared" si="61"/>
        <v>4</v>
      </c>
      <c r="J81">
        <f t="shared" si="62"/>
        <v>2</v>
      </c>
      <c r="N81">
        <f t="shared" si="30"/>
        <v>8.5000000000000006E-2</v>
      </c>
      <c r="O81" s="155">
        <f t="shared" si="52"/>
        <v>68630.942373561003</v>
      </c>
      <c r="Q81" s="136"/>
      <c r="R81" t="s">
        <v>14</v>
      </c>
      <c r="S81" t="s">
        <v>55</v>
      </c>
      <c r="T81" t="s">
        <v>296</v>
      </c>
      <c r="U81" s="155"/>
      <c r="W81" s="1">
        <f>SUMIFS($AS$4:$AS$69,$AP$4:$AP$69,$S81,$AR$4:$AR$69,$R81)</f>
        <v>213607.48</v>
      </c>
      <c r="X81" s="144">
        <f t="shared" ref="X81:AE81" si="63">X82*$U82</f>
        <v>213607.48</v>
      </c>
      <c r="Y81" s="144">
        <f t="shared" si="63"/>
        <v>884313.44615384517</v>
      </c>
      <c r="Z81" s="144">
        <f t="shared" si="63"/>
        <v>1884489.0097166004</v>
      </c>
      <c r="AA81" s="144">
        <f t="shared" si="63"/>
        <v>2708163.0032388656</v>
      </c>
      <c r="AB81" s="144">
        <f t="shared" si="63"/>
        <v>2955265.2012955458</v>
      </c>
      <c r="AC81" s="144">
        <f t="shared" si="63"/>
        <v>3061166.1433198359</v>
      </c>
      <c r="AD81" s="144">
        <f t="shared" si="63"/>
        <v>3108233.2286639656</v>
      </c>
      <c r="AE81" s="144">
        <f t="shared" si="63"/>
        <v>3120000.0000000005</v>
      </c>
      <c r="AG81" s="138"/>
      <c r="AH81" t="str">
        <f t="shared" si="54"/>
        <v>CH0.BAL_ELC.POM C&amp;E</v>
      </c>
      <c r="AJ81">
        <f t="shared" ref="AJ81:AJ82" si="64">INDEX($AZ$2:$AZ$41,MATCH($S81,$AY$2:$AY$41,0))</f>
        <v>8.5000000000000006E-2</v>
      </c>
    </row>
    <row r="82" spans="2:36">
      <c r="B82" t="str">
        <f t="shared" si="56"/>
        <v>AT0</v>
      </c>
      <c r="C82">
        <f t="shared" si="57"/>
        <v>2030</v>
      </c>
      <c r="D82" t="str">
        <f t="shared" si="58"/>
        <v>HCO_LIN</v>
      </c>
      <c r="E82" s="155">
        <f t="shared" si="51"/>
        <v>3010198.1130111003</v>
      </c>
      <c r="F82" t="s">
        <v>31</v>
      </c>
      <c r="G82" t="str">
        <f t="shared" si="59"/>
        <v>hard_coal</v>
      </c>
      <c r="H82">
        <f t="shared" si="60"/>
        <v>3</v>
      </c>
      <c r="I82">
        <f t="shared" si="61"/>
        <v>4</v>
      </c>
      <c r="J82">
        <f t="shared" si="62"/>
        <v>2</v>
      </c>
      <c r="N82">
        <f t="shared" si="30"/>
        <v>8.5000000000000006E-2</v>
      </c>
      <c r="O82" s="155">
        <f t="shared" si="52"/>
        <v>3289834.0032908199</v>
      </c>
      <c r="Q82" s="136" t="s">
        <v>404</v>
      </c>
      <c r="R82" t="s">
        <v>14</v>
      </c>
      <c r="S82" t="s">
        <v>55</v>
      </c>
      <c r="T82" t="s">
        <v>296</v>
      </c>
      <c r="U82" s="155">
        <f>W81/W82</f>
        <v>4623.5385281385279</v>
      </c>
      <c r="W82" s="26">
        <f>SUMIFS(ALL_CAPACITY!P$6:P$84,ALL_CAPACITY!$O$6:$O$84,$S82,ALL_CAPACITY!$M$6:$M$84,$R82)</f>
        <v>46.2</v>
      </c>
      <c r="X82" s="26">
        <f>INDEX(CH!$D$2:$K$37,MATCH($S82&amp;"."&amp;$T82,CH!$M$2:$M$37,0),MATCH(X$67,CH!$D$1:$K$1,0))</f>
        <v>46.2</v>
      </c>
      <c r="Y82" s="26">
        <f>INDEX(CH!$D$2:$K$37,MATCH($S82&amp;"."&amp;$T82,CH!$M$2:$M$37,0),MATCH(Y$67,CH!$D$1:$K$1,0))</f>
        <v>191.26334532998399</v>
      </c>
      <c r="Z82" s="26">
        <f>INDEX(CH!$D$2:$K$37,MATCH($S82&amp;"."&amp;$T82,CH!$M$2:$M$37,0),MATCH(Z$67,CH!$D$1:$K$1,0))</f>
        <v>407.58587783961002</v>
      </c>
      <c r="AA82" s="26">
        <f>INDEX(CH!$D$2:$K$37,MATCH($S82&amp;"."&amp;$T82,CH!$M$2:$M$37,0),MATCH(AA$67,CH!$D$1:$K$1,0))</f>
        <v>585.73384578871298</v>
      </c>
      <c r="AB82" s="26">
        <f>INDEX(CH!$D$2:$K$37,MATCH($S82&amp;"."&amp;$T82,CH!$M$2:$M$37,0),MATCH(AB$67,CH!$D$1:$K$1,0))</f>
        <v>639.17823617344402</v>
      </c>
      <c r="AC82" s="26">
        <f>INDEX(CH!$D$2:$K$37,MATCH($S82&amp;"."&amp;$T82,CH!$M$2:$M$37,0),MATCH(AC$67,CH!$D$1:$K$1,0))</f>
        <v>662.08297490975701</v>
      </c>
      <c r="AD82" s="26">
        <f>INDEX(CH!$D$2:$K$37,MATCH($S82&amp;"."&amp;$T82,CH!$M$2:$M$37,0),MATCH(AD$67,CH!$D$1:$K$1,0))</f>
        <v>672.26285879256295</v>
      </c>
      <c r="AE82" s="26">
        <f>INDEX(CH!$D$2:$K$37,MATCH($S82&amp;"."&amp;$T82,CH!$M$2:$M$37,0),MATCH(AE$67,CH!$D$1:$K$1,0))</f>
        <v>674.80782976326498</v>
      </c>
      <c r="AG82" s="138"/>
      <c r="AH82" t="str">
        <f t="shared" si="54"/>
        <v>CH0.BAL_ELC.POM C&amp;E</v>
      </c>
      <c r="AJ82">
        <f t="shared" si="64"/>
        <v>8.5000000000000006E-2</v>
      </c>
    </row>
    <row r="83" spans="2:36">
      <c r="B83" t="str">
        <f t="shared" si="56"/>
        <v>IT0</v>
      </c>
      <c r="C83">
        <f t="shared" si="57"/>
        <v>2035</v>
      </c>
      <c r="D83" t="str">
        <f t="shared" si="58"/>
        <v>HCO_LIN</v>
      </c>
      <c r="E83" s="155">
        <f t="shared" si="51"/>
        <v>35456963.977508433</v>
      </c>
      <c r="F83" t="s">
        <v>31</v>
      </c>
      <c r="G83" t="str">
        <f t="shared" si="59"/>
        <v>hard_coal</v>
      </c>
      <c r="H83">
        <f t="shared" si="60"/>
        <v>1</v>
      </c>
      <c r="I83">
        <f t="shared" si="61"/>
        <v>5</v>
      </c>
      <c r="J83">
        <f t="shared" si="62"/>
        <v>2</v>
      </c>
      <c r="N83">
        <f t="shared" si="30"/>
        <v>8.5000000000000006E-2</v>
      </c>
      <c r="O83" s="155">
        <f t="shared" si="52"/>
        <v>38750780.303287901</v>
      </c>
      <c r="Q83" s="136"/>
      <c r="U83" s="155"/>
      <c r="AG83" s="138"/>
      <c r="AH83" t="str">
        <f t="shared" si="54"/>
        <v>..</v>
      </c>
    </row>
    <row r="84" spans="2:36">
      <c r="B84" t="str">
        <f t="shared" si="56"/>
        <v>FR0</v>
      </c>
      <c r="C84">
        <f t="shared" si="57"/>
        <v>2035</v>
      </c>
      <c r="D84" t="str">
        <f t="shared" si="58"/>
        <v>HCO_LIN</v>
      </c>
      <c r="E84" s="155">
        <f t="shared" si="51"/>
        <v>0</v>
      </c>
      <c r="F84" t="s">
        <v>31</v>
      </c>
      <c r="G84" t="str">
        <f t="shared" si="59"/>
        <v>hard_coal</v>
      </c>
      <c r="H84">
        <f t="shared" si="60"/>
        <v>2</v>
      </c>
      <c r="I84">
        <f t="shared" si="61"/>
        <v>5</v>
      </c>
      <c r="J84">
        <f t="shared" si="62"/>
        <v>2</v>
      </c>
      <c r="N84">
        <f t="shared" si="30"/>
        <v>8.5000000000000006E-2</v>
      </c>
      <c r="O84" s="155">
        <f t="shared" si="52"/>
        <v>0</v>
      </c>
      <c r="Q84" s="136"/>
      <c r="R84" t="s">
        <v>14</v>
      </c>
      <c r="S84" t="s">
        <v>55</v>
      </c>
      <c r="T84" t="s">
        <v>143</v>
      </c>
      <c r="U84" s="155"/>
      <c r="W84" s="1">
        <f>SUMIFS($AS$4:$AS$69,$AP$4:$AP$69,$S84,$AR$4:$AR$69,$R84)</f>
        <v>213607.48</v>
      </c>
      <c r="X84" s="144">
        <f t="shared" ref="X84:AE84" si="65">X85*$U85</f>
        <v>213607.48</v>
      </c>
      <c r="Y84" s="144">
        <f t="shared" si="65"/>
        <v>884313.44615384517</v>
      </c>
      <c r="Z84" s="144">
        <f t="shared" si="65"/>
        <v>1884489.0097166004</v>
      </c>
      <c r="AA84" s="144">
        <f t="shared" si="65"/>
        <v>2708163.0032388656</v>
      </c>
      <c r="AB84" s="144">
        <f t="shared" si="65"/>
        <v>2955265.2012955458</v>
      </c>
      <c r="AC84" s="144">
        <f t="shared" si="65"/>
        <v>3061166.1433198359</v>
      </c>
      <c r="AD84" s="144">
        <f t="shared" si="65"/>
        <v>3108233.2286639656</v>
      </c>
      <c r="AE84" s="144">
        <f t="shared" si="65"/>
        <v>3120000.0000000005</v>
      </c>
      <c r="AG84" s="138"/>
      <c r="AH84" t="str">
        <f t="shared" si="54"/>
        <v>CH0.BAL_ELC.POM E</v>
      </c>
      <c r="AJ84">
        <f t="shared" ref="AJ84" si="66">INDEX($AZ$2:$AZ$41,MATCH($S84,$AY$2:$AY$41,0))</f>
        <v>8.5000000000000006E-2</v>
      </c>
    </row>
    <row r="85" spans="2:36">
      <c r="B85" t="str">
        <f t="shared" si="56"/>
        <v>AT0</v>
      </c>
      <c r="C85">
        <f t="shared" si="57"/>
        <v>2035</v>
      </c>
      <c r="D85" t="str">
        <f t="shared" si="58"/>
        <v>HCO_LIN</v>
      </c>
      <c r="E85" s="155">
        <f t="shared" si="51"/>
        <v>82034.509970361454</v>
      </c>
      <c r="F85" t="s">
        <v>31</v>
      </c>
      <c r="G85" t="str">
        <f t="shared" si="59"/>
        <v>hard_coal</v>
      </c>
      <c r="H85">
        <f t="shared" si="60"/>
        <v>3</v>
      </c>
      <c r="I85">
        <f t="shared" si="61"/>
        <v>5</v>
      </c>
      <c r="J85">
        <f t="shared" si="62"/>
        <v>2</v>
      </c>
      <c r="N85">
        <f t="shared" si="30"/>
        <v>8.5000000000000006E-2</v>
      </c>
      <c r="O85" s="155">
        <f t="shared" si="52"/>
        <v>89655.202153400489</v>
      </c>
      <c r="Q85" s="136" t="s">
        <v>404</v>
      </c>
      <c r="R85" t="s">
        <v>14</v>
      </c>
      <c r="S85" t="s">
        <v>55</v>
      </c>
      <c r="T85" t="s">
        <v>143</v>
      </c>
      <c r="U85" s="155">
        <f>W84/W85</f>
        <v>4623.5385281385279</v>
      </c>
      <c r="W85" s="26">
        <f>SUMIFS(ALL_CAPACITY!P$6:P$84,ALL_CAPACITY!$O$6:$O$84,$S85,ALL_CAPACITY!$M$6:$M$84,$R85)</f>
        <v>46.2</v>
      </c>
      <c r="X85" s="26">
        <f>INDEX(CH!$D$2:$K$37,MATCH($S85&amp;"."&amp;$T85,CH!$M$2:$M$37,0),MATCH(X$67,CH!$D$1:$K$1,0))</f>
        <v>46.2</v>
      </c>
      <c r="Y85" s="26">
        <f>INDEX(CH!$D$2:$K$37,MATCH($S85&amp;"."&amp;$T85,CH!$M$2:$M$37,0),MATCH(Y$67,CH!$D$1:$K$1,0))</f>
        <v>191.26334532998399</v>
      </c>
      <c r="Z85" s="26">
        <f>INDEX(CH!$D$2:$K$37,MATCH($S85&amp;"."&amp;$T85,CH!$M$2:$M$37,0),MATCH(Z$67,CH!$D$1:$K$1,0))</f>
        <v>407.58587783961002</v>
      </c>
      <c r="AA85" s="26">
        <f>INDEX(CH!$D$2:$K$37,MATCH($S85&amp;"."&amp;$T85,CH!$M$2:$M$37,0),MATCH(AA$67,CH!$D$1:$K$1,0))</f>
        <v>585.73384578871298</v>
      </c>
      <c r="AB85" s="26">
        <f>INDEX(CH!$D$2:$K$37,MATCH($S85&amp;"."&amp;$T85,CH!$M$2:$M$37,0),MATCH(AB$67,CH!$D$1:$K$1,0))</f>
        <v>639.17823617344402</v>
      </c>
      <c r="AC85" s="26">
        <f>INDEX(CH!$D$2:$K$37,MATCH($S85&amp;"."&amp;$T85,CH!$M$2:$M$37,0),MATCH(AC$67,CH!$D$1:$K$1,0))</f>
        <v>662.08297490975701</v>
      </c>
      <c r="AD85" s="26">
        <f>INDEX(CH!$D$2:$K$37,MATCH($S85&amp;"."&amp;$T85,CH!$M$2:$M$37,0),MATCH(AD$67,CH!$D$1:$K$1,0))</f>
        <v>672.26285879256295</v>
      </c>
      <c r="AE85" s="26">
        <f>INDEX(CH!$D$2:$K$37,MATCH($S85&amp;"."&amp;$T85,CH!$M$2:$M$37,0),MATCH(AE$67,CH!$D$1:$K$1,0))</f>
        <v>674.80782976326498</v>
      </c>
      <c r="AG85" s="138"/>
      <c r="AH85" t="str">
        <f t="shared" si="54"/>
        <v>CH0.BAL_ELC.POM E</v>
      </c>
      <c r="AJ85">
        <f t="shared" ref="AJ85" si="67">INDEX($AZ$2:$AZ$41,MATCH($S85,$AY$2:$AY$41,0))</f>
        <v>8.5000000000000006E-2</v>
      </c>
    </row>
    <row r="86" spans="2:36">
      <c r="B86" t="str">
        <f t="shared" si="56"/>
        <v>IT0</v>
      </c>
      <c r="C86">
        <f t="shared" si="57"/>
        <v>2040</v>
      </c>
      <c r="D86" t="str">
        <f t="shared" si="58"/>
        <v>HCO_LIN</v>
      </c>
      <c r="E86" s="155">
        <f t="shared" si="51"/>
        <v>9028727.2027557623</v>
      </c>
      <c r="F86" t="s">
        <v>31</v>
      </c>
      <c r="G86" t="str">
        <f t="shared" si="59"/>
        <v>hard_coal</v>
      </c>
      <c r="H86">
        <f t="shared" si="60"/>
        <v>1</v>
      </c>
      <c r="I86">
        <f t="shared" si="61"/>
        <v>6</v>
      </c>
      <c r="J86">
        <f t="shared" si="62"/>
        <v>2</v>
      </c>
      <c r="N86">
        <f t="shared" si="30"/>
        <v>8.5000000000000006E-2</v>
      </c>
      <c r="O86" s="155">
        <f t="shared" si="52"/>
        <v>9867461.4237767886</v>
      </c>
      <c r="Q86" s="136"/>
      <c r="AG86" s="138"/>
      <c r="AH86" t="str">
        <f t="shared" ref="AH86:AH101" si="68">R86&amp;"."&amp;S86</f>
        <v>.</v>
      </c>
    </row>
    <row r="87" spans="2:36">
      <c r="B87" t="str">
        <f t="shared" si="56"/>
        <v>FR0</v>
      </c>
      <c r="C87">
        <f t="shared" si="57"/>
        <v>2040</v>
      </c>
      <c r="D87" t="str">
        <f t="shared" si="58"/>
        <v>HCO_LIN</v>
      </c>
      <c r="E87" s="155">
        <f t="shared" si="51"/>
        <v>0</v>
      </c>
      <c r="F87" t="s">
        <v>31</v>
      </c>
      <c r="G87" t="str">
        <f t="shared" si="59"/>
        <v>hard_coal</v>
      </c>
      <c r="H87">
        <f t="shared" si="60"/>
        <v>2</v>
      </c>
      <c r="I87">
        <f t="shared" si="61"/>
        <v>6</v>
      </c>
      <c r="J87">
        <f t="shared" si="62"/>
        <v>2</v>
      </c>
      <c r="N87">
        <f t="shared" si="30"/>
        <v>8.5000000000000006E-2</v>
      </c>
      <c r="O87" s="155">
        <f t="shared" si="52"/>
        <v>0</v>
      </c>
      <c r="Q87" s="141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3"/>
      <c r="AH87" t="str">
        <f t="shared" si="68"/>
        <v>.</v>
      </c>
    </row>
    <row r="88" spans="2:36">
      <c r="B88" t="str">
        <f t="shared" si="56"/>
        <v>AT0</v>
      </c>
      <c r="C88">
        <f t="shared" si="57"/>
        <v>2040</v>
      </c>
      <c r="D88" t="str">
        <f t="shared" si="58"/>
        <v>HCO_LIN</v>
      </c>
      <c r="E88" s="155">
        <f t="shared" si="51"/>
        <v>75421.920645173042</v>
      </c>
      <c r="F88" t="s">
        <v>31</v>
      </c>
      <c r="G88" t="str">
        <f t="shared" si="59"/>
        <v>hard_coal</v>
      </c>
      <c r="H88">
        <f t="shared" si="60"/>
        <v>3</v>
      </c>
      <c r="I88">
        <f t="shared" si="61"/>
        <v>6</v>
      </c>
      <c r="J88">
        <f t="shared" si="62"/>
        <v>2</v>
      </c>
      <c r="N88">
        <f t="shared" si="30"/>
        <v>8.5000000000000006E-2</v>
      </c>
      <c r="O88" s="155">
        <f t="shared" si="52"/>
        <v>82428.328573959603</v>
      </c>
      <c r="AH88" t="str">
        <f t="shared" si="68"/>
        <v>.</v>
      </c>
    </row>
    <row r="89" spans="2:36" ht="15">
      <c r="B89" t="str">
        <f t="shared" si="56"/>
        <v>IT0</v>
      </c>
      <c r="C89">
        <f t="shared" si="57"/>
        <v>2045</v>
      </c>
      <c r="D89" t="str">
        <f t="shared" si="58"/>
        <v>HCO_LIN</v>
      </c>
      <c r="E89" s="155">
        <f t="shared" si="51"/>
        <v>8421435.1200823728</v>
      </c>
      <c r="F89" t="s">
        <v>31</v>
      </c>
      <c r="G89" t="str">
        <f t="shared" si="59"/>
        <v>hard_coal</v>
      </c>
      <c r="H89">
        <f t="shared" si="60"/>
        <v>1</v>
      </c>
      <c r="I89">
        <f t="shared" si="61"/>
        <v>7</v>
      </c>
      <c r="J89">
        <f t="shared" si="62"/>
        <v>2</v>
      </c>
      <c r="N89">
        <f t="shared" si="30"/>
        <v>8.5000000000000006E-2</v>
      </c>
      <c r="O89" s="155">
        <f t="shared" si="52"/>
        <v>9203754.2295982204</v>
      </c>
      <c r="Q89" s="177" t="s">
        <v>406</v>
      </c>
      <c r="R89" s="178"/>
      <c r="S89" s="178"/>
      <c r="T89" s="178"/>
      <c r="U89" s="178" t="s">
        <v>398</v>
      </c>
      <c r="V89" s="178"/>
      <c r="W89" s="178" t="s">
        <v>126</v>
      </c>
      <c r="X89" s="178">
        <v>2015</v>
      </c>
      <c r="Y89" s="178">
        <v>2020</v>
      </c>
      <c r="Z89" s="178">
        <v>2025</v>
      </c>
      <c r="AA89" s="178">
        <v>2030</v>
      </c>
      <c r="AB89" s="178">
        <v>2035</v>
      </c>
      <c r="AC89" s="178">
        <v>2040</v>
      </c>
      <c r="AD89" s="178">
        <v>2045</v>
      </c>
      <c r="AE89" s="178">
        <v>2050</v>
      </c>
      <c r="AF89" s="178"/>
      <c r="AG89" s="179"/>
      <c r="AH89" t="str">
        <f t="shared" si="68"/>
        <v>.</v>
      </c>
    </row>
    <row r="90" spans="2:36">
      <c r="B90" t="str">
        <f t="shared" si="56"/>
        <v>FR0</v>
      </c>
      <c r="C90">
        <f t="shared" si="57"/>
        <v>2045</v>
      </c>
      <c r="D90" t="str">
        <f t="shared" si="58"/>
        <v>HCO_LIN</v>
      </c>
      <c r="E90" s="155">
        <f t="shared" si="51"/>
        <v>0</v>
      </c>
      <c r="F90" t="s">
        <v>31</v>
      </c>
      <c r="G90" t="str">
        <f t="shared" si="59"/>
        <v>hard_coal</v>
      </c>
      <c r="H90">
        <f t="shared" si="60"/>
        <v>2</v>
      </c>
      <c r="I90">
        <f t="shared" si="61"/>
        <v>7</v>
      </c>
      <c r="J90">
        <f t="shared" si="62"/>
        <v>2</v>
      </c>
      <c r="N90">
        <f t="shared" si="30"/>
        <v>8.5000000000000006E-2</v>
      </c>
      <c r="O90" s="155">
        <f t="shared" si="52"/>
        <v>0</v>
      </c>
      <c r="Q90" s="180"/>
      <c r="R90" s="150" t="s">
        <v>17</v>
      </c>
      <c r="S90" s="150" t="s">
        <v>110</v>
      </c>
      <c r="T90" s="150"/>
      <c r="U90" s="150"/>
      <c r="V90" s="150"/>
      <c r="W90" s="181">
        <f>SUMIFS($AS$4:$AS$69,$AP$4:$AP$69,$S90,$AR$4:$AR$69,$R90)</f>
        <v>2439800</v>
      </c>
      <c r="X90" s="182">
        <f t="shared" ref="X90:AE90" si="69">X91*$U91</f>
        <v>2439800</v>
      </c>
      <c r="Y90" s="182">
        <f t="shared" si="69"/>
        <v>3052928.2132181828</v>
      </c>
      <c r="Z90" s="182">
        <f t="shared" si="69"/>
        <v>3111417.8737521255</v>
      </c>
      <c r="AA90" s="182">
        <f t="shared" si="69"/>
        <v>3075629.1617252454</v>
      </c>
      <c r="AB90" s="182">
        <f t="shared" si="69"/>
        <v>3156366.7057263907</v>
      </c>
      <c r="AC90" s="182">
        <f t="shared" si="69"/>
        <v>3862671.3627913678</v>
      </c>
      <c r="AD90" s="182">
        <f t="shared" si="69"/>
        <v>3869531.9936711998</v>
      </c>
      <c r="AE90" s="182">
        <f t="shared" si="69"/>
        <v>3823471.0218020417</v>
      </c>
      <c r="AF90" s="150"/>
      <c r="AG90" s="183"/>
      <c r="AH90" t="str">
        <f t="shared" si="68"/>
        <v>IT0.WAS_ELC</v>
      </c>
      <c r="AJ90">
        <f t="shared" ref="AJ90:AJ97" si="70">INDEX($AZ$2:$AZ$41,MATCH($S90,$AY$2:$AY$41,0))</f>
        <v>8.5000000000000006E-2</v>
      </c>
    </row>
    <row r="91" spans="2:36">
      <c r="B91" t="str">
        <f t="shared" si="56"/>
        <v>AT0</v>
      </c>
      <c r="C91">
        <f t="shared" si="57"/>
        <v>2045</v>
      </c>
      <c r="D91" t="str">
        <f t="shared" si="58"/>
        <v>HCO_LIN</v>
      </c>
      <c r="E91" s="155">
        <f t="shared" si="51"/>
        <v>27579.484048110051</v>
      </c>
      <c r="F91" t="s">
        <v>31</v>
      </c>
      <c r="G91" t="str">
        <f t="shared" si="59"/>
        <v>hard_coal</v>
      </c>
      <c r="H91">
        <f t="shared" si="60"/>
        <v>3</v>
      </c>
      <c r="I91">
        <f t="shared" si="61"/>
        <v>7</v>
      </c>
      <c r="J91">
        <f t="shared" si="62"/>
        <v>2</v>
      </c>
      <c r="N91">
        <f t="shared" si="30"/>
        <v>8.5000000000000006E-2</v>
      </c>
      <c r="O91" s="155">
        <f t="shared" si="52"/>
        <v>30141.5126208853</v>
      </c>
      <c r="Q91" s="180" t="s">
        <v>404</v>
      </c>
      <c r="R91" s="150" t="s">
        <v>17</v>
      </c>
      <c r="S91" s="150" t="s">
        <v>110</v>
      </c>
      <c r="T91" s="150"/>
      <c r="U91" s="188">
        <f>W90/W91</f>
        <v>2661.3317673419215</v>
      </c>
      <c r="V91" s="150"/>
      <c r="W91" s="184">
        <f>SUMIFS(ALL_CAPACITY!P$6:P$84,ALL_CAPACITY!$O$6:$O$84,$S91,ALL_CAPACITY!$M$6:$M$84,$R91)</f>
        <v>916.759056476757</v>
      </c>
      <c r="X91" s="184">
        <f>INDEX(ALL_CAPACITY!$P$6:$X$84,MATCH($R91&amp;"."&amp;$S91,ALL_CAPACITY!$Z$6:$Z$84,0),MATCH(X$67,ALL_CAPACITY!$P$5:$X$5,0))</f>
        <v>916.759056476757</v>
      </c>
      <c r="Y91" s="184">
        <f>INDEX(ALL_CAPACITY!$P$6:$X$84,MATCH($R91&amp;"."&amp;$S91,ALL_CAPACITY!$Z$6:$Z$84,0),MATCH(Y$67,ALL_CAPACITY!$P$5:$X$5,0))</f>
        <v>1147.1430396922588</v>
      </c>
      <c r="Z91" s="184">
        <f>INDEX(ALL_CAPACITY!$P$6:$X$84,MATCH($R91&amp;"."&amp;$S91,ALL_CAPACITY!$Z$6:$Z$84,0),MATCH(Z$67,ALL_CAPACITY!$P$5:$X$5,0))</f>
        <v>1169.1206304803327</v>
      </c>
      <c r="AA91" s="184">
        <f>INDEX(ALL_CAPACITY!$P$6:$X$84,MATCH($R91&amp;"."&amp;$S91,ALL_CAPACITY!$Z$6:$Z$84,0),MATCH(AA$67,ALL_CAPACITY!$P$5:$X$5,0))</f>
        <v>1155.6729602326564</v>
      </c>
      <c r="AB91" s="184">
        <f>INDEX(ALL_CAPACITY!$P$6:$X$84,MATCH($R91&amp;"."&amp;$S91,ALL_CAPACITY!$Z$6:$Z$84,0),MATCH(AB$67,ALL_CAPACITY!$P$5:$X$5,0))</f>
        <v>1186.0102315912679</v>
      </c>
      <c r="AC91" s="184">
        <f>INDEX(ALL_CAPACITY!$P$6:$X$84,MATCH($R91&amp;"."&amp;$S91,ALL_CAPACITY!$Z$6:$Z$84,0),MATCH(AC$67,ALL_CAPACITY!$P$5:$X$5,0))</f>
        <v>1451.4054242283808</v>
      </c>
      <c r="AD91" s="184">
        <f>INDEX(ALL_CAPACITY!$P$6:$X$84,MATCH($R91&amp;"."&amp;$S91,ALL_CAPACITY!$Z$6:$Z$84,0),MATCH(AD$67,ALL_CAPACITY!$P$5:$X$5,0))</f>
        <v>1453.9833181099407</v>
      </c>
      <c r="AE91" s="184">
        <f>INDEX(ALL_CAPACITY!$P$6:$X$84,MATCH($R91&amp;"."&amp;$S91,ALL_CAPACITY!$Z$6:$Z$84,0),MATCH(AE$67,ALL_CAPACITY!$P$5:$X$5,0))</f>
        <v>1436.6758285160511</v>
      </c>
      <c r="AF91" s="150"/>
      <c r="AG91" s="183"/>
      <c r="AH91" t="str">
        <f t="shared" si="68"/>
        <v>IT0.WAS_ELC</v>
      </c>
      <c r="AJ91">
        <f t="shared" si="70"/>
        <v>8.5000000000000006E-2</v>
      </c>
    </row>
    <row r="92" spans="2:36">
      <c r="B92" t="str">
        <f t="shared" si="56"/>
        <v>IT0</v>
      </c>
      <c r="C92">
        <f t="shared" si="57"/>
        <v>2050</v>
      </c>
      <c r="D92" t="str">
        <f t="shared" si="58"/>
        <v>HCO_LIN</v>
      </c>
      <c r="E92" s="155">
        <f t="shared" si="51"/>
        <v>0</v>
      </c>
      <c r="F92" t="s">
        <v>31</v>
      </c>
      <c r="G92" t="str">
        <f t="shared" si="59"/>
        <v>hard_coal</v>
      </c>
      <c r="H92">
        <f t="shared" si="60"/>
        <v>1</v>
      </c>
      <c r="I92">
        <f t="shared" si="61"/>
        <v>8</v>
      </c>
      <c r="J92">
        <f t="shared" si="62"/>
        <v>2</v>
      </c>
      <c r="N92">
        <f t="shared" si="30"/>
        <v>8.5000000000000006E-2</v>
      </c>
      <c r="O92" s="155">
        <f t="shared" si="52"/>
        <v>0</v>
      </c>
      <c r="Q92" s="180"/>
      <c r="R92" s="150" t="s">
        <v>15</v>
      </c>
      <c r="S92" s="150" t="s">
        <v>110</v>
      </c>
      <c r="T92" s="150"/>
      <c r="U92" s="188"/>
      <c r="V92" s="150"/>
      <c r="W92" s="181">
        <f>SUMIFS($AS$4:$AS$69,$AP$4:$AP$69,$S92,$AR$4:$AR$69,$R92)</f>
        <v>11536853</v>
      </c>
      <c r="X92" s="182">
        <f t="shared" ref="X92:AE92" si="71">X93*$U93</f>
        <v>11536853</v>
      </c>
      <c r="Y92" s="182">
        <f t="shared" si="71"/>
        <v>11536853</v>
      </c>
      <c r="Z92" s="182">
        <f t="shared" si="71"/>
        <v>11536853</v>
      </c>
      <c r="AA92" s="182">
        <f t="shared" si="71"/>
        <v>11536853</v>
      </c>
      <c r="AB92" s="182">
        <f t="shared" si="71"/>
        <v>11536853</v>
      </c>
      <c r="AC92" s="182">
        <f t="shared" si="71"/>
        <v>11536853</v>
      </c>
      <c r="AD92" s="182">
        <f t="shared" si="71"/>
        <v>11536853</v>
      </c>
      <c r="AE92" s="182">
        <f t="shared" si="71"/>
        <v>11536853</v>
      </c>
      <c r="AF92" s="150"/>
      <c r="AG92" s="183"/>
      <c r="AH92" t="str">
        <f t="shared" si="68"/>
        <v>DE0.WAS_ELC</v>
      </c>
      <c r="AJ92">
        <f t="shared" si="70"/>
        <v>8.5000000000000006E-2</v>
      </c>
    </row>
    <row r="93" spans="2:36">
      <c r="B93" t="str">
        <f t="shared" si="56"/>
        <v>FR0</v>
      </c>
      <c r="C93">
        <f t="shared" si="57"/>
        <v>2050</v>
      </c>
      <c r="D93" t="str">
        <f t="shared" si="58"/>
        <v>HCO_LIN</v>
      </c>
      <c r="E93" s="155">
        <f t="shared" si="51"/>
        <v>0</v>
      </c>
      <c r="F93" t="s">
        <v>31</v>
      </c>
      <c r="G93" t="str">
        <f t="shared" si="59"/>
        <v>hard_coal</v>
      </c>
      <c r="H93">
        <f t="shared" si="60"/>
        <v>2</v>
      </c>
      <c r="I93">
        <f t="shared" si="61"/>
        <v>8</v>
      </c>
      <c r="J93">
        <f t="shared" si="62"/>
        <v>2</v>
      </c>
      <c r="N93">
        <f t="shared" si="30"/>
        <v>8.5000000000000006E-2</v>
      </c>
      <c r="O93" s="155">
        <f t="shared" si="52"/>
        <v>0</v>
      </c>
      <c r="Q93" s="180" t="s">
        <v>404</v>
      </c>
      <c r="R93" s="150" t="s">
        <v>15</v>
      </c>
      <c r="S93" s="150" t="s">
        <v>110</v>
      </c>
      <c r="T93" s="150"/>
      <c r="U93" s="188">
        <f>W92/W93</f>
        <v>5996.2853430353434</v>
      </c>
      <c r="V93" s="150"/>
      <c r="W93" s="184">
        <f>SUMIFS(ALL_CAPACITY!P$6:P$84,ALL_CAPACITY!$O$6:$O$84,$S93,ALL_CAPACITY!$M$6:$M$84,$R93)</f>
        <v>1924</v>
      </c>
      <c r="X93" s="184">
        <f>INDEX(ALL_CAPACITY!$P$6:$X$84,MATCH($R93&amp;"."&amp;$S93,ALL_CAPACITY!$Z$6:$Z$84,0),MATCH(X$67,ALL_CAPACITY!$P$5:$X$5,0))</f>
        <v>1924</v>
      </c>
      <c r="Y93" s="184">
        <f>INDEX(ALL_CAPACITY!$P$6:$X$84,MATCH($R93&amp;"."&amp;$S93,ALL_CAPACITY!$Z$6:$Z$84,0),MATCH(Y$67,ALL_CAPACITY!$P$5:$X$5,0))</f>
        <v>1924</v>
      </c>
      <c r="Z93" s="184">
        <f>INDEX(ALL_CAPACITY!$P$6:$X$84,MATCH($R93&amp;"."&amp;$S93,ALL_CAPACITY!$Z$6:$Z$84,0),MATCH(Z$67,ALL_CAPACITY!$P$5:$X$5,0))</f>
        <v>1924</v>
      </c>
      <c r="AA93" s="184">
        <f>INDEX(ALL_CAPACITY!$P$6:$X$84,MATCH($R93&amp;"."&amp;$S93,ALL_CAPACITY!$Z$6:$Z$84,0),MATCH(AA$67,ALL_CAPACITY!$P$5:$X$5,0))</f>
        <v>1924</v>
      </c>
      <c r="AB93" s="184">
        <f>INDEX(ALL_CAPACITY!$P$6:$X$84,MATCH($R93&amp;"."&amp;$S93,ALL_CAPACITY!$Z$6:$Z$84,0),MATCH(AB$67,ALL_CAPACITY!$P$5:$X$5,0))</f>
        <v>1924</v>
      </c>
      <c r="AC93" s="184">
        <f>INDEX(ALL_CAPACITY!$P$6:$X$84,MATCH($R93&amp;"."&amp;$S93,ALL_CAPACITY!$Z$6:$Z$84,0),MATCH(AC$67,ALL_CAPACITY!$P$5:$X$5,0))</f>
        <v>1924</v>
      </c>
      <c r="AD93" s="184">
        <f>INDEX(ALL_CAPACITY!$P$6:$X$84,MATCH($R93&amp;"."&amp;$S93,ALL_CAPACITY!$Z$6:$Z$84,0),MATCH(AD$67,ALL_CAPACITY!$P$5:$X$5,0))</f>
        <v>1924</v>
      </c>
      <c r="AE93" s="184">
        <f>INDEX(ALL_CAPACITY!$P$6:$X$84,MATCH($R93&amp;"."&amp;$S93,ALL_CAPACITY!$Z$6:$Z$84,0),MATCH(AE$67,ALL_CAPACITY!$P$5:$X$5,0))</f>
        <v>1924</v>
      </c>
      <c r="AF93" s="150"/>
      <c r="AG93" s="183"/>
      <c r="AH93" t="str">
        <f t="shared" si="68"/>
        <v>DE0.WAS_ELC</v>
      </c>
      <c r="AJ93">
        <f t="shared" si="70"/>
        <v>8.5000000000000006E-2</v>
      </c>
    </row>
    <row r="94" spans="2:36">
      <c r="B94" t="str">
        <f t="shared" si="56"/>
        <v>AT0</v>
      </c>
      <c r="C94">
        <f t="shared" si="57"/>
        <v>2050</v>
      </c>
      <c r="D94" t="str">
        <f t="shared" si="58"/>
        <v>HCO_LIN</v>
      </c>
      <c r="E94" s="155">
        <f t="shared" si="51"/>
        <v>27030.780313189156</v>
      </c>
      <c r="F94" t="s">
        <v>31</v>
      </c>
      <c r="G94" t="str">
        <f t="shared" si="59"/>
        <v>hard_coal</v>
      </c>
      <c r="H94">
        <f t="shared" si="60"/>
        <v>3</v>
      </c>
      <c r="I94">
        <f t="shared" si="61"/>
        <v>8</v>
      </c>
      <c r="J94">
        <f t="shared" si="62"/>
        <v>2</v>
      </c>
      <c r="N94">
        <f t="shared" si="30"/>
        <v>8.5000000000000006E-2</v>
      </c>
      <c r="O94" s="155">
        <f t="shared" si="52"/>
        <v>29541.836407857001</v>
      </c>
      <c r="Q94" s="180"/>
      <c r="R94" s="150" t="s">
        <v>12</v>
      </c>
      <c r="S94" s="150" t="s">
        <v>110</v>
      </c>
      <c r="T94" s="150"/>
      <c r="U94" s="188"/>
      <c r="V94" s="150"/>
      <c r="W94" s="181">
        <f>SUMIFS($AS$4:$AS$69,$AP$4:$AP$69,$S94,$AR$4:$AR$69,$R94)</f>
        <v>1069365.737</v>
      </c>
      <c r="X94" s="182">
        <f t="shared" ref="X94:AE94" si="72">X95*$U95</f>
        <v>687261.01350645069</v>
      </c>
      <c r="Y94" s="182">
        <f t="shared" si="72"/>
        <v>843773.10513151984</v>
      </c>
      <c r="Z94" s="182">
        <f t="shared" si="72"/>
        <v>829565.47788204323</v>
      </c>
      <c r="AA94" s="182">
        <f t="shared" si="72"/>
        <v>882517.75180894195</v>
      </c>
      <c r="AB94" s="182">
        <f t="shared" si="72"/>
        <v>875049.64746353624</v>
      </c>
      <c r="AC94" s="182">
        <f t="shared" si="72"/>
        <v>1120960.1394867669</v>
      </c>
      <c r="AD94" s="182">
        <f t="shared" si="72"/>
        <v>1075801.7075140162</v>
      </c>
      <c r="AE94" s="182">
        <f t="shared" si="72"/>
        <v>918064.8774166248</v>
      </c>
      <c r="AF94" s="150"/>
      <c r="AG94" s="183"/>
      <c r="AH94" t="str">
        <f t="shared" si="68"/>
        <v>AT0.WAS_ELC</v>
      </c>
      <c r="AJ94">
        <f t="shared" si="70"/>
        <v>8.5000000000000006E-2</v>
      </c>
    </row>
    <row r="95" spans="2:36">
      <c r="E95" s="155"/>
      <c r="O95" s="155"/>
      <c r="Q95" s="180" t="s">
        <v>404</v>
      </c>
      <c r="R95" s="150" t="s">
        <v>12</v>
      </c>
      <c r="S95" s="150" t="s">
        <v>110</v>
      </c>
      <c r="T95" s="150"/>
      <c r="U95" s="188">
        <f>W94/W95</f>
        <v>2898.1476734693833</v>
      </c>
      <c r="V95" s="150"/>
      <c r="W95" s="184">
        <f>SUMIFS(ALL_CAPACITY!P$6:P$84,ALL_CAPACITY!$O$6:$O$84,$S95,ALL_CAPACITY!$M$6:$M$84,$R95)</f>
        <v>368.98248725878699</v>
      </c>
      <c r="X95" s="184">
        <f>INDEX(ALL_CAPACITY!$P$6:$X$84,MATCH($R95&amp;"."&amp;$S95,ALL_CAPACITY!$Z$6:$Z$84,0),MATCH(X$67,ALL_CAPACITY!$P$5:$X$5,0))</f>
        <v>237.13802433115077</v>
      </c>
      <c r="Y95" s="184">
        <f>INDEX(ALL_CAPACITY!$P$6:$X$84,MATCH($R95&amp;"."&amp;$S95,ALL_CAPACITY!$Z$6:$Z$84,0),MATCH(Y$67,ALL_CAPACITY!$P$5:$X$5,0))</f>
        <v>291.1422053664491</v>
      </c>
      <c r="Z95" s="184">
        <f>INDEX(ALL_CAPACITY!$P$6:$X$84,MATCH($R95&amp;"."&amp;$S95,ALL_CAPACITY!$Z$6:$Z$84,0),MATCH(Z$67,ALL_CAPACITY!$P$5:$X$5,0))</f>
        <v>286.23989228573964</v>
      </c>
      <c r="AA95" s="184">
        <f>INDEX(ALL_CAPACITY!$P$6:$X$84,MATCH($R95&amp;"."&amp;$S95,ALL_CAPACITY!$Z$6:$Z$84,0),MATCH(AA$67,ALL_CAPACITY!$P$5:$X$5,0))</f>
        <v>304.51096743199309</v>
      </c>
      <c r="AB95" s="184">
        <f>INDEX(ALL_CAPACITY!$P$6:$X$84,MATCH($R95&amp;"."&amp;$S95,ALL_CAPACITY!$Z$6:$Z$84,0),MATCH(AB$67,ALL_CAPACITY!$P$5:$X$5,0))</f>
        <v>301.93411311439871</v>
      </c>
      <c r="AC95" s="184">
        <f>INDEX(ALL_CAPACITY!$P$6:$X$84,MATCH($R95&amp;"."&amp;$S95,ALL_CAPACITY!$Z$6:$Z$84,0),MATCH(AC$67,ALL_CAPACITY!$P$5:$X$5,0))</f>
        <v>386.7850316077446</v>
      </c>
      <c r="AD95" s="184">
        <f>INDEX(ALL_CAPACITY!$P$6:$X$84,MATCH($R95&amp;"."&amp;$S95,ALL_CAPACITY!$Z$6:$Z$84,0),MATCH(AD$67,ALL_CAPACITY!$P$5:$X$5,0))</f>
        <v>371.20320588293902</v>
      </c>
      <c r="AE95" s="184">
        <f>INDEX(ALL_CAPACITY!$P$6:$X$84,MATCH($R95&amp;"."&amp;$S95,ALL_CAPACITY!$Z$6:$Z$84,0),MATCH(AE$67,ALL_CAPACITY!$P$5:$X$5,0))</f>
        <v>316.77643131193724</v>
      </c>
      <c r="AF95" s="150"/>
      <c r="AG95" s="183"/>
      <c r="AH95" t="str">
        <f t="shared" si="68"/>
        <v>AT0.WAS_ELC</v>
      </c>
      <c r="AJ95">
        <f t="shared" si="70"/>
        <v>8.5000000000000006E-2</v>
      </c>
    </row>
    <row r="96" spans="2:36">
      <c r="E96" s="155"/>
      <c r="H96">
        <f>COUNTA(H97:H104)</f>
        <v>1</v>
      </c>
      <c r="I96">
        <f>COUNTA(I97:I104)</f>
        <v>8</v>
      </c>
      <c r="J96">
        <f>COUNTA(J97:J104)</f>
        <v>2</v>
      </c>
      <c r="K96">
        <f>PRODUCT(H96:J96)</f>
        <v>16</v>
      </c>
      <c r="O96" s="155"/>
      <c r="Q96" s="180"/>
      <c r="R96" s="150" t="s">
        <v>16</v>
      </c>
      <c r="S96" s="150" t="s">
        <v>110</v>
      </c>
      <c r="T96" s="150"/>
      <c r="U96" s="188"/>
      <c r="V96" s="150"/>
      <c r="W96" s="181">
        <f>SUMIFS($AS$4:$AS$69,$AP$4:$AP$69,$S96,$AR$4:$AR$69,$R96)</f>
        <v>4244000</v>
      </c>
      <c r="X96" s="182">
        <f t="shared" ref="X96:AE96" si="73">X97*$U97</f>
        <v>4244000</v>
      </c>
      <c r="Y96" s="182">
        <f t="shared" si="73"/>
        <v>7212070.3790106196</v>
      </c>
      <c r="Z96" s="182">
        <f t="shared" si="73"/>
        <v>8214833.4044547072</v>
      </c>
      <c r="AA96" s="182">
        <f t="shared" si="73"/>
        <v>8551424.3005806226</v>
      </c>
      <c r="AB96" s="182">
        <f t="shared" si="73"/>
        <v>8624657.6310099419</v>
      </c>
      <c r="AC96" s="182">
        <f t="shared" si="73"/>
        <v>8743208.2473217472</v>
      </c>
      <c r="AD96" s="182">
        <f t="shared" si="73"/>
        <v>8967224.3890005182</v>
      </c>
      <c r="AE96" s="182">
        <f t="shared" si="73"/>
        <v>9061263.4825506192</v>
      </c>
      <c r="AF96" s="150"/>
      <c r="AG96" s="183"/>
      <c r="AH96" t="str">
        <f t="shared" si="68"/>
        <v>FR0.WAS_ELC</v>
      </c>
      <c r="AJ96">
        <f t="shared" si="70"/>
        <v>8.5000000000000006E-2</v>
      </c>
    </row>
    <row r="97" spans="2:36">
      <c r="E97" s="155"/>
      <c r="H97" t="s">
        <v>15</v>
      </c>
      <c r="I97">
        <v>2015</v>
      </c>
      <c r="J97" s="150" t="s">
        <v>465</v>
      </c>
      <c r="K97" t="s">
        <v>472</v>
      </c>
      <c r="O97" s="155"/>
      <c r="Q97" s="180" t="s">
        <v>404</v>
      </c>
      <c r="R97" s="150" t="s">
        <v>16</v>
      </c>
      <c r="S97" s="150" t="s">
        <v>110</v>
      </c>
      <c r="T97" s="150"/>
      <c r="U97" s="188">
        <f>W96/W97</f>
        <v>5441.5265405200125</v>
      </c>
      <c r="V97" s="150"/>
      <c r="W97" s="184">
        <f>SUMIFS(ALL_CAPACITY!P$6:P$84,ALL_CAPACITY!$O$6:$O$84,$S97,ALL_CAPACITY!$M$6:$M$84,$R97)</f>
        <v>779.92819999999995</v>
      </c>
      <c r="X97" s="184">
        <f>INDEX(ALL_CAPACITY!$P$6:$X$84,MATCH($R97&amp;"."&amp;$S97,ALL_CAPACITY!$Z$6:$Z$84,0),MATCH(X$67,ALL_CAPACITY!$P$5:$X$5,0))</f>
        <v>779.92819999999995</v>
      </c>
      <c r="Y97" s="184">
        <f>INDEX(ALL_CAPACITY!$P$6:$X$84,MATCH($R97&amp;"."&amp;$S97,ALL_CAPACITY!$Z$6:$Z$84,0),MATCH(Y$67,ALL_CAPACITY!$P$5:$X$5,0))</f>
        <v>1325.3763121995923</v>
      </c>
      <c r="Z97" s="184">
        <f>INDEX(ALL_CAPACITY!$P$6:$X$84,MATCH($R97&amp;"."&amp;$S97,ALL_CAPACITY!$Z$6:$Z$84,0),MATCH(Z$67,ALL_CAPACITY!$P$5:$X$5,0))</f>
        <v>1509.656039216831</v>
      </c>
      <c r="AA97" s="184">
        <f>INDEX(ALL_CAPACITY!$P$6:$X$84,MATCH($R97&amp;"."&amp;$S97,ALL_CAPACITY!$Z$6:$Z$84,0),MATCH(AA$67,ALL_CAPACITY!$P$5:$X$5,0))</f>
        <v>1571.5120080556321</v>
      </c>
      <c r="AB97" s="184">
        <f>INDEX(ALL_CAPACITY!$P$6:$X$84,MATCH($R97&amp;"."&amp;$S97,ALL_CAPACITY!$Z$6:$Z$84,0),MATCH(AB$67,ALL_CAPACITY!$P$5:$X$5,0))</f>
        <v>1584.9702407563259</v>
      </c>
      <c r="AC97" s="184">
        <f>INDEX(ALL_CAPACITY!$P$6:$X$84,MATCH($R97&amp;"."&amp;$S97,ALL_CAPACITY!$Z$6:$Z$84,0),MATCH(AC$67,ALL_CAPACITY!$P$5:$X$5,0))</f>
        <v>1606.7565199243179</v>
      </c>
      <c r="AD97" s="184">
        <f>INDEX(ALL_CAPACITY!$P$6:$X$84,MATCH($R97&amp;"."&amp;$S97,ALL_CAPACITY!$Z$6:$Z$84,0),MATCH(AD$67,ALL_CAPACITY!$P$5:$X$5,0))</f>
        <v>1647.9244054451633</v>
      </c>
      <c r="AE97" s="184">
        <f>INDEX(ALL_CAPACITY!$P$6:$X$84,MATCH($R97&amp;"."&amp;$S97,ALL_CAPACITY!$Z$6:$Z$84,0),MATCH(AE$67,ALL_CAPACITY!$P$5:$X$5,0))</f>
        <v>1665.206154022487</v>
      </c>
      <c r="AF97" s="150"/>
      <c r="AG97" s="183"/>
      <c r="AH97" t="str">
        <f t="shared" si="68"/>
        <v>FR0.WAS_ELC</v>
      </c>
      <c r="AJ97">
        <f t="shared" si="70"/>
        <v>8.5000000000000006E-2</v>
      </c>
    </row>
    <row r="98" spans="2:36">
      <c r="E98" s="155"/>
      <c r="I98">
        <v>2020</v>
      </c>
      <c r="J98" t="s">
        <v>468</v>
      </c>
      <c r="K98" t="s">
        <v>21</v>
      </c>
      <c r="O98" s="155"/>
      <c r="Q98" s="180"/>
      <c r="R98" s="150"/>
      <c r="S98" s="150"/>
      <c r="T98" s="150"/>
      <c r="U98" s="188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83"/>
      <c r="AH98" t="str">
        <f t="shared" si="68"/>
        <v>.</v>
      </c>
    </row>
    <row r="99" spans="2:36">
      <c r="E99" s="155"/>
      <c r="I99">
        <v>2025</v>
      </c>
      <c r="O99" s="155"/>
      <c r="Q99" s="180"/>
      <c r="R99" s="150"/>
      <c r="S99" s="150"/>
      <c r="T99" s="150"/>
      <c r="U99" s="188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83"/>
      <c r="AH99" t="str">
        <f t="shared" si="68"/>
        <v>.</v>
      </c>
    </row>
    <row r="100" spans="2:36">
      <c r="E100" s="155"/>
      <c r="I100">
        <v>2030</v>
      </c>
      <c r="O100" s="155"/>
      <c r="Q100" s="180"/>
      <c r="R100" s="150" t="s">
        <v>14</v>
      </c>
      <c r="S100" s="150" t="s">
        <v>110</v>
      </c>
      <c r="T100" s="150" t="s">
        <v>296</v>
      </c>
      <c r="U100" s="188"/>
      <c r="V100" s="150"/>
      <c r="W100" s="181">
        <f>SUMIFS($AS$4:$AS$69,$AP$4:$AP$69,$S100,$AR$4:$AR$69,$R100)</f>
        <v>2184173.5</v>
      </c>
      <c r="X100" s="182">
        <f t="shared" ref="X100:AE100" si="74">X101*$U101</f>
        <v>2184173.5</v>
      </c>
      <c r="Y100" s="182">
        <f t="shared" si="74"/>
        <v>2338117.3676470588</v>
      </c>
      <c r="Z100" s="182">
        <f t="shared" si="74"/>
        <v>2520051.0294117648</v>
      </c>
      <c r="AA100" s="182">
        <f t="shared" si="74"/>
        <v>2646005.1029411806</v>
      </c>
      <c r="AB100" s="182">
        <f t="shared" si="74"/>
        <v>2646005.1029411806</v>
      </c>
      <c r="AC100" s="182">
        <f t="shared" si="74"/>
        <v>2660000.0000000019</v>
      </c>
      <c r="AD100" s="182">
        <f t="shared" si="74"/>
        <v>2660000.0000000019</v>
      </c>
      <c r="AE100" s="182">
        <f t="shared" si="74"/>
        <v>2660000.0000000019</v>
      </c>
      <c r="AF100" s="150"/>
      <c r="AG100" s="183"/>
      <c r="AH100" t="str">
        <f t="shared" si="68"/>
        <v>CH0.WAS_ELC</v>
      </c>
      <c r="AJ100">
        <f t="shared" ref="AJ100:AJ101" si="75">INDEX($AZ$2:$AZ$41,MATCH($S100,$AY$2:$AY$41,0))</f>
        <v>8.5000000000000006E-2</v>
      </c>
    </row>
    <row r="101" spans="2:36">
      <c r="E101" s="155"/>
      <c r="I101">
        <v>2035</v>
      </c>
      <c r="O101" s="155"/>
      <c r="Q101" s="180" t="s">
        <v>404</v>
      </c>
      <c r="R101" s="150" t="s">
        <v>14</v>
      </c>
      <c r="S101" s="150" t="s">
        <v>110</v>
      </c>
      <c r="T101" s="150" t="s">
        <v>296</v>
      </c>
      <c r="U101" s="188">
        <f>W100/W101</f>
        <v>4972.2972151145841</v>
      </c>
      <c r="V101" s="150"/>
      <c r="W101" s="184">
        <f>SUMIFS(ALL_CAPACITY!P$6:P$84,ALL_CAPACITY!$O$6:$O$84,$S101,ALL_CAPACITY!$M$6:$M$84,$R101)</f>
        <v>439.268492108766</v>
      </c>
      <c r="X101" s="184">
        <f>INDEX(CH!$D$2:$K$37,MATCH($S101&amp;"."&amp;$T101,CH!$M$2:$M$37,0),MATCH(X$67,CH!$D$1:$K$1,0))</f>
        <v>439.268492108766</v>
      </c>
      <c r="Y101" s="184">
        <f>INDEX(CH!$D$2:$K$37,MATCH($S101&amp;"."&amp;$T101,CH!$M$2:$M$37,0),MATCH(Y$67,CH!$D$1:$K$1,0))</f>
        <v>470.22880300472502</v>
      </c>
      <c r="Z101" s="184">
        <f>INDEX(CH!$D$2:$K$37,MATCH($S101&amp;"."&amp;$T101,CH!$M$2:$M$37,0),MATCH(Z$67,CH!$D$1:$K$1,0))</f>
        <v>506.81826133631301</v>
      </c>
      <c r="AA101" s="184">
        <f>INDEX(CH!$D$2:$K$37,MATCH($S101&amp;"."&amp;$T101,CH!$M$2:$M$37,0),MATCH(AA$67,CH!$D$1:$K$1,0))</f>
        <v>532.14942479664398</v>
      </c>
      <c r="AB101" s="184">
        <f>INDEX(CH!$D$2:$K$37,MATCH($S101&amp;"."&amp;$T101,CH!$M$2:$M$37,0),MATCH(AB$67,CH!$D$1:$K$1,0))</f>
        <v>532.14942479664398</v>
      </c>
      <c r="AC101" s="184">
        <f>INDEX(CH!$D$2:$K$37,MATCH($S101&amp;"."&amp;$T101,CH!$M$2:$M$37,0),MATCH(AC$67,CH!$D$1:$K$1,0))</f>
        <v>534.96399851445801</v>
      </c>
      <c r="AD101" s="184">
        <f>INDEX(CH!$D$2:$K$37,MATCH($S101&amp;"."&amp;$T101,CH!$M$2:$M$37,0),MATCH(AD$67,CH!$D$1:$K$1,0))</f>
        <v>534.96399851445801</v>
      </c>
      <c r="AE101" s="184">
        <f>INDEX(CH!$D$2:$K$37,MATCH($S101&amp;"."&amp;$T101,CH!$M$2:$M$37,0),MATCH(AE$67,CH!$D$1:$K$1,0))</f>
        <v>534.96399851445801</v>
      </c>
      <c r="AF101" s="150"/>
      <c r="AG101" s="183"/>
      <c r="AH101" t="str">
        <f t="shared" si="68"/>
        <v>CH0.WAS_ELC</v>
      </c>
      <c r="AJ101">
        <f t="shared" si="75"/>
        <v>8.5000000000000006E-2</v>
      </c>
    </row>
    <row r="102" spans="2:36">
      <c r="E102" s="155"/>
      <c r="I102">
        <v>2040</v>
      </c>
      <c r="O102" s="155"/>
      <c r="Q102" s="18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83"/>
    </row>
    <row r="103" spans="2:36">
      <c r="E103" s="155"/>
      <c r="I103">
        <v>2045</v>
      </c>
      <c r="O103" s="155"/>
      <c r="Q103" s="185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7"/>
    </row>
    <row r="104" spans="2:36">
      <c r="E104" s="155"/>
      <c r="I104">
        <v>2050</v>
      </c>
      <c r="O104" s="155"/>
    </row>
    <row r="105" spans="2:36" ht="15">
      <c r="E105" s="155"/>
      <c r="H105" s="126" t="s">
        <v>471</v>
      </c>
      <c r="O105" s="155"/>
      <c r="Q105" s="194" t="s">
        <v>463</v>
      </c>
      <c r="R105" s="178"/>
      <c r="S105" s="178"/>
      <c r="T105" s="178"/>
      <c r="U105" s="178"/>
      <c r="V105" s="178"/>
      <c r="W105" s="178" t="s">
        <v>126</v>
      </c>
      <c r="X105" s="178">
        <v>2015</v>
      </c>
      <c r="Y105" s="178">
        <v>2020</v>
      </c>
      <c r="Z105" s="178">
        <v>2025</v>
      </c>
      <c r="AA105" s="178">
        <v>2030</v>
      </c>
      <c r="AB105" s="178">
        <v>2035</v>
      </c>
      <c r="AC105" s="178">
        <v>2040</v>
      </c>
      <c r="AD105" s="178">
        <v>2045</v>
      </c>
      <c r="AE105" s="178">
        <v>2050</v>
      </c>
      <c r="AF105" s="178"/>
      <c r="AG105" s="179"/>
    </row>
    <row r="106" spans="2:36">
      <c r="B106" t="str">
        <f t="shared" ref="B106:D107" si="76">INDEX(H$97:H$104,H106)</f>
        <v>DE0</v>
      </c>
      <c r="C106">
        <f t="shared" si="76"/>
        <v>2015</v>
      </c>
      <c r="D106" t="str">
        <f t="shared" si="76"/>
        <v>LIG_HCO</v>
      </c>
      <c r="E106" s="155">
        <f t="shared" si="51"/>
        <v>249698835.17300799</v>
      </c>
      <c r="F106" t="s">
        <v>31</v>
      </c>
      <c r="G106" t="str">
        <f>INDEX(K$97:K$104,J106)</f>
        <v>lignite+coal</v>
      </c>
      <c r="H106">
        <v>1</v>
      </c>
      <c r="I106">
        <v>1</v>
      </c>
      <c r="J106">
        <v>1</v>
      </c>
      <c r="N106">
        <f t="shared" ref="N106:N121" si="77">INDEX($AJ$21:$AJ$249,MATCH(B106&amp;"."&amp;D106,$AH$21:$AH$249,0))</f>
        <v>8.5000000000000006E-2</v>
      </c>
      <c r="O106" s="155">
        <f t="shared" si="52"/>
        <v>272894901.82842404</v>
      </c>
      <c r="Q106" s="180"/>
      <c r="R106" s="150" t="s">
        <v>15</v>
      </c>
      <c r="S106" s="150" t="s">
        <v>95</v>
      </c>
      <c r="T106" s="150"/>
      <c r="U106" s="150"/>
      <c r="V106" s="150"/>
      <c r="W106" s="188">
        <f>SUMIFS($AS$4:$AS$69,$AP$4:$AP$69,$S106,$AR$4:$AR$69,$R106)</f>
        <v>86738063.894999996</v>
      </c>
      <c r="X106" s="182">
        <f t="shared" ref="X106:AE106" si="78">SUMIFS(X$256:X$302,$S$256:$S$302,$R106,$R$256:$R$302,$S106)*1000</f>
        <v>96915889.928257808</v>
      </c>
      <c r="Y106" s="182">
        <f t="shared" si="78"/>
        <v>34469117.375592999</v>
      </c>
      <c r="Z106" s="182">
        <f t="shared" si="78"/>
        <v>0</v>
      </c>
      <c r="AA106" s="182">
        <f t="shared" si="78"/>
        <v>0</v>
      </c>
      <c r="AB106" s="182">
        <f t="shared" si="78"/>
        <v>0</v>
      </c>
      <c r="AC106" s="182">
        <f t="shared" si="78"/>
        <v>0</v>
      </c>
      <c r="AD106" s="182">
        <f t="shared" si="78"/>
        <v>0</v>
      </c>
      <c r="AE106" s="182">
        <f t="shared" si="78"/>
        <v>0</v>
      </c>
      <c r="AF106" s="150"/>
      <c r="AG106" s="183"/>
      <c r="AH106" t="str">
        <f t="shared" ref="AH106" si="79">R106&amp;"."&amp;S106</f>
        <v>DE0.NUC_ELC</v>
      </c>
      <c r="AJ106">
        <f>INDEX($AZ$2:$AZ$41,MATCH($S106,$AY$2:$AY$41,0))</f>
        <v>4.7E-2</v>
      </c>
    </row>
    <row r="107" spans="2:36">
      <c r="B107" t="str">
        <f t="shared" si="76"/>
        <v>DE0</v>
      </c>
      <c r="C107">
        <f t="shared" si="76"/>
        <v>2020</v>
      </c>
      <c r="D107" t="str">
        <f t="shared" si="76"/>
        <v>LIG_HCO</v>
      </c>
      <c r="E107" s="155">
        <f t="shared" si="51"/>
        <v>250545251.07467914</v>
      </c>
      <c r="F107" t="s">
        <v>31</v>
      </c>
      <c r="G107" t="str">
        <f>INDEX(K$97:K$104,J107)</f>
        <v>lignite+coal</v>
      </c>
      <c r="H107">
        <f>IF(H106=$H$96,1,H106+1)</f>
        <v>1</v>
      </c>
      <c r="I107">
        <f>IF(H107=1,IF(I106=$I$96,1,I106+1),I106)</f>
        <v>2</v>
      </c>
      <c r="J107">
        <f>IF(AND(I107=1,I106&gt;1),IF(J106=$J$96,1,J106+1),J106)</f>
        <v>1</v>
      </c>
      <c r="N107">
        <f t="shared" si="77"/>
        <v>8.5000000000000006E-2</v>
      </c>
      <c r="O107" s="155">
        <f t="shared" si="52"/>
        <v>273819946.52970397</v>
      </c>
      <c r="Q107" s="180" t="s">
        <v>404</v>
      </c>
      <c r="R107" s="150" t="s">
        <v>15</v>
      </c>
      <c r="S107" s="150" t="s">
        <v>95</v>
      </c>
      <c r="T107" s="150"/>
      <c r="U107" s="188"/>
      <c r="V107" s="150"/>
      <c r="W107" s="188">
        <f>INDEX(ALL_CAPACITY!$P$6:$X$84,MATCH($R107&amp;"."&amp;$S107,ALL_CAPACITY!$Z$6:$Z$84,0),MATCH(W$67,ALL_CAPACITY!$P$5:$X$5,0))</f>
        <v>10800</v>
      </c>
      <c r="X107" s="188">
        <f>INDEX(ALL_CAPACITY!$P$6:$X$84,MATCH($R107&amp;"."&amp;$S107,ALL_CAPACITY!$Z$6:$Z$84,0),MATCH(X$67,ALL_CAPACITY!$P$5:$X$5,0))</f>
        <v>10800</v>
      </c>
      <c r="Y107" s="188">
        <f>INDEX(ALL_CAPACITY!$P$6:$X$84,MATCH($R107&amp;"."&amp;$S107,ALL_CAPACITY!$Z$6:$Z$84,0),MATCH(Y$67,ALL_CAPACITY!$P$5:$X$5,0))</f>
        <v>6907.2</v>
      </c>
      <c r="Z107" s="188">
        <f>INDEX(ALL_CAPACITY!$P$6:$X$84,MATCH($R107&amp;"."&amp;$S107,ALL_CAPACITY!$Z$6:$Z$84,0),MATCH(Z$67,ALL_CAPACITY!$P$5:$X$5,0))</f>
        <v>0</v>
      </c>
      <c r="AA107" s="188">
        <f>INDEX(ALL_CAPACITY!$P$6:$X$84,MATCH($R107&amp;"."&amp;$S107,ALL_CAPACITY!$Z$6:$Z$84,0),MATCH(AA$67,ALL_CAPACITY!$P$5:$X$5,0))</f>
        <v>0</v>
      </c>
      <c r="AB107" s="188">
        <f>INDEX(ALL_CAPACITY!$P$6:$X$84,MATCH($R107&amp;"."&amp;$S107,ALL_CAPACITY!$Z$6:$Z$84,0),MATCH(AB$67,ALL_CAPACITY!$P$5:$X$5,0))</f>
        <v>0</v>
      </c>
      <c r="AC107" s="188">
        <f>INDEX(ALL_CAPACITY!$P$6:$X$84,MATCH($R107&amp;"."&amp;$S107,ALL_CAPACITY!$Z$6:$Z$84,0),MATCH(AC$67,ALL_CAPACITY!$P$5:$X$5,0))</f>
        <v>0</v>
      </c>
      <c r="AD107" s="188">
        <f>INDEX(ALL_CAPACITY!$P$6:$X$84,MATCH($R107&amp;"."&amp;$S107,ALL_CAPACITY!$Z$6:$Z$84,0),MATCH(AD$67,ALL_CAPACITY!$P$5:$X$5,0))</f>
        <v>0</v>
      </c>
      <c r="AE107" s="188">
        <f>INDEX(ALL_CAPACITY!$P$6:$X$84,MATCH($R107&amp;"."&amp;$S107,ALL_CAPACITY!$Z$6:$Z$84,0),MATCH(AE$67,ALL_CAPACITY!$P$5:$X$5,0))</f>
        <v>0</v>
      </c>
      <c r="AF107" s="150"/>
      <c r="AG107" s="183"/>
      <c r="AJ107">
        <f>INDEX($AZ$2:$AZ$41,MATCH($S107,$AY$2:$AY$41,0))</f>
        <v>4.7E-2</v>
      </c>
    </row>
    <row r="108" spans="2:36">
      <c r="B108" t="str">
        <f t="shared" ref="B108:B113" si="80">INDEX(H$97:H$104,H108)</f>
        <v>DE0</v>
      </c>
      <c r="C108">
        <f t="shared" ref="C108:C113" si="81">INDEX(I$97:I$104,I108)</f>
        <v>2025</v>
      </c>
      <c r="D108" t="str">
        <f t="shared" ref="D108:D113" si="82">INDEX(J$97:J$104,J108)</f>
        <v>LIG_HCO</v>
      </c>
      <c r="E108" s="155">
        <f t="shared" si="51"/>
        <v>244466205.03039464</v>
      </c>
      <c r="F108" t="s">
        <v>31</v>
      </c>
      <c r="G108" t="str">
        <f t="shared" ref="G108:G113" si="83">INDEX(K$97:K$104,J108)</f>
        <v>lignite+coal</v>
      </c>
      <c r="H108">
        <f t="shared" ref="H108:H113" si="84">IF(H107=$H$96,1,H107+1)</f>
        <v>1</v>
      </c>
      <c r="I108">
        <f t="shared" ref="I108:I113" si="85">IF(H108=1,IF(I107=$I$96,1,I107+1),I107)</f>
        <v>3</v>
      </c>
      <c r="J108">
        <f t="shared" ref="J108:J113" si="86">IF(AND(I108=1,I107&gt;1),IF(J107=$J$96,1,J107+1),J107)</f>
        <v>1</v>
      </c>
      <c r="N108">
        <f t="shared" si="77"/>
        <v>8.5000000000000006E-2</v>
      </c>
      <c r="O108" s="155">
        <f t="shared" si="52"/>
        <v>267176180.36108702</v>
      </c>
      <c r="Q108" s="180" t="s">
        <v>398</v>
      </c>
      <c r="R108" s="150"/>
      <c r="S108" s="150"/>
      <c r="T108" s="150"/>
      <c r="U108" s="188"/>
      <c r="V108" s="150"/>
      <c r="W108" s="188">
        <f t="shared" ref="W108:AE108" si="87">W106/W107</f>
        <v>8031.3022124999998</v>
      </c>
      <c r="X108" s="188">
        <f t="shared" si="87"/>
        <v>8973.6935118757228</v>
      </c>
      <c r="Y108" s="188">
        <f t="shared" si="87"/>
        <v>4990.3169700592134</v>
      </c>
      <c r="Z108" s="188" t="e">
        <f t="shared" si="87"/>
        <v>#DIV/0!</v>
      </c>
      <c r="AA108" s="188" t="e">
        <f t="shared" si="87"/>
        <v>#DIV/0!</v>
      </c>
      <c r="AB108" s="188" t="e">
        <f t="shared" si="87"/>
        <v>#DIV/0!</v>
      </c>
      <c r="AC108" s="188" t="e">
        <f t="shared" si="87"/>
        <v>#DIV/0!</v>
      </c>
      <c r="AD108" s="188" t="e">
        <f t="shared" si="87"/>
        <v>#DIV/0!</v>
      </c>
      <c r="AE108" s="188" t="e">
        <f t="shared" si="87"/>
        <v>#DIV/0!</v>
      </c>
      <c r="AF108" s="150"/>
      <c r="AG108" s="183"/>
    </row>
    <row r="109" spans="2:36">
      <c r="B109" t="str">
        <f t="shared" si="80"/>
        <v>DE0</v>
      </c>
      <c r="C109">
        <f t="shared" si="81"/>
        <v>2030</v>
      </c>
      <c r="D109" t="str">
        <f t="shared" si="82"/>
        <v>LIG_HCO</v>
      </c>
      <c r="E109" s="155">
        <f t="shared" si="51"/>
        <v>212224045.9507376</v>
      </c>
      <c r="F109" t="s">
        <v>31</v>
      </c>
      <c r="G109" t="str">
        <f t="shared" si="83"/>
        <v>lignite+coal</v>
      </c>
      <c r="H109">
        <f t="shared" si="84"/>
        <v>1</v>
      </c>
      <c r="I109">
        <f t="shared" si="85"/>
        <v>4</v>
      </c>
      <c r="J109">
        <f t="shared" si="86"/>
        <v>1</v>
      </c>
      <c r="N109">
        <f t="shared" si="77"/>
        <v>8.5000000000000006E-2</v>
      </c>
      <c r="O109" s="155">
        <f t="shared" si="52"/>
        <v>231938848.033593</v>
      </c>
      <c r="Q109" s="180"/>
      <c r="R109" s="150" t="s">
        <v>16</v>
      </c>
      <c r="S109" s="150" t="s">
        <v>95</v>
      </c>
      <c r="T109" s="150"/>
      <c r="U109" s="188"/>
      <c r="V109" s="150"/>
      <c r="W109" s="188">
        <f>SUMIFS($AS$4:$AS$69,$AP$4:$AP$69,$S109,$AR$4:$AR$69,$R109)</f>
        <v>416795000</v>
      </c>
      <c r="X109" s="191">
        <f t="shared" ref="X109:AE109" si="88">SUMIFS(X$256:X$302,$S$256:$S$302,$R109,$R$256:$R$302,$S109)*1000</f>
        <v>444338430.35141599</v>
      </c>
      <c r="Y109" s="191">
        <f t="shared" si="88"/>
        <v>396167069.12213498</v>
      </c>
      <c r="Z109" s="191">
        <f t="shared" si="88"/>
        <v>385196119.62613702</v>
      </c>
      <c r="AA109" s="191">
        <f t="shared" si="88"/>
        <v>385061725.73392099</v>
      </c>
      <c r="AB109" s="191">
        <f t="shared" si="88"/>
        <v>378941286.334656</v>
      </c>
      <c r="AC109" s="191">
        <f t="shared" si="88"/>
        <v>299262366.41861105</v>
      </c>
      <c r="AD109" s="191">
        <f t="shared" si="88"/>
        <v>283442831.05075401</v>
      </c>
      <c r="AE109" s="191">
        <f t="shared" si="88"/>
        <v>246065638.66317999</v>
      </c>
      <c r="AF109" s="150"/>
      <c r="AG109" s="183"/>
      <c r="AH109" t="str">
        <f t="shared" ref="AH109" si="89">R109&amp;"."&amp;S109</f>
        <v>FR0.NUC_ELC</v>
      </c>
      <c r="AJ109">
        <f>INDEX($AZ$2:$AZ$41,MATCH($S109,$AY$2:$AY$41,0))</f>
        <v>4.7E-2</v>
      </c>
    </row>
    <row r="110" spans="2:36">
      <c r="B110" t="str">
        <f t="shared" si="80"/>
        <v>DE0</v>
      </c>
      <c r="C110">
        <f t="shared" si="81"/>
        <v>2035</v>
      </c>
      <c r="D110" t="str">
        <f t="shared" si="82"/>
        <v>LIG_HCO</v>
      </c>
      <c r="E110" s="155">
        <f t="shared" si="51"/>
        <v>167396193.99555439</v>
      </c>
      <c r="F110" t="s">
        <v>31</v>
      </c>
      <c r="G110" t="str">
        <f t="shared" si="83"/>
        <v>lignite+coal</v>
      </c>
      <c r="H110">
        <f t="shared" si="84"/>
        <v>1</v>
      </c>
      <c r="I110">
        <f t="shared" si="85"/>
        <v>5</v>
      </c>
      <c r="J110">
        <f t="shared" si="86"/>
        <v>1</v>
      </c>
      <c r="N110">
        <f t="shared" si="77"/>
        <v>8.5000000000000006E-2</v>
      </c>
      <c r="O110" s="155">
        <f t="shared" si="52"/>
        <v>182946660.104431</v>
      </c>
      <c r="Q110" s="180" t="s">
        <v>404</v>
      </c>
      <c r="R110" s="150" t="s">
        <v>16</v>
      </c>
      <c r="S110" s="150" t="s">
        <v>95</v>
      </c>
      <c r="T110" s="150"/>
      <c r="U110" s="150"/>
      <c r="V110" s="150"/>
      <c r="W110" s="188">
        <f>INDEX(ALL_CAPACITY!$P$6:$X$84,MATCH($R110&amp;"."&amp;$S110,ALL_CAPACITY!$Z$6:$Z$84,0),MATCH(W$67,ALL_CAPACITY!$P$5:$X$5,0))</f>
        <v>63130</v>
      </c>
      <c r="X110" s="188">
        <f>INDEX(ALL_CAPACITY!$P$6:$X$84,MATCH($R110&amp;"."&amp;$S110,ALL_CAPACITY!$Z$6:$Z$84,0),MATCH(X$67,ALL_CAPACITY!$P$5:$X$5,0))</f>
        <v>63246.720000000001</v>
      </c>
      <c r="Y110" s="188">
        <f>INDEX(ALL_CAPACITY!$P$6:$X$84,MATCH($R110&amp;"."&amp;$S110,ALL_CAPACITY!$Z$6:$Z$84,0),MATCH(Y$67,ALL_CAPACITY!$P$5:$X$5,0))</f>
        <v>61326.720000000001</v>
      </c>
      <c r="Z110" s="188">
        <f>INDEX(ALL_CAPACITY!$P$6:$X$84,MATCH($R110&amp;"."&amp;$S110,ALL_CAPACITY!$Z$6:$Z$84,0),MATCH(Z$67,ALL_CAPACITY!$P$5:$X$5,0))</f>
        <v>59493.120000000003</v>
      </c>
      <c r="AA110" s="188">
        <f>INDEX(ALL_CAPACITY!$P$6:$X$84,MATCH($R110&amp;"."&amp;$S110,ALL_CAPACITY!$Z$6:$Z$84,0),MATCH(AA$67,ALL_CAPACITY!$P$5:$X$5,0))</f>
        <v>59493.120000000003</v>
      </c>
      <c r="AB110" s="188">
        <f>INDEX(ALL_CAPACITY!$P$6:$X$84,MATCH($R110&amp;"."&amp;$S110,ALL_CAPACITY!$Z$6:$Z$84,0),MATCH(AB$67,ALL_CAPACITY!$P$5:$X$5,0))</f>
        <v>56330.16</v>
      </c>
      <c r="AC110" s="188">
        <f>INDEX(ALL_CAPACITY!$P$6:$X$84,MATCH($R110&amp;"."&amp;$S110,ALL_CAPACITY!$Z$6:$Z$84,0),MATCH(AC$67,ALL_CAPACITY!$P$5:$X$5,0))</f>
        <v>42452.160000000003</v>
      </c>
      <c r="AD110" s="188">
        <f>INDEX(ALL_CAPACITY!$P$6:$X$84,MATCH($R110&amp;"."&amp;$S110,ALL_CAPACITY!$Z$6:$Z$84,0),MATCH(AD$67,ALL_CAPACITY!$P$5:$X$5,0))</f>
        <v>39118.559999999998</v>
      </c>
      <c r="AE110" s="188">
        <f>INDEX(ALL_CAPACITY!$P$6:$X$84,MATCH($R110&amp;"."&amp;$S110,ALL_CAPACITY!$Z$6:$Z$84,0),MATCH(AE$67,ALL_CAPACITY!$P$5:$X$5,0))</f>
        <v>32276.400000000001</v>
      </c>
      <c r="AF110" s="150"/>
      <c r="AG110" s="183"/>
      <c r="AJ110">
        <f>INDEX($AZ$2:$AZ$41,MATCH($S110,$AY$2:$AY$41,0))</f>
        <v>4.7E-2</v>
      </c>
    </row>
    <row r="111" spans="2:36">
      <c r="B111" t="str">
        <f t="shared" si="80"/>
        <v>DE0</v>
      </c>
      <c r="C111">
        <f t="shared" si="81"/>
        <v>2040</v>
      </c>
      <c r="D111" t="str">
        <f t="shared" si="82"/>
        <v>LIG_HCO</v>
      </c>
      <c r="E111" s="155">
        <f t="shared" si="51"/>
        <v>146771088.88929152</v>
      </c>
      <c r="F111" t="s">
        <v>31</v>
      </c>
      <c r="G111" t="str">
        <f t="shared" si="83"/>
        <v>lignite+coal</v>
      </c>
      <c r="H111">
        <f t="shared" si="84"/>
        <v>1</v>
      </c>
      <c r="I111">
        <f t="shared" si="85"/>
        <v>6</v>
      </c>
      <c r="J111">
        <f t="shared" si="86"/>
        <v>1</v>
      </c>
      <c r="N111">
        <f t="shared" si="77"/>
        <v>8.5000000000000006E-2</v>
      </c>
      <c r="O111" s="155">
        <f t="shared" si="52"/>
        <v>160405561.62764099</v>
      </c>
      <c r="Q111" s="180" t="s">
        <v>398</v>
      </c>
      <c r="R111" s="150"/>
      <c r="S111" s="150"/>
      <c r="T111" s="150"/>
      <c r="U111" s="150"/>
      <c r="V111" s="150"/>
      <c r="W111" s="188">
        <f t="shared" ref="W111:AE111" si="90">W109/W110</f>
        <v>6602.170125138603</v>
      </c>
      <c r="X111" s="188">
        <f t="shared" si="90"/>
        <v>7025.4778485179304</v>
      </c>
      <c r="Y111" s="188">
        <f t="shared" si="90"/>
        <v>6459.9422425026969</v>
      </c>
      <c r="Z111" s="188">
        <f t="shared" si="90"/>
        <v>6474.6330269136497</v>
      </c>
      <c r="AA111" s="188">
        <f t="shared" si="90"/>
        <v>6472.374044829402</v>
      </c>
      <c r="AB111" s="188">
        <f t="shared" si="90"/>
        <v>6727.1473458384635</v>
      </c>
      <c r="AC111" s="188">
        <f t="shared" si="90"/>
        <v>7049.4025844294147</v>
      </c>
      <c r="AD111" s="188">
        <f t="shared" si="90"/>
        <v>7245.737855656088</v>
      </c>
      <c r="AE111" s="188">
        <f t="shared" si="90"/>
        <v>7623.7014866335767</v>
      </c>
      <c r="AF111" s="150"/>
      <c r="AG111" s="183"/>
    </row>
    <row r="112" spans="2:36">
      <c r="B112" t="str">
        <f t="shared" si="80"/>
        <v>DE0</v>
      </c>
      <c r="C112">
        <f t="shared" si="81"/>
        <v>2045</v>
      </c>
      <c r="D112" t="str">
        <f t="shared" si="82"/>
        <v>LIG_HCO</v>
      </c>
      <c r="E112" s="155">
        <f t="shared" si="51"/>
        <v>104781991.70567185</v>
      </c>
      <c r="F112" t="s">
        <v>31</v>
      </c>
      <c r="G112" t="str">
        <f t="shared" si="83"/>
        <v>lignite+coal</v>
      </c>
      <c r="H112">
        <f t="shared" si="84"/>
        <v>1</v>
      </c>
      <c r="I112">
        <f t="shared" si="85"/>
        <v>7</v>
      </c>
      <c r="J112">
        <f t="shared" si="86"/>
        <v>1</v>
      </c>
      <c r="N112">
        <f t="shared" si="77"/>
        <v>8.5000000000000006E-2</v>
      </c>
      <c r="O112" s="155">
        <f t="shared" si="52"/>
        <v>114515837.92969601</v>
      </c>
      <c r="Q112" s="180"/>
      <c r="R112" s="150" t="s">
        <v>14</v>
      </c>
      <c r="S112" s="150" t="s">
        <v>95</v>
      </c>
      <c r="T112" s="150" t="s">
        <v>143</v>
      </c>
      <c r="U112" s="150"/>
      <c r="V112" s="150"/>
      <c r="W112" s="188">
        <f>SUMIFS($AS$4:$AS$69,$AP$4:$AP$69,$S112,$AR$4:$AR$69,$R112)</f>
        <v>22095000</v>
      </c>
      <c r="X112" s="191">
        <f t="shared" ref="X112:AB112" si="91">INDEX($X$317:$AE$356,MATCH($S112&amp;"."&amp;$T112,$S$317:$S$356,0),MATCH(X$20,$X$316:$AE$316,0))*1000000</f>
        <v>24580000</v>
      </c>
      <c r="Y112" s="191">
        <f t="shared" si="91"/>
        <v>21680000</v>
      </c>
      <c r="Z112" s="191">
        <f t="shared" si="91"/>
        <v>15980000</v>
      </c>
      <c r="AA112" s="191">
        <f t="shared" si="91"/>
        <v>8810000</v>
      </c>
      <c r="AB112" s="191">
        <f t="shared" si="91"/>
        <v>0</v>
      </c>
      <c r="AC112" s="191">
        <f>INDEX($X$317:$AE$356,MATCH($S112&amp;"."&amp;$T112,$S$317:$S$356,0),MATCH(AC$20,$X$316:$AE$316,0))*1000000</f>
        <v>0</v>
      </c>
      <c r="AD112" s="191">
        <f>INDEX($X$317:$AE$356,MATCH($S112&amp;"."&amp;$T112,$S$317:$S$356,0),MATCH(AD$20,$X$316:$AE$316,0))*1000000</f>
        <v>0</v>
      </c>
      <c r="AE112" s="191">
        <f>INDEX($X$317:$AE$356,MATCH($S112&amp;"."&amp;$T112,$S$317:$S$356,0),MATCH(AE$20,$X$316:$AE$316,0))*1000000</f>
        <v>0</v>
      </c>
      <c r="AF112" s="150"/>
      <c r="AG112" s="183"/>
      <c r="AH112" t="str">
        <f t="shared" ref="AH112" si="92">R112&amp;"."&amp;S112</f>
        <v>CH0.NUC_ELC</v>
      </c>
      <c r="AJ112">
        <f>INDEX($AZ$2:$AZ$41,MATCH($S112,$AY$2:$AY$41,0))</f>
        <v>4.7E-2</v>
      </c>
    </row>
    <row r="113" spans="2:36">
      <c r="B113" t="str">
        <f t="shared" si="80"/>
        <v>DE0</v>
      </c>
      <c r="C113">
        <f t="shared" si="81"/>
        <v>2050</v>
      </c>
      <c r="D113" t="str">
        <f t="shared" si="82"/>
        <v>LIG_HCO</v>
      </c>
      <c r="E113" s="155">
        <f t="shared" si="51"/>
        <v>125221776.6493993</v>
      </c>
      <c r="F113" t="s">
        <v>31</v>
      </c>
      <c r="G113" t="str">
        <f t="shared" si="83"/>
        <v>lignite+coal</v>
      </c>
      <c r="H113">
        <f t="shared" si="84"/>
        <v>1</v>
      </c>
      <c r="I113">
        <f t="shared" si="85"/>
        <v>8</v>
      </c>
      <c r="J113">
        <f t="shared" si="86"/>
        <v>1</v>
      </c>
      <c r="N113">
        <f t="shared" si="77"/>
        <v>8.5000000000000006E-2</v>
      </c>
      <c r="O113" s="155">
        <f t="shared" si="52"/>
        <v>136854400.70972601</v>
      </c>
      <c r="Q113" s="180" t="s">
        <v>404</v>
      </c>
      <c r="R113" s="150" t="s">
        <v>14</v>
      </c>
      <c r="S113" s="150" t="s">
        <v>95</v>
      </c>
      <c r="T113" s="150"/>
      <c r="U113" s="188"/>
      <c r="V113" s="150"/>
      <c r="W113" s="188">
        <f>INDEX(ALL_CAPACITY!$P$6:$X$84,MATCH($R113&amp;"."&amp;$S113,ALL_CAPACITY!$Z$6:$Z$84,0),MATCH(W$67,ALL_CAPACITY!$P$5:$X$5,0))</f>
        <v>3333</v>
      </c>
      <c r="X113" s="188">
        <f>INDEX(ALL_CAPACITY!$P$6:$X$84,MATCH($R113&amp;"."&amp;$S113,ALL_CAPACITY!$Z$6:$Z$84,0),MATCH(X$67,ALL_CAPACITY!$P$5:$X$5,0))</f>
        <v>3333</v>
      </c>
      <c r="Y113" s="188">
        <f>INDEX(ALL_CAPACITY!$P$6:$X$84,MATCH($R113&amp;"."&amp;$S113,ALL_CAPACITY!$Z$6:$Z$84,0),MATCH(Y$67,ALL_CAPACITY!$P$5:$X$5,0))</f>
        <v>2874.5163073521298</v>
      </c>
      <c r="Z113" s="188">
        <f>INDEX(ALL_CAPACITY!$P$6:$X$84,MATCH($R113&amp;"."&amp;$S113,ALL_CAPACITY!$Z$6:$Z$84,0),MATCH(Z$67,ALL_CAPACITY!$P$5:$X$5,0))</f>
        <v>2166.9430624654501</v>
      </c>
      <c r="AA113" s="188">
        <f>INDEX(ALL_CAPACITY!$P$6:$X$84,MATCH($R113&amp;"."&amp;$S113,ALL_CAPACITY!$Z$6:$Z$84,0),MATCH(AA$67,ALL_CAPACITY!$P$5:$X$5,0))</f>
        <v>1194.0298507462701</v>
      </c>
      <c r="AB113" s="188">
        <f>INDEX(ALL_CAPACITY!$P$6:$X$84,MATCH($R113&amp;"."&amp;$S113,ALL_CAPACITY!$Z$6:$Z$84,0),MATCH(AB$67,ALL_CAPACITY!$P$5:$X$5,0))</f>
        <v>0</v>
      </c>
      <c r="AC113" s="188">
        <f>INDEX(ALL_CAPACITY!$P$6:$X$84,MATCH($R113&amp;"."&amp;$S113,ALL_CAPACITY!$Z$6:$Z$84,0),MATCH(AC$67,ALL_CAPACITY!$P$5:$X$5,0))</f>
        <v>0</v>
      </c>
      <c r="AD113" s="188">
        <f>INDEX(ALL_CAPACITY!$P$6:$X$84,MATCH($R113&amp;"."&amp;$S113,ALL_CAPACITY!$Z$6:$Z$84,0),MATCH(AD$67,ALL_CAPACITY!$P$5:$X$5,0))</f>
        <v>0</v>
      </c>
      <c r="AE113" s="188">
        <f>INDEX(ALL_CAPACITY!$P$6:$X$84,MATCH($R113&amp;"."&amp;$S113,ALL_CAPACITY!$Z$6:$Z$84,0),MATCH(AE$67,ALL_CAPACITY!$P$5:$X$5,0))</f>
        <v>0</v>
      </c>
      <c r="AF113" s="150"/>
      <c r="AG113" s="183"/>
      <c r="AJ113">
        <f>INDEX($AZ$2:$AZ$41,MATCH($S113,$AY$2:$AY$41,0))</f>
        <v>4.7E-2</v>
      </c>
    </row>
    <row r="114" spans="2:36">
      <c r="B114" t="str">
        <f t="shared" ref="B114:B121" si="93">INDEX(H$97:H$104,H114)</f>
        <v>DE0</v>
      </c>
      <c r="C114">
        <f t="shared" ref="C114:C121" si="94">INDEX(I$97:I$104,I114)</f>
        <v>2015</v>
      </c>
      <c r="D114" t="str">
        <f t="shared" ref="D114:D121" si="95">INDEX(J$97:J$104,J114)</f>
        <v>GAS_TOT</v>
      </c>
      <c r="E114" s="155">
        <f t="shared" si="51"/>
        <v>91879646.103811458</v>
      </c>
      <c r="F114" t="s">
        <v>31</v>
      </c>
      <c r="G114" t="str">
        <f t="shared" ref="G114:G121" si="96">INDEX(K$97:K$104,J114)</f>
        <v>natural_gas</v>
      </c>
      <c r="H114">
        <f t="shared" ref="H114:H121" si="97">IF(H113=$H$96,1,H113+1)</f>
        <v>1</v>
      </c>
      <c r="I114">
        <f t="shared" ref="I114:I121" si="98">IF(H114=1,IF(I113=$I$96,1,I113+1),I113)</f>
        <v>1</v>
      </c>
      <c r="J114">
        <f t="shared" ref="J114:J121" si="99">IF(AND(I114=1,I113&gt;1),IF(J113=$J$96,1,J113+1),J113)</f>
        <v>2</v>
      </c>
      <c r="N114">
        <f t="shared" si="77"/>
        <v>0.01</v>
      </c>
      <c r="O114" s="155">
        <f t="shared" si="52"/>
        <v>92807723.337183297</v>
      </c>
      <c r="Q114" s="180" t="s">
        <v>398</v>
      </c>
      <c r="R114" s="150"/>
      <c r="S114" s="150"/>
      <c r="T114" s="150"/>
      <c r="U114" s="150"/>
      <c r="V114" s="150"/>
      <c r="W114" s="188">
        <f t="shared" ref="W114:AE114" si="100">W112/W113</f>
        <v>6629.1629162916288</v>
      </c>
      <c r="X114" s="188">
        <f t="shared" si="100"/>
        <v>7374.7374737473747</v>
      </c>
      <c r="Y114" s="188">
        <f t="shared" si="100"/>
        <v>7542.1384615384577</v>
      </c>
      <c r="Z114" s="188">
        <f t="shared" si="100"/>
        <v>7374.4438775510216</v>
      </c>
      <c r="AA114" s="188">
        <f t="shared" si="100"/>
        <v>7378.3749999999909</v>
      </c>
      <c r="AB114" s="188" t="e">
        <f t="shared" si="100"/>
        <v>#DIV/0!</v>
      </c>
      <c r="AC114" s="188" t="e">
        <f t="shared" si="100"/>
        <v>#DIV/0!</v>
      </c>
      <c r="AD114" s="188" t="e">
        <f t="shared" si="100"/>
        <v>#DIV/0!</v>
      </c>
      <c r="AE114" s="188" t="e">
        <f t="shared" si="100"/>
        <v>#DIV/0!</v>
      </c>
      <c r="AF114" s="150"/>
      <c r="AG114" s="183"/>
    </row>
    <row r="115" spans="2:36">
      <c r="B115" t="str">
        <f t="shared" si="93"/>
        <v>DE0</v>
      </c>
      <c r="C115">
        <f t="shared" si="94"/>
        <v>2020</v>
      </c>
      <c r="D115" t="str">
        <f t="shared" si="95"/>
        <v>GAS_TOT</v>
      </c>
      <c r="E115" s="155">
        <f t="shared" si="51"/>
        <v>73969428.038254932</v>
      </c>
      <c r="F115" t="s">
        <v>31</v>
      </c>
      <c r="G115" t="str">
        <f t="shared" si="96"/>
        <v>natural_gas</v>
      </c>
      <c r="H115">
        <f t="shared" si="97"/>
        <v>1</v>
      </c>
      <c r="I115">
        <f t="shared" si="98"/>
        <v>2</v>
      </c>
      <c r="J115">
        <f t="shared" si="99"/>
        <v>2</v>
      </c>
      <c r="N115">
        <f t="shared" si="77"/>
        <v>0.01</v>
      </c>
      <c r="O115" s="155">
        <f t="shared" si="52"/>
        <v>74716593.978035286</v>
      </c>
      <c r="Q115" s="180"/>
      <c r="R115" s="150" t="s">
        <v>14</v>
      </c>
      <c r="S115" s="150" t="s">
        <v>95</v>
      </c>
      <c r="T115" s="150" t="s">
        <v>142</v>
      </c>
      <c r="U115" s="150"/>
      <c r="V115" s="150"/>
      <c r="W115" s="188">
        <f>SUMIFS($AS$4:$AS$69,$AP$4:$AP$69,$S115,$AR$4:$AR$69,$R115)</f>
        <v>22095000</v>
      </c>
      <c r="X115" s="191">
        <f t="shared" ref="X115:AB115" si="101">INDEX($X$317:$AE$356,MATCH($S115&amp;"."&amp;$T115,$S$317:$S$356,0),MATCH(X$20,$X$316:$AE$316,0))*1000000</f>
        <v>24580000</v>
      </c>
      <c r="Y115" s="191">
        <f t="shared" si="101"/>
        <v>21680000</v>
      </c>
      <c r="Z115" s="191">
        <f t="shared" si="101"/>
        <v>15980000</v>
      </c>
      <c r="AA115" s="191">
        <f t="shared" si="101"/>
        <v>8810000</v>
      </c>
      <c r="AB115" s="191">
        <f t="shared" si="101"/>
        <v>0</v>
      </c>
      <c r="AC115" s="191">
        <f>INDEX($X$317:$AE$356,MATCH($S115&amp;"."&amp;$T115,$S$317:$S$356,0),MATCH(AC$20,$X$316:$AE$316,0))*1000000</f>
        <v>0</v>
      </c>
      <c r="AD115" s="191">
        <f>INDEX($X$317:$AE$356,MATCH($S115&amp;"."&amp;$T115,$S$317:$S$356,0),MATCH(AD$20,$X$316:$AE$316,0))*1000000</f>
        <v>0</v>
      </c>
      <c r="AE115" s="191">
        <f>INDEX($X$317:$AE$356,MATCH($S115&amp;"."&amp;$T115,$S$317:$S$356,0),MATCH(AE$20,$X$316:$AE$316,0))*1000000</f>
        <v>0</v>
      </c>
      <c r="AF115" s="150"/>
      <c r="AG115" s="183"/>
      <c r="AJ115">
        <f>INDEX($AZ$2:$AZ$41,MATCH($S115,$AY$2:$AY$41,0))</f>
        <v>4.7E-2</v>
      </c>
    </row>
    <row r="116" spans="2:36">
      <c r="B116" t="str">
        <f t="shared" si="93"/>
        <v>DE0</v>
      </c>
      <c r="C116">
        <f t="shared" si="94"/>
        <v>2025</v>
      </c>
      <c r="D116" t="str">
        <f t="shared" si="95"/>
        <v>GAS_TOT</v>
      </c>
      <c r="E116" s="155">
        <f t="shared" si="51"/>
        <v>101205591.63020658</v>
      </c>
      <c r="F116" t="s">
        <v>31</v>
      </c>
      <c r="G116" t="str">
        <f t="shared" si="96"/>
        <v>natural_gas</v>
      </c>
      <c r="H116">
        <f t="shared" si="97"/>
        <v>1</v>
      </c>
      <c r="I116">
        <f t="shared" si="98"/>
        <v>3</v>
      </c>
      <c r="J116">
        <f t="shared" si="99"/>
        <v>2</v>
      </c>
      <c r="N116">
        <f t="shared" si="77"/>
        <v>0.01</v>
      </c>
      <c r="O116" s="155">
        <f t="shared" si="52"/>
        <v>102227870.333542</v>
      </c>
      <c r="Q116" s="180" t="s">
        <v>404</v>
      </c>
      <c r="R116" s="150" t="s">
        <v>14</v>
      </c>
      <c r="S116" s="150" t="s">
        <v>95</v>
      </c>
      <c r="T116" s="150"/>
      <c r="U116" s="188"/>
      <c r="V116" s="150"/>
      <c r="W116" s="188">
        <f>INDEX(ALL_CAPACITY!$P$6:$X$84,MATCH($R116&amp;"."&amp;$S116,ALL_CAPACITY!$Z$6:$Z$84,0),MATCH(W$67,ALL_CAPACITY!$P$5:$X$5,0))</f>
        <v>3333</v>
      </c>
      <c r="X116" s="188">
        <f>INDEX(ALL_CAPACITY!$P$6:$X$84,MATCH($R116&amp;"."&amp;$S116,ALL_CAPACITY!$Z$6:$Z$84,0),MATCH(X$67,ALL_CAPACITY!$P$5:$X$5,0))</f>
        <v>3333</v>
      </c>
      <c r="Y116" s="188">
        <f>INDEX(ALL_CAPACITY!$P$6:$X$84,MATCH($R116&amp;"."&amp;$S116,ALL_CAPACITY!$Z$6:$Z$84,0),MATCH(Y$67,ALL_CAPACITY!$P$5:$X$5,0))</f>
        <v>2874.5163073521298</v>
      </c>
      <c r="Z116" s="188">
        <f>INDEX(ALL_CAPACITY!$P$6:$X$84,MATCH($R116&amp;"."&amp;$S116,ALL_CAPACITY!$Z$6:$Z$84,0),MATCH(Z$67,ALL_CAPACITY!$P$5:$X$5,0))</f>
        <v>2166.9430624654501</v>
      </c>
      <c r="AA116" s="188">
        <f>INDEX(ALL_CAPACITY!$P$6:$X$84,MATCH($R116&amp;"."&amp;$S116,ALL_CAPACITY!$Z$6:$Z$84,0),MATCH(AA$67,ALL_CAPACITY!$P$5:$X$5,0))</f>
        <v>1194.0298507462701</v>
      </c>
      <c r="AB116" s="188">
        <f>INDEX(ALL_CAPACITY!$P$6:$X$84,MATCH($R116&amp;"."&amp;$S116,ALL_CAPACITY!$Z$6:$Z$84,0),MATCH(AB$67,ALL_CAPACITY!$P$5:$X$5,0))</f>
        <v>0</v>
      </c>
      <c r="AC116" s="188">
        <f>INDEX(ALL_CAPACITY!$P$6:$X$84,MATCH($R116&amp;"."&amp;$S116,ALL_CAPACITY!$Z$6:$Z$84,0),MATCH(AC$67,ALL_CAPACITY!$P$5:$X$5,0))</f>
        <v>0</v>
      </c>
      <c r="AD116" s="188">
        <f>INDEX(ALL_CAPACITY!$P$6:$X$84,MATCH($R116&amp;"."&amp;$S116,ALL_CAPACITY!$Z$6:$Z$84,0),MATCH(AD$67,ALL_CAPACITY!$P$5:$X$5,0))</f>
        <v>0</v>
      </c>
      <c r="AE116" s="188">
        <f>INDEX(ALL_CAPACITY!$P$6:$X$84,MATCH($R116&amp;"."&amp;$S116,ALL_CAPACITY!$Z$6:$Z$84,0),MATCH(AE$67,ALL_CAPACITY!$P$5:$X$5,0))</f>
        <v>0</v>
      </c>
      <c r="AF116" s="150"/>
      <c r="AG116" s="183"/>
      <c r="AJ116">
        <f>INDEX($AZ$2:$AZ$41,MATCH($S116,$AY$2:$AY$41,0))</f>
        <v>4.7E-2</v>
      </c>
    </row>
    <row r="117" spans="2:36">
      <c r="B117" t="str">
        <f t="shared" si="93"/>
        <v>DE0</v>
      </c>
      <c r="C117">
        <f t="shared" si="94"/>
        <v>2030</v>
      </c>
      <c r="D117" t="str">
        <f t="shared" si="95"/>
        <v>GAS_TOT</v>
      </c>
      <c r="E117" s="155">
        <f t="shared" si="51"/>
        <v>107722229.6100644</v>
      </c>
      <c r="F117" t="s">
        <v>31</v>
      </c>
      <c r="G117" t="str">
        <f t="shared" si="96"/>
        <v>natural_gas</v>
      </c>
      <c r="H117">
        <f t="shared" si="97"/>
        <v>1</v>
      </c>
      <c r="I117">
        <f t="shared" si="98"/>
        <v>4</v>
      </c>
      <c r="J117">
        <f t="shared" si="99"/>
        <v>2</v>
      </c>
      <c r="N117">
        <f t="shared" si="77"/>
        <v>0.01</v>
      </c>
      <c r="O117" s="155">
        <f t="shared" si="52"/>
        <v>108810332.939459</v>
      </c>
      <c r="Q117" s="180" t="s">
        <v>398</v>
      </c>
      <c r="R117" s="150"/>
      <c r="S117" s="150"/>
      <c r="T117" s="150"/>
      <c r="U117" s="150"/>
      <c r="V117" s="150"/>
      <c r="W117" s="188">
        <f t="shared" ref="W117:AE117" si="102">W115/W116</f>
        <v>6629.1629162916288</v>
      </c>
      <c r="X117" s="188">
        <f t="shared" si="102"/>
        <v>7374.7374737473747</v>
      </c>
      <c r="Y117" s="188">
        <f t="shared" si="102"/>
        <v>7542.1384615384577</v>
      </c>
      <c r="Z117" s="188">
        <f t="shared" si="102"/>
        <v>7374.4438775510216</v>
      </c>
      <c r="AA117" s="188">
        <f t="shared" si="102"/>
        <v>7378.3749999999909</v>
      </c>
      <c r="AB117" s="188" t="e">
        <f t="shared" si="102"/>
        <v>#DIV/0!</v>
      </c>
      <c r="AC117" s="188" t="e">
        <f t="shared" si="102"/>
        <v>#DIV/0!</v>
      </c>
      <c r="AD117" s="188" t="e">
        <f t="shared" si="102"/>
        <v>#DIV/0!</v>
      </c>
      <c r="AE117" s="188" t="e">
        <f t="shared" si="102"/>
        <v>#DIV/0!</v>
      </c>
      <c r="AF117" s="150"/>
      <c r="AG117" s="183"/>
    </row>
    <row r="118" spans="2:36">
      <c r="B118" t="str">
        <f t="shared" si="93"/>
        <v>DE0</v>
      </c>
      <c r="C118">
        <f t="shared" si="94"/>
        <v>2035</v>
      </c>
      <c r="D118" t="str">
        <f t="shared" si="95"/>
        <v>GAS_TOT</v>
      </c>
      <c r="E118" s="155">
        <f t="shared" si="51"/>
        <v>148608881.27139977</v>
      </c>
      <c r="F118" t="s">
        <v>31</v>
      </c>
      <c r="G118" t="str">
        <f t="shared" si="96"/>
        <v>natural_gas</v>
      </c>
      <c r="H118">
        <f t="shared" si="97"/>
        <v>1</v>
      </c>
      <c r="I118">
        <f t="shared" si="98"/>
        <v>5</v>
      </c>
      <c r="J118">
        <f t="shared" si="99"/>
        <v>2</v>
      </c>
      <c r="N118">
        <f t="shared" si="77"/>
        <v>0.01</v>
      </c>
      <c r="O118" s="155">
        <f t="shared" si="52"/>
        <v>150109981.08222198</v>
      </c>
      <c r="Q118" s="180"/>
      <c r="R118" s="150" t="s">
        <v>14</v>
      </c>
      <c r="S118" s="150" t="s">
        <v>95</v>
      </c>
      <c r="T118" s="150" t="s">
        <v>296</v>
      </c>
      <c r="U118" s="150"/>
      <c r="V118" s="150"/>
      <c r="W118" s="188">
        <f>SUMIFS($AS$4:$AS$69,$AP$4:$AP$69,$S118,$AR$4:$AR$69,$R118)</f>
        <v>22095000</v>
      </c>
      <c r="X118" s="191">
        <f t="shared" ref="X118:AB118" si="103">INDEX($X$317:$AE$356,MATCH($S118&amp;"."&amp;$T118,$S$317:$S$356,0),MATCH(X$20,$X$316:$AE$316,0))*1000000</f>
        <v>24580000</v>
      </c>
      <c r="Y118" s="191">
        <f t="shared" si="103"/>
        <v>21680000</v>
      </c>
      <c r="Z118" s="191">
        <f t="shared" si="103"/>
        <v>15980000</v>
      </c>
      <c r="AA118" s="191">
        <f t="shared" si="103"/>
        <v>8810000</v>
      </c>
      <c r="AB118" s="191">
        <f t="shared" si="103"/>
        <v>0</v>
      </c>
      <c r="AC118" s="191">
        <f>INDEX($X$317:$AE$356,MATCH($S118&amp;"."&amp;$T118,$S$317:$S$356,0),MATCH(AC$20,$X$316:$AE$316,0))*1000000</f>
        <v>0</v>
      </c>
      <c r="AD118" s="191">
        <f>INDEX($X$317:$AE$356,MATCH($S118&amp;"."&amp;$T118,$S$317:$S$356,0),MATCH(AD$20,$X$316:$AE$316,0))*1000000</f>
        <v>0</v>
      </c>
      <c r="AE118" s="191">
        <f>INDEX($X$317:$AE$356,MATCH($S118&amp;"."&amp;$T118,$S$317:$S$356,0),MATCH(AE$20,$X$316:$AE$316,0))*1000000</f>
        <v>0</v>
      </c>
      <c r="AF118" s="150"/>
      <c r="AG118" s="183"/>
      <c r="AJ118">
        <f>INDEX($AZ$2:$AZ$41,MATCH($S118,$AY$2:$AY$41,0))</f>
        <v>4.7E-2</v>
      </c>
    </row>
    <row r="119" spans="2:36">
      <c r="B119" t="str">
        <f t="shared" si="93"/>
        <v>DE0</v>
      </c>
      <c r="C119">
        <f t="shared" si="94"/>
        <v>2040</v>
      </c>
      <c r="D119" t="str">
        <f t="shared" si="95"/>
        <v>GAS_TOT</v>
      </c>
      <c r="E119" s="155">
        <f t="shared" si="51"/>
        <v>153069664.83605677</v>
      </c>
      <c r="F119" t="s">
        <v>31</v>
      </c>
      <c r="G119" t="str">
        <f t="shared" si="96"/>
        <v>natural_gas</v>
      </c>
      <c r="H119">
        <f t="shared" si="97"/>
        <v>1</v>
      </c>
      <c r="I119">
        <f t="shared" si="98"/>
        <v>6</v>
      </c>
      <c r="J119">
        <f t="shared" si="99"/>
        <v>2</v>
      </c>
      <c r="N119">
        <f t="shared" si="77"/>
        <v>0.01</v>
      </c>
      <c r="O119" s="155">
        <f t="shared" si="52"/>
        <v>154615823.066724</v>
      </c>
      <c r="Q119" s="180" t="s">
        <v>404</v>
      </c>
      <c r="R119" s="150" t="s">
        <v>14</v>
      </c>
      <c r="S119" s="150" t="s">
        <v>95</v>
      </c>
      <c r="T119" s="150"/>
      <c r="U119" s="188"/>
      <c r="V119" s="150"/>
      <c r="W119" s="188">
        <f>INDEX(ALL_CAPACITY!$P$6:$X$84,MATCH($R119&amp;"."&amp;$S119,ALL_CAPACITY!$Z$6:$Z$84,0),MATCH(W$67,ALL_CAPACITY!$P$5:$X$5,0))</f>
        <v>3333</v>
      </c>
      <c r="X119" s="188">
        <f>INDEX(ALL_CAPACITY!$P$6:$X$84,MATCH($R119&amp;"."&amp;$S119,ALL_CAPACITY!$Z$6:$Z$84,0),MATCH(X$67,ALL_CAPACITY!$P$5:$X$5,0))</f>
        <v>3333</v>
      </c>
      <c r="Y119" s="188">
        <f>INDEX(ALL_CAPACITY!$P$6:$X$84,MATCH($R119&amp;"."&amp;$S119,ALL_CAPACITY!$Z$6:$Z$84,0),MATCH(Y$67,ALL_CAPACITY!$P$5:$X$5,0))</f>
        <v>2874.5163073521298</v>
      </c>
      <c r="Z119" s="188">
        <f>INDEX(ALL_CAPACITY!$P$6:$X$84,MATCH($R119&amp;"."&amp;$S119,ALL_CAPACITY!$Z$6:$Z$84,0),MATCH(Z$67,ALL_CAPACITY!$P$5:$X$5,0))</f>
        <v>2166.9430624654501</v>
      </c>
      <c r="AA119" s="188">
        <f>INDEX(ALL_CAPACITY!$P$6:$X$84,MATCH($R119&amp;"."&amp;$S119,ALL_CAPACITY!$Z$6:$Z$84,0),MATCH(AA$67,ALL_CAPACITY!$P$5:$X$5,0))</f>
        <v>1194.0298507462701</v>
      </c>
      <c r="AB119" s="188">
        <f>INDEX(ALL_CAPACITY!$P$6:$X$84,MATCH($R119&amp;"."&amp;$S119,ALL_CAPACITY!$Z$6:$Z$84,0),MATCH(AB$67,ALL_CAPACITY!$P$5:$X$5,0))</f>
        <v>0</v>
      </c>
      <c r="AC119" s="188">
        <f>INDEX(ALL_CAPACITY!$P$6:$X$84,MATCH($R119&amp;"."&amp;$S119,ALL_CAPACITY!$Z$6:$Z$84,0),MATCH(AC$67,ALL_CAPACITY!$P$5:$X$5,0))</f>
        <v>0</v>
      </c>
      <c r="AD119" s="188">
        <f>INDEX(ALL_CAPACITY!$P$6:$X$84,MATCH($R119&amp;"."&amp;$S119,ALL_CAPACITY!$Z$6:$Z$84,0),MATCH(AD$67,ALL_CAPACITY!$P$5:$X$5,0))</f>
        <v>0</v>
      </c>
      <c r="AE119" s="188">
        <f>INDEX(ALL_CAPACITY!$P$6:$X$84,MATCH($R119&amp;"."&amp;$S119,ALL_CAPACITY!$Z$6:$Z$84,0),MATCH(AE$67,ALL_CAPACITY!$P$5:$X$5,0))</f>
        <v>0</v>
      </c>
      <c r="AF119" s="150"/>
      <c r="AG119" s="183"/>
      <c r="AJ119">
        <f>INDEX($AZ$2:$AZ$41,MATCH($S119,$AY$2:$AY$41,0))</f>
        <v>4.7E-2</v>
      </c>
    </row>
    <row r="120" spans="2:36">
      <c r="B120" t="str">
        <f t="shared" si="93"/>
        <v>DE0</v>
      </c>
      <c r="C120">
        <f t="shared" si="94"/>
        <v>2045</v>
      </c>
      <c r="D120" t="str">
        <f t="shared" si="95"/>
        <v>GAS_TOT</v>
      </c>
      <c r="E120" s="155">
        <f t="shared" si="51"/>
        <v>151250117.05345312</v>
      </c>
      <c r="F120" t="s">
        <v>31</v>
      </c>
      <c r="G120" t="str">
        <f t="shared" si="96"/>
        <v>natural_gas</v>
      </c>
      <c r="H120">
        <f t="shared" si="97"/>
        <v>1</v>
      </c>
      <c r="I120">
        <f t="shared" si="98"/>
        <v>7</v>
      </c>
      <c r="J120">
        <f t="shared" si="99"/>
        <v>2</v>
      </c>
      <c r="N120">
        <f t="shared" si="77"/>
        <v>0.01</v>
      </c>
      <c r="O120" s="155">
        <f t="shared" si="52"/>
        <v>152777896.01358899</v>
      </c>
      <c r="Q120" s="180" t="s">
        <v>398</v>
      </c>
      <c r="R120" s="150"/>
      <c r="S120" s="150"/>
      <c r="T120" s="150"/>
      <c r="U120" s="150"/>
      <c r="V120" s="150"/>
      <c r="W120" s="188">
        <f t="shared" ref="W120:AE120" si="104">W118/W119</f>
        <v>6629.1629162916288</v>
      </c>
      <c r="X120" s="188">
        <f t="shared" si="104"/>
        <v>7374.7374737473747</v>
      </c>
      <c r="Y120" s="188">
        <f t="shared" si="104"/>
        <v>7542.1384615384577</v>
      </c>
      <c r="Z120" s="188">
        <f t="shared" si="104"/>
        <v>7374.4438775510216</v>
      </c>
      <c r="AA120" s="188">
        <f t="shared" si="104"/>
        <v>7378.3749999999909</v>
      </c>
      <c r="AB120" s="188" t="e">
        <f t="shared" si="104"/>
        <v>#DIV/0!</v>
      </c>
      <c r="AC120" s="188" t="e">
        <f t="shared" si="104"/>
        <v>#DIV/0!</v>
      </c>
      <c r="AD120" s="188" t="e">
        <f t="shared" si="104"/>
        <v>#DIV/0!</v>
      </c>
      <c r="AE120" s="188" t="e">
        <f t="shared" si="104"/>
        <v>#DIV/0!</v>
      </c>
      <c r="AF120" s="150"/>
      <c r="AG120" s="183"/>
    </row>
    <row r="121" spans="2:36">
      <c r="B121" t="str">
        <f t="shared" si="93"/>
        <v>DE0</v>
      </c>
      <c r="C121">
        <f t="shared" si="94"/>
        <v>2050</v>
      </c>
      <c r="D121" t="str">
        <f t="shared" si="95"/>
        <v>GAS_TOT</v>
      </c>
      <c r="E121" s="155">
        <f t="shared" si="51"/>
        <v>123424489.79558875</v>
      </c>
      <c r="F121" t="s">
        <v>31</v>
      </c>
      <c r="G121" t="str">
        <f t="shared" si="96"/>
        <v>natural_gas</v>
      </c>
      <c r="H121">
        <f t="shared" si="97"/>
        <v>1</v>
      </c>
      <c r="I121">
        <f t="shared" si="98"/>
        <v>8</v>
      </c>
      <c r="J121">
        <f t="shared" si="99"/>
        <v>2</v>
      </c>
      <c r="N121">
        <f t="shared" si="77"/>
        <v>0.01</v>
      </c>
      <c r="O121" s="155">
        <f t="shared" si="52"/>
        <v>124671201.81372601</v>
      </c>
      <c r="Q121" s="185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7"/>
    </row>
    <row r="122" spans="2:36">
      <c r="E122" s="155">
        <f t="shared" si="51"/>
        <v>0</v>
      </c>
      <c r="O122" s="155"/>
    </row>
    <row r="123" spans="2:36" ht="15">
      <c r="E123" s="155">
        <f t="shared" si="51"/>
        <v>0</v>
      </c>
      <c r="O123" s="155"/>
      <c r="Q123" s="194" t="s">
        <v>466</v>
      </c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  <c r="AC123" s="178"/>
      <c r="AD123" s="178"/>
      <c r="AE123" s="178"/>
      <c r="AF123" s="178"/>
      <c r="AG123" s="179"/>
    </row>
    <row r="124" spans="2:36">
      <c r="E124" s="155">
        <f t="shared" si="51"/>
        <v>0</v>
      </c>
      <c r="H124">
        <f>COUNTA(H125:H132)</f>
        <v>4</v>
      </c>
      <c r="I124">
        <f>COUNTA(I125:I132)</f>
        <v>8</v>
      </c>
      <c r="J124">
        <f>COUNTA(J125:J132)</f>
        <v>7</v>
      </c>
      <c r="K124">
        <f>PRODUCT(H124:J124)</f>
        <v>224</v>
      </c>
      <c r="O124" s="155"/>
      <c r="Q124" s="180"/>
      <c r="R124" s="150" t="s">
        <v>15</v>
      </c>
      <c r="S124" s="150" t="s">
        <v>465</v>
      </c>
      <c r="T124" s="150"/>
      <c r="U124" s="150"/>
      <c r="V124" s="150"/>
      <c r="W124" s="189">
        <f>SUM(W125:W126)</f>
        <v>251460776.86700001</v>
      </c>
      <c r="X124" s="188">
        <f t="shared" ref="X124:AE124" si="105">SUMIFS(X$256:X$302,$S$256:$S$302,$R124,$R$256:$R$302,$S124)*1000</f>
        <v>272894901.82842404</v>
      </c>
      <c r="Y124" s="188">
        <f t="shared" si="105"/>
        <v>273819946.52970397</v>
      </c>
      <c r="Z124" s="188">
        <f t="shared" si="105"/>
        <v>267176180.36108702</v>
      </c>
      <c r="AA124" s="188">
        <f t="shared" si="105"/>
        <v>231938848.033593</v>
      </c>
      <c r="AB124" s="188">
        <f t="shared" si="105"/>
        <v>182946660.104431</v>
      </c>
      <c r="AC124" s="188">
        <f t="shared" si="105"/>
        <v>160405561.62764099</v>
      </c>
      <c r="AD124" s="188">
        <f t="shared" si="105"/>
        <v>114515837.92969601</v>
      </c>
      <c r="AE124" s="188">
        <f t="shared" si="105"/>
        <v>136854400.70972601</v>
      </c>
      <c r="AF124" s="150"/>
      <c r="AG124" s="183"/>
      <c r="AH124" t="str">
        <f t="shared" ref="AH124" si="106">R124&amp;"."&amp;S124</f>
        <v>DE0.LIG_HCO</v>
      </c>
      <c r="AJ124">
        <f t="shared" ref="AJ124:AJ126" si="107">INDEX($AZ$2:$AZ$41,MATCH($S124,$AY$2:$AY$41,0))</f>
        <v>8.5000000000000006E-2</v>
      </c>
    </row>
    <row r="125" spans="2:36">
      <c r="E125" s="155">
        <f t="shared" si="51"/>
        <v>0</v>
      </c>
      <c r="H125" t="s">
        <v>15</v>
      </c>
      <c r="I125">
        <v>2015</v>
      </c>
      <c r="J125" t="s">
        <v>75</v>
      </c>
      <c r="K125" t="s">
        <v>25</v>
      </c>
      <c r="O125" s="155"/>
      <c r="Q125" s="180"/>
      <c r="R125" s="150" t="s">
        <v>15</v>
      </c>
      <c r="S125" s="150" t="s">
        <v>91</v>
      </c>
      <c r="T125" s="150"/>
      <c r="U125" s="150"/>
      <c r="V125" s="150"/>
      <c r="W125" s="189">
        <f>SUMIFS($AS$4:$AS$69,$AP$4:$AP$69,$S125,$AR$4:$AR$69,$R125)</f>
        <v>143496528.32800001</v>
      </c>
      <c r="X125" s="197">
        <f>(X124-W124)/W124</f>
        <v>8.523844246596253E-2</v>
      </c>
      <c r="Y125" s="188"/>
      <c r="Z125" s="188"/>
      <c r="AA125" s="188"/>
      <c r="AB125" s="188"/>
      <c r="AC125" s="188"/>
      <c r="AD125" s="188"/>
      <c r="AE125" s="188"/>
      <c r="AF125" s="150"/>
      <c r="AG125" s="183"/>
      <c r="AJ125">
        <f t="shared" si="107"/>
        <v>8.5000000000000006E-2</v>
      </c>
    </row>
    <row r="126" spans="2:36">
      <c r="E126" s="155">
        <f t="shared" si="51"/>
        <v>0</v>
      </c>
      <c r="H126" t="s">
        <v>17</v>
      </c>
      <c r="I126">
        <v>2020</v>
      </c>
      <c r="J126" t="s">
        <v>80</v>
      </c>
      <c r="K126" t="s">
        <v>26</v>
      </c>
      <c r="O126" s="155"/>
      <c r="Q126" s="180"/>
      <c r="R126" s="150" t="s">
        <v>15</v>
      </c>
      <c r="S126" s="150" t="s">
        <v>70</v>
      </c>
      <c r="T126" s="150"/>
      <c r="U126" s="188"/>
      <c r="V126" s="150"/>
      <c r="W126" s="189">
        <f>SUMIFS($AS$4:$AS$69,$AP$4:$AP$69,$S126,$AR$4:$AR$69,$R126)</f>
        <v>107964248.539</v>
      </c>
      <c r="X126" s="188"/>
      <c r="Y126" s="188"/>
      <c r="Z126" s="188"/>
      <c r="AA126" s="188"/>
      <c r="AB126" s="188"/>
      <c r="AC126" s="188"/>
      <c r="AD126" s="188"/>
      <c r="AE126" s="188"/>
      <c r="AF126" s="150"/>
      <c r="AG126" s="183"/>
      <c r="AJ126">
        <f t="shared" si="107"/>
        <v>8.5000000000000006E-2</v>
      </c>
    </row>
    <row r="127" spans="2:36">
      <c r="E127" s="155">
        <f t="shared" si="51"/>
        <v>0</v>
      </c>
      <c r="H127" t="s">
        <v>12</v>
      </c>
      <c r="I127">
        <v>2025</v>
      </c>
      <c r="J127" t="s">
        <v>110</v>
      </c>
      <c r="K127" t="s">
        <v>24</v>
      </c>
      <c r="O127" s="155"/>
      <c r="Q127" s="185"/>
      <c r="R127" s="186"/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7"/>
    </row>
    <row r="128" spans="2:36">
      <c r="E128" s="155">
        <f t="shared" si="51"/>
        <v>0</v>
      </c>
      <c r="H128" t="s">
        <v>16</v>
      </c>
      <c r="I128">
        <v>2030</v>
      </c>
      <c r="J128" t="s">
        <v>55</v>
      </c>
      <c r="K128" t="s">
        <v>11</v>
      </c>
      <c r="O128" s="155"/>
    </row>
    <row r="129" spans="2:36">
      <c r="E129" s="155">
        <f t="shared" si="51"/>
        <v>0</v>
      </c>
      <c r="I129">
        <v>2035</v>
      </c>
      <c r="J129" t="s">
        <v>146</v>
      </c>
      <c r="K129" t="s">
        <v>445</v>
      </c>
      <c r="O129" s="155"/>
    </row>
    <row r="130" spans="2:36" ht="15">
      <c r="E130" s="155">
        <f t="shared" si="51"/>
        <v>0</v>
      </c>
      <c r="I130">
        <v>2040</v>
      </c>
      <c r="J130" t="s">
        <v>105</v>
      </c>
      <c r="K130" t="s">
        <v>131</v>
      </c>
      <c r="O130" s="155"/>
      <c r="Q130" s="194" t="s">
        <v>464</v>
      </c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  <c r="AB130" s="178"/>
      <c r="AC130" s="178"/>
      <c r="AD130" s="178"/>
      <c r="AE130" s="178"/>
      <c r="AF130" s="178"/>
      <c r="AG130" s="179"/>
    </row>
    <row r="131" spans="2:36">
      <c r="E131" s="155">
        <f t="shared" si="51"/>
        <v>0</v>
      </c>
      <c r="I131">
        <v>2045</v>
      </c>
      <c r="J131" t="s">
        <v>100</v>
      </c>
      <c r="K131" t="s">
        <v>20</v>
      </c>
      <c r="O131" s="155"/>
      <c r="Q131" s="180"/>
      <c r="R131" s="150" t="s">
        <v>15</v>
      </c>
      <c r="S131" s="150" t="s">
        <v>70</v>
      </c>
      <c r="T131" s="150"/>
      <c r="U131" s="150"/>
      <c r="V131" s="150"/>
      <c r="W131" s="189">
        <f>SUMIFS($AS$4:$AS$69,$AP$4:$AP$69,$S131,$AR$4:$AR$69,$R131)</f>
        <v>107964248.539</v>
      </c>
      <c r="X131" s="188">
        <f t="shared" ref="X131:AE131" si="108">SUMIFS(X$256:X$302,$S$256:$S$302,$R131,$R$256:$R$302,$S131)*1000</f>
        <v>0</v>
      </c>
      <c r="Y131" s="188">
        <f t="shared" si="108"/>
        <v>0</v>
      </c>
      <c r="Z131" s="188">
        <f t="shared" si="108"/>
        <v>0</v>
      </c>
      <c r="AA131" s="188">
        <f t="shared" si="108"/>
        <v>0</v>
      </c>
      <c r="AB131" s="188">
        <f t="shared" si="108"/>
        <v>0</v>
      </c>
      <c r="AC131" s="188">
        <f t="shared" si="108"/>
        <v>0</v>
      </c>
      <c r="AD131" s="188">
        <f t="shared" si="108"/>
        <v>0</v>
      </c>
      <c r="AE131" s="188">
        <f t="shared" si="108"/>
        <v>0</v>
      </c>
      <c r="AF131" s="150"/>
      <c r="AG131" s="183"/>
      <c r="AJ131">
        <f>INDEX($AZ$2:$AZ$41,MATCH($S131,$AY$2:$AY$41,0))</f>
        <v>8.5000000000000006E-2</v>
      </c>
    </row>
    <row r="132" spans="2:36">
      <c r="E132" s="155">
        <f t="shared" si="51"/>
        <v>0</v>
      </c>
      <c r="I132">
        <v>2050</v>
      </c>
      <c r="O132" s="155"/>
      <c r="Q132" s="180" t="s">
        <v>404</v>
      </c>
      <c r="R132" s="150" t="s">
        <v>15</v>
      </c>
      <c r="S132" s="150" t="s">
        <v>70</v>
      </c>
      <c r="T132" s="150"/>
      <c r="U132" s="150"/>
      <c r="V132" s="150"/>
      <c r="W132" s="188">
        <f>INDEX(ALL_CAPACITY!$P$6:$X$84,MATCH($R132&amp;"."&amp;$S132,ALL_CAPACITY!$Z$6:$Z$84,0),MATCH(W$67,ALL_CAPACITY!$P$5:$X$5,0))</f>
        <v>24612.6</v>
      </c>
      <c r="X132" s="188">
        <f>INDEX(ALL_CAPACITY!$P$6:$X$84,MATCH($R132&amp;"."&amp;$S132,ALL_CAPACITY!$Z$6:$Z$84,0),MATCH(X$67,ALL_CAPACITY!$P$5:$X$5,0))</f>
        <v>24612.6</v>
      </c>
      <c r="Y132" s="188">
        <f>INDEX(ALL_CAPACITY!$P$6:$X$84,MATCH($R132&amp;"."&amp;$S132,ALL_CAPACITY!$Z$6:$Z$84,0),MATCH(Y$67,ALL_CAPACITY!$P$5:$X$5,0))</f>
        <v>23397.811875606982</v>
      </c>
      <c r="Z132" s="188">
        <f>INDEX(ALL_CAPACITY!$P$6:$X$84,MATCH($R132&amp;"."&amp;$S132,ALL_CAPACITY!$Z$6:$Z$84,0),MATCH(Z$67,ALL_CAPACITY!$P$5:$X$5,0))</f>
        <v>21563.676952016125</v>
      </c>
      <c r="AA132" s="188">
        <f>INDEX(ALL_CAPACITY!$P$6:$X$84,MATCH($R132&amp;"."&amp;$S132,ALL_CAPACITY!$Z$6:$Z$84,0),MATCH(AA$67,ALL_CAPACITY!$P$5:$X$5,0))</f>
        <v>18742.41659256093</v>
      </c>
      <c r="AB132" s="188">
        <f>INDEX(ALL_CAPACITY!$P$6:$X$84,MATCH($R132&amp;"."&amp;$S132,ALL_CAPACITY!$Z$6:$Z$84,0),MATCH(AB$67,ALL_CAPACITY!$P$5:$X$5,0))</f>
        <v>12593.859233645098</v>
      </c>
      <c r="AC132" s="188">
        <f>INDEX(ALL_CAPACITY!$P$6:$X$84,MATCH($R132&amp;"."&amp;$S132,ALL_CAPACITY!$Z$6:$Z$84,0),MATCH(AC$67,ALL_CAPACITY!$P$5:$X$5,0))</f>
        <v>11362.487577206884</v>
      </c>
      <c r="AD132" s="188">
        <f>INDEX(ALL_CAPACITY!$P$6:$X$84,MATCH($R132&amp;"."&amp;$S132,ALL_CAPACITY!$Z$6:$Z$84,0),MATCH(AD$67,ALL_CAPACITY!$P$5:$X$5,0))</f>
        <v>10210.232972481657</v>
      </c>
      <c r="AE132" s="188">
        <f>INDEX(ALL_CAPACITY!$P$6:$X$84,MATCH($R132&amp;"."&amp;$S132,ALL_CAPACITY!$Z$6:$Z$84,0),MATCH(AE$67,ALL_CAPACITY!$P$5:$X$5,0))</f>
        <v>10210.232972481657</v>
      </c>
      <c r="AF132" s="150"/>
      <c r="AG132" s="183"/>
      <c r="AJ132">
        <f>INDEX($AZ$2:$AZ$41,MATCH($S132,$AY$2:$AY$41,0))</f>
        <v>8.5000000000000006E-2</v>
      </c>
    </row>
    <row r="133" spans="2:36">
      <c r="E133" s="155">
        <f t="shared" si="51"/>
        <v>0</v>
      </c>
      <c r="O133" s="155"/>
      <c r="Q133" s="180" t="s">
        <v>398</v>
      </c>
      <c r="R133" s="150"/>
      <c r="S133" s="150"/>
      <c r="T133" s="150"/>
      <c r="U133" s="150"/>
      <c r="V133" s="150"/>
      <c r="W133" s="188">
        <f>W131/W132</f>
        <v>4386.543824667041</v>
      </c>
      <c r="X133" s="188">
        <f t="shared" ref="X133:AE133" si="109">X131/X132</f>
        <v>0</v>
      </c>
      <c r="Y133" s="188">
        <f t="shared" si="109"/>
        <v>0</v>
      </c>
      <c r="Z133" s="188">
        <f t="shared" si="109"/>
        <v>0</v>
      </c>
      <c r="AA133" s="188">
        <f t="shared" si="109"/>
        <v>0</v>
      </c>
      <c r="AB133" s="188">
        <f t="shared" si="109"/>
        <v>0</v>
      </c>
      <c r="AC133" s="188">
        <f t="shared" si="109"/>
        <v>0</v>
      </c>
      <c r="AD133" s="188">
        <f t="shared" si="109"/>
        <v>0</v>
      </c>
      <c r="AE133" s="188">
        <f t="shared" si="109"/>
        <v>0</v>
      </c>
      <c r="AF133" s="150"/>
      <c r="AG133" s="183"/>
    </row>
    <row r="134" spans="2:36">
      <c r="B134" t="str">
        <f t="shared" ref="B134:B165" si="110">INDEX(H$125:H$132,H134)</f>
        <v>DE0</v>
      </c>
      <c r="C134">
        <f t="shared" ref="C134:C165" si="111">INDEX(I$125:I$132,I134)</f>
        <v>2015</v>
      </c>
      <c r="D134" t="str">
        <f t="shared" ref="D134:D165" si="112">INDEX(J$125:J$132,J134)</f>
        <v>HYD_RES</v>
      </c>
      <c r="E134" s="155">
        <f t="shared" si="51"/>
        <v>3671569.7736617443</v>
      </c>
      <c r="F134" t="s">
        <v>31</v>
      </c>
      <c r="G134" t="str">
        <f t="shared" ref="G134:G165" si="113">INDEX(K$125:K$132,J134)</f>
        <v>reservoir</v>
      </c>
      <c r="H134">
        <v>1</v>
      </c>
      <c r="I134">
        <v>1</v>
      </c>
      <c r="J134">
        <v>1</v>
      </c>
      <c r="N134">
        <f t="shared" ref="N134:N175" si="114">INDEX($AJ$21:$AJ$249,MATCH(B134&amp;"."&amp;D134,$AH$21:$AH$249,0))</f>
        <v>0.01</v>
      </c>
      <c r="O134" s="155">
        <f t="shared" si="52"/>
        <v>3708656.3370320648</v>
      </c>
      <c r="Q134" s="180"/>
      <c r="R134" s="150"/>
      <c r="S134" s="150"/>
      <c r="T134" s="150"/>
      <c r="U134" s="150"/>
      <c r="V134" s="150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50"/>
      <c r="AG134" s="183"/>
    </row>
    <row r="135" spans="2:36">
      <c r="B135" t="str">
        <f t="shared" si="110"/>
        <v>IT0</v>
      </c>
      <c r="C135">
        <f t="shared" si="111"/>
        <v>2015</v>
      </c>
      <c r="D135" t="str">
        <f t="shared" si="112"/>
        <v>HYD_RES</v>
      </c>
      <c r="E135" s="155">
        <f t="shared" si="51"/>
        <v>26833571.115082383</v>
      </c>
      <c r="F135" t="s">
        <v>31</v>
      </c>
      <c r="G135" t="str">
        <f t="shared" si="113"/>
        <v>reservoir</v>
      </c>
      <c r="H135">
        <f t="shared" ref="H135:H166" si="115">IF(H134=$H$124,1,H134+1)</f>
        <v>2</v>
      </c>
      <c r="I135">
        <f t="shared" ref="I135:I166" si="116">IF(H135=1,IF(I134=$I$124,1,I134+1),I134)</f>
        <v>1</v>
      </c>
      <c r="J135">
        <f t="shared" ref="J135:J166" si="117">IF(AND(I135=1,I134&gt;1),IF(J134=$J$124,1,J134+1),J134)</f>
        <v>1</v>
      </c>
      <c r="N135">
        <f t="shared" si="114"/>
        <v>0.01</v>
      </c>
      <c r="O135" s="155">
        <f t="shared" si="52"/>
        <v>27104617.287962005</v>
      </c>
      <c r="Q135" s="180"/>
      <c r="R135" s="150" t="s">
        <v>17</v>
      </c>
      <c r="S135" s="150" t="s">
        <v>70</v>
      </c>
      <c r="T135" s="150" t="s">
        <v>465</v>
      </c>
      <c r="U135" s="150"/>
      <c r="V135" s="150"/>
      <c r="W135" s="189">
        <f>SUMIFS($AS$4:$AS$69,$AP$4:$AP$69,$S135,$AR$4:$AR$69,$R135)</f>
        <v>39315500</v>
      </c>
      <c r="X135" s="188">
        <f t="shared" ref="X135:AE135" si="118">SUMIFS(X$256:X$302,$S$256:$S$302,$R135,$R$256:$R$302,$T135)*1000</f>
        <v>58855803.237411305</v>
      </c>
      <c r="Y135" s="188">
        <f t="shared" si="118"/>
        <v>67162826.428955108</v>
      </c>
      <c r="Z135" s="188">
        <f t="shared" si="118"/>
        <v>45093273.648298703</v>
      </c>
      <c r="AA135" s="188">
        <f t="shared" si="118"/>
        <v>44667653.047721602</v>
      </c>
      <c r="AB135" s="188">
        <f t="shared" si="118"/>
        <v>38750780.303287901</v>
      </c>
      <c r="AC135" s="188">
        <f t="shared" si="118"/>
        <v>9867461.4237767886</v>
      </c>
      <c r="AD135" s="188">
        <f t="shared" si="118"/>
        <v>9203754.2295982204</v>
      </c>
      <c r="AE135" s="188">
        <f t="shared" si="118"/>
        <v>0</v>
      </c>
      <c r="AF135" s="150"/>
      <c r="AG135" s="183"/>
      <c r="AH135" t="str">
        <f t="shared" ref="AH135" si="119">R135&amp;"."&amp;S135</f>
        <v>IT0.HCO_LIN</v>
      </c>
      <c r="AJ135">
        <f>INDEX($AZ$2:$AZ$41,MATCH($S135,$AY$2:$AY$41,0))</f>
        <v>8.5000000000000006E-2</v>
      </c>
    </row>
    <row r="136" spans="2:36">
      <c r="B136" t="str">
        <f t="shared" si="110"/>
        <v>AT0</v>
      </c>
      <c r="C136">
        <f t="shared" si="111"/>
        <v>2015</v>
      </c>
      <c r="D136" t="str">
        <f t="shared" si="112"/>
        <v>HYD_RES</v>
      </c>
      <c r="E136" s="155">
        <f t="shared" si="51"/>
        <v>15118028.956862194</v>
      </c>
      <c r="F136" t="s">
        <v>31</v>
      </c>
      <c r="G136" t="str">
        <f t="shared" si="113"/>
        <v>reservoir</v>
      </c>
      <c r="H136">
        <f t="shared" si="115"/>
        <v>3</v>
      </c>
      <c r="I136">
        <f t="shared" si="116"/>
        <v>1</v>
      </c>
      <c r="J136">
        <f t="shared" si="117"/>
        <v>1</v>
      </c>
      <c r="N136">
        <f t="shared" si="114"/>
        <v>0.01</v>
      </c>
      <c r="O136" s="155">
        <f t="shared" si="52"/>
        <v>15270736.320062824</v>
      </c>
      <c r="Q136" s="180" t="s">
        <v>404</v>
      </c>
      <c r="R136" s="150" t="s">
        <v>17</v>
      </c>
      <c r="S136" s="150" t="s">
        <v>70</v>
      </c>
      <c r="T136" s="150"/>
      <c r="U136" s="150"/>
      <c r="V136" s="150"/>
      <c r="W136" s="188">
        <f>INDEX(ALL_CAPACITY!$P$6:$X$84,MATCH($R136&amp;"."&amp;$S136,ALL_CAPACITY!$Z$6:$Z$84,0),MATCH(W$67,ALL_CAPACITY!$P$5:$X$5,0))</f>
        <v>8700.2000000000007</v>
      </c>
      <c r="X136" s="188">
        <f>INDEX(ALL_CAPACITY!$P$6:$X$84,MATCH($R136&amp;"."&amp;$S136,ALL_CAPACITY!$Z$6:$Z$84,0),MATCH(X$67,ALL_CAPACITY!$P$5:$X$5,0))</f>
        <v>9511.49</v>
      </c>
      <c r="Y136" s="188">
        <f>INDEX(ALL_CAPACITY!$P$6:$X$84,MATCH($R136&amp;"."&amp;$S136,ALL_CAPACITY!$Z$6:$Z$84,0),MATCH(Y$67,ALL_CAPACITY!$P$5:$X$5,0))</f>
        <v>8858.0188836439702</v>
      </c>
      <c r="Z136" s="188">
        <f>INDEX(ALL_CAPACITY!$P$6:$X$84,MATCH($R136&amp;"."&amp;$S136,ALL_CAPACITY!$Z$6:$Z$84,0),MATCH(Z$67,ALL_CAPACITY!$P$5:$X$5,0))</f>
        <v>5103.4988836439697</v>
      </c>
      <c r="AA136" s="188">
        <f>INDEX(ALL_CAPACITY!$P$6:$X$84,MATCH($R136&amp;"."&amp;$S136,ALL_CAPACITY!$Z$6:$Z$84,0),MATCH(AA$67,ALL_CAPACITY!$P$5:$X$5,0))</f>
        <v>5098.3688836439696</v>
      </c>
      <c r="AB136" s="188">
        <f>INDEX(ALL_CAPACITY!$P$6:$X$84,MATCH($R136&amp;"."&amp;$S136,ALL_CAPACITY!$Z$6:$Z$84,0),MATCH(AB$67,ALL_CAPACITY!$P$5:$X$5,0))</f>
        <v>4803.0488836439699</v>
      </c>
      <c r="AC136" s="188">
        <f>INDEX(ALL_CAPACITY!$P$6:$X$84,MATCH($R136&amp;"."&amp;$S136,ALL_CAPACITY!$Z$6:$Z$84,0),MATCH(AC$67,ALL_CAPACITY!$P$5:$X$5,0))</f>
        <v>2226.1288836439699</v>
      </c>
      <c r="AD136" s="188">
        <f>INDEX(ALL_CAPACITY!$P$6:$X$84,MATCH($R136&amp;"."&amp;$S136,ALL_CAPACITY!$Z$6:$Z$84,0),MATCH(AD$67,ALL_CAPACITY!$P$5:$X$5,0))</f>
        <v>2214.1688836439698</v>
      </c>
      <c r="AE136" s="188">
        <f>INDEX(ALL_CAPACITY!$P$6:$X$84,MATCH($R136&amp;"."&amp;$S136,ALL_CAPACITY!$Z$6:$Z$84,0),MATCH(AE$67,ALL_CAPACITY!$P$5:$X$5,0))</f>
        <v>1901.3688836439701</v>
      </c>
      <c r="AF136" s="150"/>
      <c r="AG136" s="183"/>
      <c r="AJ136">
        <f>INDEX($AZ$2:$AZ$41,MATCH($S136,$AY$2:$AY$41,0))</f>
        <v>8.5000000000000006E-2</v>
      </c>
    </row>
    <row r="137" spans="2:36">
      <c r="B137" t="str">
        <f t="shared" si="110"/>
        <v>FR0</v>
      </c>
      <c r="C137">
        <f t="shared" si="111"/>
        <v>2015</v>
      </c>
      <c r="D137" t="str">
        <f t="shared" si="112"/>
        <v>HYD_RES</v>
      </c>
      <c r="E137" s="155">
        <f t="shared" si="51"/>
        <v>20884210.351880398</v>
      </c>
      <c r="F137" t="s">
        <v>31</v>
      </c>
      <c r="G137" t="str">
        <f t="shared" si="113"/>
        <v>reservoir</v>
      </c>
      <c r="H137">
        <f t="shared" si="115"/>
        <v>4</v>
      </c>
      <c r="I137">
        <f t="shared" si="116"/>
        <v>1</v>
      </c>
      <c r="J137">
        <f t="shared" si="117"/>
        <v>1</v>
      </c>
      <c r="N137">
        <f t="shared" si="114"/>
        <v>0.01</v>
      </c>
      <c r="O137" s="155">
        <f t="shared" si="52"/>
        <v>21095161.97159636</v>
      </c>
      <c r="Q137" s="180" t="s">
        <v>398</v>
      </c>
      <c r="R137" s="150"/>
      <c r="S137" s="150"/>
      <c r="T137" s="150"/>
      <c r="U137" s="150"/>
      <c r="V137" s="150"/>
      <c r="W137" s="188">
        <f>W135/W136</f>
        <v>4518.9191053079239</v>
      </c>
      <c r="X137" s="188">
        <f t="shared" ref="X137" si="120">X135/X136</f>
        <v>6187.8636509538783</v>
      </c>
      <c r="Y137" s="188">
        <f t="shared" ref="Y137" si="121">Y135/Y136</f>
        <v>7582.1498363442161</v>
      </c>
      <c r="Z137" s="188">
        <f t="shared" ref="Z137" si="122">Z135/Z136</f>
        <v>8835.7565420101491</v>
      </c>
      <c r="AA137" s="188">
        <f t="shared" ref="AA137" si="123">AA135/AA136</f>
        <v>8761.1653976273647</v>
      </c>
      <c r="AB137" s="188">
        <f t="shared" ref="AB137" si="124">AB135/AB136</f>
        <v>8067.9545934349344</v>
      </c>
      <c r="AC137" s="188">
        <f t="shared" ref="AC137" si="125">AC135/AC136</f>
        <v>4432.5652015370533</v>
      </c>
      <c r="AD137" s="188">
        <f t="shared" ref="AD137" si="126">AD135/AD136</f>
        <v>4156.7534877697026</v>
      </c>
      <c r="AE137" s="188">
        <f t="shared" ref="AE137" si="127">AE135/AE136</f>
        <v>0</v>
      </c>
      <c r="AF137" s="150"/>
      <c r="AG137" s="183"/>
    </row>
    <row r="138" spans="2:36">
      <c r="B138" t="str">
        <f t="shared" si="110"/>
        <v>DE0</v>
      </c>
      <c r="C138">
        <f t="shared" si="111"/>
        <v>2020</v>
      </c>
      <c r="D138" t="str">
        <f t="shared" si="112"/>
        <v>HYD_RES</v>
      </c>
      <c r="E138" s="155">
        <f t="shared" si="51"/>
        <v>3789155.3649636577</v>
      </c>
      <c r="F138" t="s">
        <v>31</v>
      </c>
      <c r="G138" t="str">
        <f t="shared" si="113"/>
        <v>reservoir</v>
      </c>
      <c r="H138">
        <f t="shared" si="115"/>
        <v>1</v>
      </c>
      <c r="I138">
        <f t="shared" si="116"/>
        <v>2</v>
      </c>
      <c r="J138">
        <f t="shared" si="117"/>
        <v>1</v>
      </c>
      <c r="N138">
        <f t="shared" si="114"/>
        <v>0.01</v>
      </c>
      <c r="O138" s="155">
        <f t="shared" si="52"/>
        <v>3827429.6615794525</v>
      </c>
      <c r="Q138" s="180"/>
      <c r="R138" s="150"/>
      <c r="S138" s="150"/>
      <c r="T138" s="150"/>
      <c r="U138" s="150"/>
      <c r="V138" s="150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50"/>
      <c r="AG138" s="183"/>
    </row>
    <row r="139" spans="2:36">
      <c r="B139" t="str">
        <f t="shared" si="110"/>
        <v>IT0</v>
      </c>
      <c r="C139">
        <f t="shared" si="111"/>
        <v>2020</v>
      </c>
      <c r="D139" t="str">
        <f t="shared" si="112"/>
        <v>HYD_RES</v>
      </c>
      <c r="E139" s="155">
        <f t="shared" si="51"/>
        <v>25931932.689667899</v>
      </c>
      <c r="F139" t="s">
        <v>31</v>
      </c>
      <c r="G139" t="str">
        <f t="shared" si="113"/>
        <v>reservoir</v>
      </c>
      <c r="H139">
        <f t="shared" si="115"/>
        <v>2</v>
      </c>
      <c r="I139">
        <f t="shared" si="116"/>
        <v>2</v>
      </c>
      <c r="J139">
        <f t="shared" si="117"/>
        <v>1</v>
      </c>
      <c r="N139">
        <f t="shared" si="114"/>
        <v>0.01</v>
      </c>
      <c r="O139" s="155">
        <f t="shared" si="52"/>
        <v>26193871.403704949</v>
      </c>
      <c r="Q139" s="180"/>
      <c r="R139" s="150" t="s">
        <v>16</v>
      </c>
      <c r="S139" s="150" t="s">
        <v>70</v>
      </c>
      <c r="T139" s="150" t="s">
        <v>465</v>
      </c>
      <c r="U139" s="150"/>
      <c r="V139" s="150"/>
      <c r="W139" s="189">
        <f>SUMIFS($AS$4:$AS$69,$AP$4:$AP$69,$S139,$AR$4:$AR$69,$R139)</f>
        <v>8600000</v>
      </c>
      <c r="X139" s="188">
        <f t="shared" ref="X139:AE139" si="128">SUMIFS(X$256:X$302,$S$256:$S$302,$R139,$R$256:$R$302,$T139)*1000</f>
        <v>8820373.8605892994</v>
      </c>
      <c r="Y139" s="188">
        <f t="shared" si="128"/>
        <v>9108914.7449581306</v>
      </c>
      <c r="Z139" s="188">
        <f t="shared" si="128"/>
        <v>361311.971961289</v>
      </c>
      <c r="AA139" s="188">
        <f t="shared" si="128"/>
        <v>68630.942373561003</v>
      </c>
      <c r="AB139" s="188">
        <f t="shared" si="128"/>
        <v>0</v>
      </c>
      <c r="AC139" s="188">
        <f t="shared" si="128"/>
        <v>0</v>
      </c>
      <c r="AD139" s="188">
        <f t="shared" si="128"/>
        <v>0</v>
      </c>
      <c r="AE139" s="188">
        <f t="shared" si="128"/>
        <v>0</v>
      </c>
      <c r="AF139" s="150"/>
      <c r="AG139" s="183"/>
      <c r="AH139" t="str">
        <f t="shared" ref="AH139" si="129">R139&amp;"."&amp;S139</f>
        <v>FR0.HCO_LIN</v>
      </c>
      <c r="AJ139">
        <f>INDEX($AZ$2:$AZ$41,MATCH($S139,$AY$2:$AY$41,0))</f>
        <v>8.5000000000000006E-2</v>
      </c>
    </row>
    <row r="140" spans="2:36">
      <c r="B140" t="str">
        <f t="shared" si="110"/>
        <v>AT0</v>
      </c>
      <c r="C140">
        <f t="shared" si="111"/>
        <v>2020</v>
      </c>
      <c r="D140" t="str">
        <f t="shared" si="112"/>
        <v>HYD_RES</v>
      </c>
      <c r="E140" s="155">
        <f t="shared" ref="E140:E203" si="130">O140*(1-N140)</f>
        <v>16135879.341940753</v>
      </c>
      <c r="F140" t="s">
        <v>31</v>
      </c>
      <c r="G140" t="str">
        <f t="shared" si="113"/>
        <v>reservoir</v>
      </c>
      <c r="H140">
        <f t="shared" si="115"/>
        <v>3</v>
      </c>
      <c r="I140">
        <f t="shared" si="116"/>
        <v>2</v>
      </c>
      <c r="J140">
        <f t="shared" si="117"/>
        <v>1</v>
      </c>
      <c r="N140">
        <f t="shared" si="114"/>
        <v>0.01</v>
      </c>
      <c r="O140" s="155">
        <f t="shared" ref="O140:O203" si="131">INDEX($W$21:$AE$249,MATCH(B140&amp;"."&amp;D140,$AH$21:$AH$249,0),MATCH(C140,$W$20:$AE$20,0))</f>
        <v>16298868.022162378</v>
      </c>
      <c r="Q140" s="180" t="s">
        <v>404</v>
      </c>
      <c r="R140" s="150" t="s">
        <v>16</v>
      </c>
      <c r="S140" s="150" t="s">
        <v>70</v>
      </c>
      <c r="T140" s="150"/>
      <c r="U140" s="150"/>
      <c r="V140" s="150"/>
      <c r="W140" s="188">
        <f>INDEX(ALL_CAPACITY!$P$6:$X$84,MATCH($R140&amp;"."&amp;$S140,ALL_CAPACITY!$Z$6:$Z$84,0),MATCH(W$67,ALL_CAPACITY!$P$5:$X$5,0))</f>
        <v>3007</v>
      </c>
      <c r="X140" s="188">
        <f>INDEX(ALL_CAPACITY!$P$6:$X$84,MATCH($R140&amp;"."&amp;$S140,ALL_CAPACITY!$Z$6:$Z$84,0),MATCH(X$67,ALL_CAPACITY!$P$5:$X$5,0))</f>
        <v>5384.8374999999996</v>
      </c>
      <c r="Y140" s="188">
        <f>INDEX(ALL_CAPACITY!$P$6:$X$84,MATCH($R140&amp;"."&amp;$S140,ALL_CAPACITY!$Z$6:$Z$84,0),MATCH(Y$67,ALL_CAPACITY!$P$5:$X$5,0))</f>
        <v>3855.5255000000002</v>
      </c>
      <c r="Z140" s="188">
        <f>INDEX(ALL_CAPACITY!$P$6:$X$84,MATCH($R140&amp;"."&amp;$S140,ALL_CAPACITY!$Z$6:$Z$84,0),MATCH(Z$67,ALL_CAPACITY!$P$5:$X$5,0))</f>
        <v>3833.5329999999999</v>
      </c>
      <c r="AA140" s="188">
        <f>INDEX(ALL_CAPACITY!$P$6:$X$84,MATCH($R140&amp;"."&amp;$S140,ALL_CAPACITY!$Z$6:$Z$84,0),MATCH(AA$67,ALL_CAPACITY!$P$5:$X$5,0))</f>
        <v>3779.5729999999999</v>
      </c>
      <c r="AB140" s="188">
        <f>INDEX(ALL_CAPACITY!$P$6:$X$84,MATCH($R140&amp;"."&amp;$S140,ALL_CAPACITY!$Z$6:$Z$84,0),MATCH(AB$67,ALL_CAPACITY!$P$5:$X$5,0))</f>
        <v>3479.9</v>
      </c>
      <c r="AC140" s="188">
        <f>INDEX(ALL_CAPACITY!$P$6:$X$84,MATCH($R140&amp;"."&amp;$S140,ALL_CAPACITY!$Z$6:$Z$84,0),MATCH(AC$67,ALL_CAPACITY!$P$5:$X$5,0))</f>
        <v>2891.56</v>
      </c>
      <c r="AD140" s="188">
        <f>INDEX(ALL_CAPACITY!$P$6:$X$84,MATCH($R140&amp;"."&amp;$S140,ALL_CAPACITY!$Z$6:$Z$84,0),MATCH(AD$67,ALL_CAPACITY!$P$5:$X$5,0))</f>
        <v>2891.56</v>
      </c>
      <c r="AE140" s="188">
        <f>INDEX(ALL_CAPACITY!$P$6:$X$84,MATCH($R140&amp;"."&amp;$S140,ALL_CAPACITY!$Z$6:$Z$84,0),MATCH(AE$67,ALL_CAPACITY!$P$5:$X$5,0))</f>
        <v>2891.56</v>
      </c>
      <c r="AF140" s="150"/>
      <c r="AG140" s="183"/>
      <c r="AJ140">
        <f>INDEX($AZ$2:$AZ$41,MATCH($S140,$AY$2:$AY$41,0))</f>
        <v>8.5000000000000006E-2</v>
      </c>
    </row>
    <row r="141" spans="2:36">
      <c r="B141" t="str">
        <f t="shared" si="110"/>
        <v>FR0</v>
      </c>
      <c r="C141">
        <f t="shared" si="111"/>
        <v>2020</v>
      </c>
      <c r="D141" t="str">
        <f t="shared" si="112"/>
        <v>HYD_RES</v>
      </c>
      <c r="E141" s="155">
        <f t="shared" si="130"/>
        <v>24078570.13935091</v>
      </c>
      <c r="F141" t="s">
        <v>31</v>
      </c>
      <c r="G141" t="str">
        <f t="shared" si="113"/>
        <v>reservoir</v>
      </c>
      <c r="H141">
        <f t="shared" si="115"/>
        <v>4</v>
      </c>
      <c r="I141">
        <f t="shared" si="116"/>
        <v>2</v>
      </c>
      <c r="J141">
        <f t="shared" si="117"/>
        <v>1</v>
      </c>
      <c r="N141">
        <f t="shared" si="114"/>
        <v>0.01</v>
      </c>
      <c r="O141" s="155">
        <f t="shared" si="131"/>
        <v>24321788.019546375</v>
      </c>
      <c r="Q141" s="180" t="s">
        <v>398</v>
      </c>
      <c r="R141" s="150"/>
      <c r="S141" s="150"/>
      <c r="T141" s="150"/>
      <c r="U141" s="150"/>
      <c r="V141" s="150"/>
      <c r="W141" s="188">
        <f>W139/W140</f>
        <v>2859.9933488526772</v>
      </c>
      <c r="X141" s="188">
        <f t="shared" ref="X141" si="132">X139/X140</f>
        <v>1638.0018636754219</v>
      </c>
      <c r="Y141" s="188">
        <f t="shared" ref="Y141" si="133">Y139/Y140</f>
        <v>2362.5611463231485</v>
      </c>
      <c r="Z141" s="188">
        <f t="shared" ref="Z141" si="134">Z139/Z140</f>
        <v>94.25038781752734</v>
      </c>
      <c r="AA141" s="188">
        <f t="shared" ref="AA141" si="135">AA139/AA140</f>
        <v>18.158385186252787</v>
      </c>
      <c r="AB141" s="188">
        <f t="shared" ref="AB141" si="136">AB139/AB140</f>
        <v>0</v>
      </c>
      <c r="AC141" s="188">
        <f t="shared" ref="AC141" si="137">AC139/AC140</f>
        <v>0</v>
      </c>
      <c r="AD141" s="188">
        <f t="shared" ref="AD141" si="138">AD139/AD140</f>
        <v>0</v>
      </c>
      <c r="AE141" s="188">
        <f t="shared" ref="AE141" si="139">AE139/AE140</f>
        <v>0</v>
      </c>
      <c r="AF141" s="150"/>
      <c r="AG141" s="183"/>
    </row>
    <row r="142" spans="2:36">
      <c r="B142" t="str">
        <f t="shared" si="110"/>
        <v>DE0</v>
      </c>
      <c r="C142">
        <f t="shared" si="111"/>
        <v>2025</v>
      </c>
      <c r="D142" t="str">
        <f t="shared" si="112"/>
        <v>HYD_RES</v>
      </c>
      <c r="E142" s="155">
        <f t="shared" si="130"/>
        <v>3935407.2246711603</v>
      </c>
      <c r="F142" t="s">
        <v>31</v>
      </c>
      <c r="G142" t="str">
        <f t="shared" si="113"/>
        <v>reservoir</v>
      </c>
      <c r="H142">
        <f t="shared" si="115"/>
        <v>1</v>
      </c>
      <c r="I142">
        <f t="shared" si="116"/>
        <v>3</v>
      </c>
      <c r="J142">
        <f t="shared" si="117"/>
        <v>1</v>
      </c>
      <c r="N142">
        <f t="shared" si="114"/>
        <v>0.01</v>
      </c>
      <c r="O142" s="155">
        <f t="shared" si="131"/>
        <v>3975158.812799152</v>
      </c>
      <c r="Q142" s="180"/>
      <c r="R142" s="150"/>
      <c r="S142" s="150"/>
      <c r="T142" s="150"/>
      <c r="U142" s="150"/>
      <c r="V142" s="150"/>
      <c r="W142" s="188"/>
      <c r="X142" s="188"/>
      <c r="Y142" s="188"/>
      <c r="Z142" s="188"/>
      <c r="AA142" s="188"/>
      <c r="AB142" s="188"/>
      <c r="AC142" s="188"/>
      <c r="AD142" s="188"/>
      <c r="AE142" s="188"/>
      <c r="AF142" s="150"/>
      <c r="AG142" s="183"/>
    </row>
    <row r="143" spans="2:36">
      <c r="B143" t="str">
        <f t="shared" si="110"/>
        <v>IT0</v>
      </c>
      <c r="C143">
        <f t="shared" si="111"/>
        <v>2025</v>
      </c>
      <c r="D143" t="str">
        <f t="shared" si="112"/>
        <v>HYD_RES</v>
      </c>
      <c r="E143" s="155">
        <f t="shared" si="130"/>
        <v>27362505.247575749</v>
      </c>
      <c r="F143" t="s">
        <v>31</v>
      </c>
      <c r="G143" t="str">
        <f t="shared" si="113"/>
        <v>reservoir</v>
      </c>
      <c r="H143">
        <f t="shared" si="115"/>
        <v>2</v>
      </c>
      <c r="I143">
        <f t="shared" si="116"/>
        <v>3</v>
      </c>
      <c r="J143">
        <f t="shared" si="117"/>
        <v>1</v>
      </c>
      <c r="N143">
        <f t="shared" si="114"/>
        <v>0.01</v>
      </c>
      <c r="O143" s="155">
        <f t="shared" si="131"/>
        <v>27638894.189470455</v>
      </c>
      <c r="Q143" s="180"/>
      <c r="R143" s="150" t="s">
        <v>12</v>
      </c>
      <c r="S143" s="150" t="s">
        <v>70</v>
      </c>
      <c r="T143" s="150" t="s">
        <v>465</v>
      </c>
      <c r="U143" s="150"/>
      <c r="V143" s="150"/>
      <c r="W143" s="189">
        <f>SUMIFS($AS$4:$AS$69,$AP$4:$AP$69,$S143,$AR$4:$AR$69,$R143)</f>
        <v>2733327.3221901301</v>
      </c>
      <c r="X143" s="188">
        <f t="shared" ref="X143:AE143" si="140">SUMIFS(X$256:X$302,$S$256:$S$302,$R143,$R$256:$R$302,$T143)*1000</f>
        <v>4193896.4184914404</v>
      </c>
      <c r="Y143" s="188">
        <f t="shared" si="140"/>
        <v>4939531.5773277199</v>
      </c>
      <c r="Z143" s="188">
        <f t="shared" si="140"/>
        <v>3318875.5322349002</v>
      </c>
      <c r="AA143" s="188">
        <f t="shared" si="140"/>
        <v>3289834.0032908199</v>
      </c>
      <c r="AB143" s="188">
        <f t="shared" si="140"/>
        <v>89655.202153400489</v>
      </c>
      <c r="AC143" s="188">
        <f t="shared" si="140"/>
        <v>82428.328573959603</v>
      </c>
      <c r="AD143" s="188">
        <f t="shared" si="140"/>
        <v>30141.5126208853</v>
      </c>
      <c r="AE143" s="188">
        <f t="shared" si="140"/>
        <v>29541.836407857001</v>
      </c>
      <c r="AF143" s="150"/>
      <c r="AG143" s="183"/>
      <c r="AH143" t="str">
        <f t="shared" ref="AH143" si="141">R143&amp;"."&amp;S143</f>
        <v>AT0.HCO_LIN</v>
      </c>
      <c r="AJ143">
        <f>INDEX($AZ$2:$AZ$41,MATCH($S143,$AY$2:$AY$41,0))</f>
        <v>8.5000000000000006E-2</v>
      </c>
    </row>
    <row r="144" spans="2:36">
      <c r="B144" t="str">
        <f t="shared" si="110"/>
        <v>AT0</v>
      </c>
      <c r="C144">
        <f t="shared" si="111"/>
        <v>2025</v>
      </c>
      <c r="D144" t="str">
        <f t="shared" si="112"/>
        <v>HYD_RES</v>
      </c>
      <c r="E144" s="155">
        <f t="shared" si="130"/>
        <v>17440415.692088179</v>
      </c>
      <c r="F144" t="s">
        <v>31</v>
      </c>
      <c r="G144" t="str">
        <f t="shared" si="113"/>
        <v>reservoir</v>
      </c>
      <c r="H144">
        <f t="shared" si="115"/>
        <v>3</v>
      </c>
      <c r="I144">
        <f t="shared" si="116"/>
        <v>3</v>
      </c>
      <c r="J144">
        <f t="shared" si="117"/>
        <v>1</v>
      </c>
      <c r="N144">
        <f t="shared" si="114"/>
        <v>0.01</v>
      </c>
      <c r="O144" s="155">
        <f t="shared" si="131"/>
        <v>17616581.507159777</v>
      </c>
      <c r="Q144" s="180" t="s">
        <v>404</v>
      </c>
      <c r="R144" s="150" t="s">
        <v>12</v>
      </c>
      <c r="S144" s="150" t="s">
        <v>70</v>
      </c>
      <c r="T144" s="150"/>
      <c r="U144" s="150"/>
      <c r="V144" s="150"/>
      <c r="W144" s="188">
        <f>INDEX(ALL_CAPACITY!$P$6:$X$84,MATCH($R144&amp;"."&amp;$S144,ALL_CAPACITY!$Z$6:$Z$84,0),MATCH(W$67,ALL_CAPACITY!$P$5:$X$5,0))</f>
        <v>1100</v>
      </c>
      <c r="X144" s="188">
        <f>INDEX(ALL_CAPACITY!$P$6:$X$84,MATCH($R144&amp;"."&amp;$S144,ALL_CAPACITY!$Z$6:$Z$84,0),MATCH(X$67,ALL_CAPACITY!$P$5:$X$5,0))</f>
        <v>872.75400000000002</v>
      </c>
      <c r="Y144" s="188">
        <f>INDEX(ALL_CAPACITY!$P$6:$X$84,MATCH($R144&amp;"."&amp;$S144,ALL_CAPACITY!$Z$6:$Z$84,0),MATCH(Y$67,ALL_CAPACITY!$P$5:$X$5,0))</f>
        <v>804.16070107564599</v>
      </c>
      <c r="Z144" s="188">
        <f>INDEX(ALL_CAPACITY!$P$6:$X$84,MATCH($R144&amp;"."&amp;$S144,ALL_CAPACITY!$Z$6:$Z$84,0),MATCH(Z$67,ALL_CAPACITY!$P$5:$X$5,0))</f>
        <v>778.21670107564603</v>
      </c>
      <c r="AA144" s="188">
        <f>INDEX(ALL_CAPACITY!$P$6:$X$84,MATCH($R144&amp;"."&amp;$S144,ALL_CAPACITY!$Z$6:$Z$84,0),MATCH(AA$67,ALL_CAPACITY!$P$5:$X$5,0))</f>
        <v>778.21670107564603</v>
      </c>
      <c r="AB144" s="188">
        <f>INDEX(ALL_CAPACITY!$P$6:$X$84,MATCH($R144&amp;"."&amp;$S144,ALL_CAPACITY!$Z$6:$Z$84,0),MATCH(AB$67,ALL_CAPACITY!$P$5:$X$5,0))</f>
        <v>80.8567010756462</v>
      </c>
      <c r="AC144" s="188">
        <f>INDEX(ALL_CAPACITY!$P$6:$X$84,MATCH($R144&amp;"."&amp;$S144,ALL_CAPACITY!$Z$6:$Z$84,0),MATCH(AC$67,ALL_CAPACITY!$P$5:$X$5,0))</f>
        <v>72.116701075646205</v>
      </c>
      <c r="AD144" s="188">
        <f>INDEX(ALL_CAPACITY!$P$6:$X$84,MATCH($R144&amp;"."&amp;$S144,ALL_CAPACITY!$Z$6:$Z$84,0),MATCH(AD$67,ALL_CAPACITY!$P$5:$X$5,0))</f>
        <v>36.396701075646199</v>
      </c>
      <c r="AE144" s="188">
        <f>INDEX(ALL_CAPACITY!$P$6:$X$84,MATCH($R144&amp;"."&amp;$S144,ALL_CAPACITY!$Z$6:$Z$84,0),MATCH(AE$67,ALL_CAPACITY!$P$5:$X$5,0))</f>
        <v>36.396701075646199</v>
      </c>
      <c r="AF144" s="150"/>
      <c r="AG144" s="183"/>
      <c r="AJ144">
        <f>INDEX($AZ$2:$AZ$41,MATCH($S144,$AY$2:$AY$41,0))</f>
        <v>8.5000000000000006E-2</v>
      </c>
    </row>
    <row r="145" spans="2:36">
      <c r="B145" t="str">
        <f t="shared" si="110"/>
        <v>FR0</v>
      </c>
      <c r="C145">
        <f t="shared" si="111"/>
        <v>2025</v>
      </c>
      <c r="D145" t="str">
        <f t="shared" si="112"/>
        <v>HYD_RES</v>
      </c>
      <c r="E145" s="155">
        <f t="shared" si="130"/>
        <v>21330113.338464662</v>
      </c>
      <c r="F145" t="s">
        <v>31</v>
      </c>
      <c r="G145" t="str">
        <f t="shared" si="113"/>
        <v>reservoir</v>
      </c>
      <c r="H145">
        <f t="shared" si="115"/>
        <v>4</v>
      </c>
      <c r="I145">
        <f t="shared" si="116"/>
        <v>3</v>
      </c>
      <c r="J145">
        <f t="shared" si="117"/>
        <v>1</v>
      </c>
      <c r="N145">
        <f t="shared" si="114"/>
        <v>0.01</v>
      </c>
      <c r="O145" s="155">
        <f t="shared" si="131"/>
        <v>21545569.028752185</v>
      </c>
      <c r="Q145" s="180" t="s">
        <v>398</v>
      </c>
      <c r="R145" s="150"/>
      <c r="S145" s="150"/>
      <c r="T145" s="150"/>
      <c r="U145" s="150"/>
      <c r="V145" s="150"/>
      <c r="W145" s="188">
        <f>W143/W144</f>
        <v>2484.8430201728456</v>
      </c>
      <c r="X145" s="188">
        <f t="shared" ref="X145" si="142">X143/X144</f>
        <v>4805.3591487308458</v>
      </c>
      <c r="Y145" s="188">
        <f t="shared" ref="Y145" si="143">Y143/Y144</f>
        <v>6142.4682538211564</v>
      </c>
      <c r="Z145" s="188">
        <f t="shared" ref="Z145" si="144">Z143/Z144</f>
        <v>4264.7189756369562</v>
      </c>
      <c r="AA145" s="188">
        <f t="shared" ref="AA145" si="145">AA143/AA144</f>
        <v>4227.4009266874291</v>
      </c>
      <c r="AB145" s="188">
        <f t="shared" ref="AB145" si="146">AB143/AB144</f>
        <v>1108.8159788948449</v>
      </c>
      <c r="AC145" s="188">
        <f t="shared" ref="AC145" si="147">AC143/AC144</f>
        <v>1142.9852911255202</v>
      </c>
      <c r="AD145" s="188">
        <f t="shared" ref="AD145" si="148">AD143/AD144</f>
        <v>828.13858756703701</v>
      </c>
      <c r="AE145" s="188">
        <f t="shared" ref="AE145" si="149">AE143/AE144</f>
        <v>811.66247310320296</v>
      </c>
      <c r="AF145" s="150"/>
      <c r="AG145" s="183"/>
    </row>
    <row r="146" spans="2:36">
      <c r="B146" t="str">
        <f t="shared" si="110"/>
        <v>DE0</v>
      </c>
      <c r="C146">
        <f t="shared" si="111"/>
        <v>2030</v>
      </c>
      <c r="D146" t="str">
        <f t="shared" si="112"/>
        <v>HYD_RES</v>
      </c>
      <c r="E146" s="155">
        <f t="shared" si="130"/>
        <v>4211793.8208022444</v>
      </c>
      <c r="F146" t="s">
        <v>31</v>
      </c>
      <c r="G146" t="str">
        <f t="shared" si="113"/>
        <v>reservoir</v>
      </c>
      <c r="H146">
        <f t="shared" si="115"/>
        <v>1</v>
      </c>
      <c r="I146">
        <f t="shared" si="116"/>
        <v>4</v>
      </c>
      <c r="J146">
        <f t="shared" si="117"/>
        <v>1</v>
      </c>
      <c r="N146">
        <f t="shared" si="114"/>
        <v>0.01</v>
      </c>
      <c r="O146" s="155">
        <f t="shared" si="131"/>
        <v>4254337.1927295402</v>
      </c>
      <c r="Q146" s="185"/>
      <c r="R146" s="186"/>
      <c r="S146" s="186"/>
      <c r="T146" s="186"/>
      <c r="U146" s="186"/>
      <c r="V146" s="186"/>
      <c r="W146" s="190"/>
      <c r="X146" s="190"/>
      <c r="Y146" s="190"/>
      <c r="Z146" s="190"/>
      <c r="AA146" s="190"/>
      <c r="AB146" s="190"/>
      <c r="AC146" s="190"/>
      <c r="AD146" s="190"/>
      <c r="AE146" s="190"/>
      <c r="AF146" s="186"/>
      <c r="AG146" s="187"/>
    </row>
    <row r="147" spans="2:36">
      <c r="B147" t="str">
        <f t="shared" si="110"/>
        <v>IT0</v>
      </c>
      <c r="C147">
        <f t="shared" si="111"/>
        <v>2030</v>
      </c>
      <c r="D147" t="str">
        <f t="shared" si="112"/>
        <v>HYD_RES</v>
      </c>
      <c r="E147" s="155">
        <f t="shared" si="130"/>
        <v>27963319.84840906</v>
      </c>
      <c r="F147" t="s">
        <v>31</v>
      </c>
      <c r="G147" t="str">
        <f t="shared" si="113"/>
        <v>reservoir</v>
      </c>
      <c r="H147">
        <f t="shared" si="115"/>
        <v>2</v>
      </c>
      <c r="I147">
        <f t="shared" si="116"/>
        <v>4</v>
      </c>
      <c r="J147">
        <f t="shared" si="117"/>
        <v>1</v>
      </c>
      <c r="N147">
        <f t="shared" si="114"/>
        <v>0.01</v>
      </c>
      <c r="O147" s="155">
        <f t="shared" si="131"/>
        <v>28245777.624655616</v>
      </c>
      <c r="Q147" s="150"/>
      <c r="W147" s="188"/>
      <c r="X147" s="188"/>
      <c r="Y147" s="188"/>
      <c r="Z147" s="188"/>
      <c r="AA147" s="188"/>
      <c r="AB147" s="188"/>
      <c r="AC147" s="188"/>
      <c r="AD147" s="188"/>
      <c r="AE147" s="188"/>
    </row>
    <row r="148" spans="2:36" ht="15">
      <c r="B148" t="str">
        <f t="shared" si="110"/>
        <v>AT0</v>
      </c>
      <c r="C148">
        <f t="shared" si="111"/>
        <v>2030</v>
      </c>
      <c r="D148" t="str">
        <f t="shared" si="112"/>
        <v>HYD_RES</v>
      </c>
      <c r="E148" s="155">
        <f t="shared" si="130"/>
        <v>17450514.367631763</v>
      </c>
      <c r="F148" t="s">
        <v>31</v>
      </c>
      <c r="G148" t="str">
        <f t="shared" si="113"/>
        <v>reservoir</v>
      </c>
      <c r="H148">
        <f t="shared" si="115"/>
        <v>3</v>
      </c>
      <c r="I148">
        <f t="shared" si="116"/>
        <v>4</v>
      </c>
      <c r="J148">
        <f t="shared" si="117"/>
        <v>1</v>
      </c>
      <c r="N148">
        <f t="shared" si="114"/>
        <v>0.01</v>
      </c>
      <c r="O148" s="155">
        <f t="shared" si="131"/>
        <v>17626782.189527035</v>
      </c>
      <c r="Q148" s="177" t="s">
        <v>467</v>
      </c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8"/>
      <c r="AD148" s="178"/>
      <c r="AE148" s="178"/>
      <c r="AF148" s="178"/>
      <c r="AG148" s="179"/>
    </row>
    <row r="149" spans="2:36">
      <c r="B149" t="str">
        <f t="shared" si="110"/>
        <v>FR0</v>
      </c>
      <c r="C149">
        <f t="shared" si="111"/>
        <v>2030</v>
      </c>
      <c r="D149" t="str">
        <f t="shared" si="112"/>
        <v>HYD_RES</v>
      </c>
      <c r="E149" s="155">
        <f t="shared" si="130"/>
        <v>21346199.211644586</v>
      </c>
      <c r="F149" t="s">
        <v>31</v>
      </c>
      <c r="G149" t="str">
        <f t="shared" si="113"/>
        <v>reservoir</v>
      </c>
      <c r="H149">
        <f t="shared" si="115"/>
        <v>4</v>
      </c>
      <c r="I149">
        <f t="shared" si="116"/>
        <v>4</v>
      </c>
      <c r="J149">
        <f t="shared" si="117"/>
        <v>1</v>
      </c>
      <c r="N149">
        <f t="shared" si="114"/>
        <v>0.01</v>
      </c>
      <c r="O149" s="155">
        <f t="shared" si="131"/>
        <v>21561817.385499582</v>
      </c>
      <c r="Q149" s="180"/>
      <c r="R149" s="150" t="s">
        <v>15</v>
      </c>
      <c r="S149" s="150" t="s">
        <v>468</v>
      </c>
      <c r="T149" s="150"/>
      <c r="U149" s="150"/>
      <c r="V149" s="150"/>
      <c r="W149" s="189">
        <f>SUMIFS($AS$4:$AS$69,$AP$4:$AP$69,$S149,$AR$4:$AR$69,$R149)</f>
        <v>0</v>
      </c>
      <c r="X149" s="188">
        <f t="shared" ref="X149:AE149" si="150">SUMIFS(X$256:X$302,$S$256:$S$302,$R149,$R$256:$R$302,$S149)*1000</f>
        <v>92807723.337183297</v>
      </c>
      <c r="Y149" s="188">
        <f t="shared" si="150"/>
        <v>74716593.978035286</v>
      </c>
      <c r="Z149" s="188">
        <f t="shared" si="150"/>
        <v>102227870.333542</v>
      </c>
      <c r="AA149" s="188">
        <f t="shared" si="150"/>
        <v>108810332.939459</v>
      </c>
      <c r="AB149" s="188">
        <f t="shared" si="150"/>
        <v>150109981.08222198</v>
      </c>
      <c r="AC149" s="188">
        <f t="shared" si="150"/>
        <v>154615823.066724</v>
      </c>
      <c r="AD149" s="188">
        <f t="shared" si="150"/>
        <v>152777896.01358899</v>
      </c>
      <c r="AE149" s="188">
        <f t="shared" si="150"/>
        <v>124671201.81372601</v>
      </c>
      <c r="AF149" s="150"/>
      <c r="AG149" s="183"/>
      <c r="AH149" t="str">
        <f t="shared" ref="AH149" si="151">R149&amp;"."&amp;S149</f>
        <v>DE0.GAS_TOT</v>
      </c>
      <c r="AJ149">
        <f>INDEX($AZ$2:$AZ$41,MATCH($S149,$AY$2:$AY$41,0))</f>
        <v>0.01</v>
      </c>
    </row>
    <row r="150" spans="2:36">
      <c r="B150" t="str">
        <f t="shared" si="110"/>
        <v>DE0</v>
      </c>
      <c r="C150">
        <f t="shared" si="111"/>
        <v>2035</v>
      </c>
      <c r="D150" t="str">
        <f t="shared" si="112"/>
        <v>HYD_RES</v>
      </c>
      <c r="E150" s="155">
        <f t="shared" si="130"/>
        <v>4864968.1329340972</v>
      </c>
      <c r="F150" t="s">
        <v>31</v>
      </c>
      <c r="G150" t="str">
        <f t="shared" si="113"/>
        <v>reservoir</v>
      </c>
      <c r="H150">
        <f t="shared" si="115"/>
        <v>1</v>
      </c>
      <c r="I150">
        <f t="shared" si="116"/>
        <v>5</v>
      </c>
      <c r="J150">
        <f t="shared" si="117"/>
        <v>1</v>
      </c>
      <c r="N150">
        <f t="shared" si="114"/>
        <v>0.01</v>
      </c>
      <c r="O150" s="155">
        <f t="shared" si="131"/>
        <v>4914109.2251859568</v>
      </c>
      <c r="Q150" s="180" t="s">
        <v>404</v>
      </c>
      <c r="R150" s="150" t="s">
        <v>15</v>
      </c>
      <c r="S150" s="150" t="s">
        <v>60</v>
      </c>
      <c r="T150" s="150"/>
      <c r="U150" s="150"/>
      <c r="V150" s="150"/>
      <c r="W150" s="188">
        <f>INDEX(ALL_CAPACITY!$P$6:$X$84,MATCH($R150&amp;"."&amp;$S150,ALL_CAPACITY!$Z$6:$Z$84,0),MATCH(W$67,ALL_CAPACITY!$P$5:$X$5,0))</f>
        <v>24038.880000000001</v>
      </c>
      <c r="X150" s="188">
        <f>INDEX(ALL_CAPACITY!$P$6:$X$84,MATCH($R150&amp;"."&amp;$S150,ALL_CAPACITY!$Z$6:$Z$84,0),MATCH(X$67,ALL_CAPACITY!$P$5:$X$5,0))</f>
        <v>25177.76772</v>
      </c>
      <c r="Y150" s="188">
        <f>INDEX(ALL_CAPACITY!$P$6:$X$84,MATCH($R150&amp;"."&amp;$S150,ALL_CAPACITY!$Z$6:$Z$84,0),MATCH(Y$67,ALL_CAPACITY!$P$5:$X$5,0))</f>
        <v>21891.232619999999</v>
      </c>
      <c r="Z150" s="188">
        <f>INDEX(ALL_CAPACITY!$P$6:$X$84,MATCH($R150&amp;"."&amp;$S150,ALL_CAPACITY!$Z$6:$Z$84,0),MATCH(Z$67,ALL_CAPACITY!$P$5:$X$5,0))</f>
        <v>21891.232619999999</v>
      </c>
      <c r="AA150" s="188">
        <f>INDEX(ALL_CAPACITY!$P$6:$X$84,MATCH($R150&amp;"."&amp;$S150,ALL_CAPACITY!$Z$6:$Z$84,0),MATCH(AA$67,ALL_CAPACITY!$P$5:$X$5,0))</f>
        <v>21891.232619999999</v>
      </c>
      <c r="AB150" s="188">
        <f>INDEX(ALL_CAPACITY!$P$6:$X$84,MATCH($R150&amp;"."&amp;$S150,ALL_CAPACITY!$Z$6:$Z$84,0),MATCH(AB$67,ALL_CAPACITY!$P$5:$X$5,0))</f>
        <v>21891.232619999999</v>
      </c>
      <c r="AC150" s="188">
        <f>INDEX(ALL_CAPACITY!$P$6:$X$84,MATCH($R150&amp;"."&amp;$S150,ALL_CAPACITY!$Z$6:$Z$84,0),MATCH(AC$67,ALL_CAPACITY!$P$5:$X$5,0))</f>
        <v>21891.232619999999</v>
      </c>
      <c r="AD150" s="188">
        <f>INDEX(ALL_CAPACITY!$P$6:$X$84,MATCH($R150&amp;"."&amp;$S150,ALL_CAPACITY!$Z$6:$Z$84,0),MATCH(AD$67,ALL_CAPACITY!$P$5:$X$5,0))</f>
        <v>21891.232619999999</v>
      </c>
      <c r="AE150" s="188">
        <f>INDEX(ALL_CAPACITY!$P$6:$X$84,MATCH($R150&amp;"."&amp;$S150,ALL_CAPACITY!$Z$6:$Z$84,0),MATCH(AE$67,ALL_CAPACITY!$P$5:$X$5,0))</f>
        <v>20023.9026197983</v>
      </c>
      <c r="AF150" s="150"/>
      <c r="AG150" s="183"/>
      <c r="AJ150">
        <f>INDEX($AZ$2:$AZ$41,MATCH($S150,$AY$2:$AY$41,0))</f>
        <v>0.01</v>
      </c>
    </row>
    <row r="151" spans="2:36">
      <c r="B151" t="str">
        <f t="shared" si="110"/>
        <v>IT0</v>
      </c>
      <c r="C151">
        <f t="shared" si="111"/>
        <v>2035</v>
      </c>
      <c r="D151" t="str">
        <f t="shared" si="112"/>
        <v>HYD_RES</v>
      </c>
      <c r="E151" s="155">
        <f t="shared" si="130"/>
        <v>29242124.537777897</v>
      </c>
      <c r="F151" t="s">
        <v>31</v>
      </c>
      <c r="G151" t="str">
        <f t="shared" si="113"/>
        <v>reservoir</v>
      </c>
      <c r="H151">
        <f t="shared" si="115"/>
        <v>2</v>
      </c>
      <c r="I151">
        <f t="shared" si="116"/>
        <v>5</v>
      </c>
      <c r="J151">
        <f t="shared" si="117"/>
        <v>1</v>
      </c>
      <c r="N151">
        <f t="shared" si="114"/>
        <v>0.01</v>
      </c>
      <c r="O151" s="155">
        <f t="shared" si="131"/>
        <v>29537499.533108987</v>
      </c>
      <c r="Q151" s="180" t="s">
        <v>404</v>
      </c>
      <c r="R151" s="150" t="s">
        <v>15</v>
      </c>
      <c r="S151" s="150" t="s">
        <v>441</v>
      </c>
      <c r="T151" s="150"/>
      <c r="U151" s="150"/>
      <c r="V151" s="150"/>
      <c r="W151" s="188">
        <f>INDEX(ALL_CAPACITY!$P$6:$X$84,MATCH($R151&amp;"."&amp;$S151,ALL_CAPACITY!$Z$6:$Z$84,0),MATCH(W$67,ALL_CAPACITY!$P$5:$X$5,0))</f>
        <v>0</v>
      </c>
      <c r="X151" s="188">
        <f>INDEX(ALL_CAPACITY!$P$6:$X$84,MATCH($R151&amp;"."&amp;$S151,ALL_CAPACITY!$Z$6:$Z$84,0),MATCH(X$67,ALL_CAPACITY!$P$5:$X$5,0))</f>
        <v>0</v>
      </c>
      <c r="Y151" s="188">
        <f>INDEX(ALL_CAPACITY!$P$6:$X$84,MATCH($R151&amp;"."&amp;$S151,ALL_CAPACITY!$Z$6:$Z$84,0),MATCH(Y$67,ALL_CAPACITY!$P$5:$X$5,0))</f>
        <v>0</v>
      </c>
      <c r="Z151" s="188">
        <f>INDEX(ALL_CAPACITY!$P$6:$X$84,MATCH($R151&amp;"."&amp;$S151,ALL_CAPACITY!$Z$6:$Z$84,0),MATCH(Z$67,ALL_CAPACITY!$P$5:$X$5,0))</f>
        <v>1186.8420513037017</v>
      </c>
      <c r="AA151" s="188">
        <f>INDEX(ALL_CAPACITY!$P$6:$X$84,MATCH($R151&amp;"."&amp;$S151,ALL_CAPACITY!$Z$6:$Z$84,0),MATCH(AA$67,ALL_CAPACITY!$P$5:$X$5,0))</f>
        <v>5086.7513160732015</v>
      </c>
      <c r="AB151" s="188">
        <f>INDEX(ALL_CAPACITY!$P$6:$X$84,MATCH($R151&amp;"."&amp;$S151,ALL_CAPACITY!$Z$6:$Z$84,0),MATCH(AB$67,ALL_CAPACITY!$P$5:$X$5,0))</f>
        <v>17195.078435375002</v>
      </c>
      <c r="AC151" s="188">
        <f>INDEX(ALL_CAPACITY!$P$6:$X$84,MATCH($R151&amp;"."&amp;$S151,ALL_CAPACITY!$Z$6:$Z$84,0),MATCH(AC$67,ALL_CAPACITY!$P$5:$X$5,0))</f>
        <v>20128.794255375</v>
      </c>
      <c r="AD151" s="188">
        <f>INDEX(ALL_CAPACITY!$P$6:$X$84,MATCH($R151&amp;"."&amp;$S151,ALL_CAPACITY!$Z$6:$Z$84,0),MATCH(AD$67,ALL_CAPACITY!$P$5:$X$5,0))</f>
        <v>21402.099824999099</v>
      </c>
      <c r="AE151" s="188">
        <f>INDEX(ALL_CAPACITY!$P$6:$X$84,MATCH($R151&amp;"."&amp;$S151,ALL_CAPACITY!$Z$6:$Z$84,0),MATCH(AE$67,ALL_CAPACITY!$P$5:$X$5,0))</f>
        <v>21402.099824999099</v>
      </c>
      <c r="AF151" s="150"/>
      <c r="AG151" s="183"/>
      <c r="AJ151">
        <f>INDEX($AZ$2:$AZ$41,MATCH($S151,$AY$2:$AY$41,0))</f>
        <v>0.01</v>
      </c>
    </row>
    <row r="152" spans="2:36">
      <c r="B152" t="str">
        <f t="shared" si="110"/>
        <v>AT0</v>
      </c>
      <c r="C152">
        <f t="shared" si="111"/>
        <v>2035</v>
      </c>
      <c r="D152" t="str">
        <f t="shared" si="112"/>
        <v>HYD_RES</v>
      </c>
      <c r="E152" s="155">
        <f t="shared" si="130"/>
        <v>17663854.215685692</v>
      </c>
      <c r="F152" t="s">
        <v>31</v>
      </c>
      <c r="G152" t="str">
        <f t="shared" si="113"/>
        <v>reservoir</v>
      </c>
      <c r="H152">
        <f t="shared" si="115"/>
        <v>3</v>
      </c>
      <c r="I152">
        <f t="shared" si="116"/>
        <v>5</v>
      </c>
      <c r="J152">
        <f t="shared" si="117"/>
        <v>1</v>
      </c>
      <c r="N152">
        <f t="shared" si="114"/>
        <v>0.01</v>
      </c>
      <c r="O152" s="155">
        <f t="shared" si="131"/>
        <v>17842276.985541102</v>
      </c>
      <c r="Q152" s="195" t="s">
        <v>404</v>
      </c>
      <c r="R152" s="150" t="s">
        <v>15</v>
      </c>
      <c r="S152" s="150" t="s">
        <v>468</v>
      </c>
      <c r="T152" s="150"/>
      <c r="U152" s="150"/>
      <c r="V152" s="150"/>
      <c r="W152" s="196">
        <f t="shared" ref="W152:AE152" si="152">SUM(W150:W151)</f>
        <v>24038.880000000001</v>
      </c>
      <c r="X152" s="196">
        <f t="shared" si="152"/>
        <v>25177.76772</v>
      </c>
      <c r="Y152" s="196">
        <f t="shared" si="152"/>
        <v>21891.232619999999</v>
      </c>
      <c r="Z152" s="196">
        <f t="shared" si="152"/>
        <v>23078.074671303701</v>
      </c>
      <c r="AA152" s="196">
        <f t="shared" si="152"/>
        <v>26977.9839360732</v>
      </c>
      <c r="AB152" s="196">
        <f t="shared" si="152"/>
        <v>39086.311055375001</v>
      </c>
      <c r="AC152" s="196">
        <f t="shared" si="152"/>
        <v>42020.026875374999</v>
      </c>
      <c r="AD152" s="196">
        <f t="shared" si="152"/>
        <v>43293.332444999098</v>
      </c>
      <c r="AE152" s="196">
        <f t="shared" si="152"/>
        <v>41426.002444797399</v>
      </c>
      <c r="AF152" s="150"/>
      <c r="AG152" s="183"/>
      <c r="AJ152">
        <f>INDEX($AZ$2:$AZ$41,MATCH($S152,$AY$2:$AY$41,0))</f>
        <v>0.01</v>
      </c>
    </row>
    <row r="153" spans="2:36">
      <c r="B153" t="str">
        <f t="shared" si="110"/>
        <v>FR0</v>
      </c>
      <c r="C153">
        <f t="shared" si="111"/>
        <v>2035</v>
      </c>
      <c r="D153" t="str">
        <f t="shared" si="112"/>
        <v>HYD_RES</v>
      </c>
      <c r="E153" s="155">
        <f t="shared" si="130"/>
        <v>22154345.151798982</v>
      </c>
      <c r="F153" t="s">
        <v>31</v>
      </c>
      <c r="G153" t="str">
        <f t="shared" si="113"/>
        <v>reservoir</v>
      </c>
      <c r="H153">
        <f t="shared" si="115"/>
        <v>4</v>
      </c>
      <c r="I153">
        <f t="shared" si="116"/>
        <v>5</v>
      </c>
      <c r="J153">
        <f t="shared" si="117"/>
        <v>1</v>
      </c>
      <c r="N153">
        <f t="shared" si="114"/>
        <v>0.01</v>
      </c>
      <c r="O153" s="155">
        <f t="shared" si="131"/>
        <v>22378126.415958568</v>
      </c>
      <c r="Q153" s="180" t="s">
        <v>398</v>
      </c>
      <c r="R153" s="150"/>
      <c r="S153" s="150"/>
      <c r="T153" s="150"/>
      <c r="U153" s="150"/>
      <c r="V153" s="150"/>
      <c r="W153" s="188">
        <f>W149/W152</f>
        <v>0</v>
      </c>
      <c r="X153" s="188">
        <f t="shared" ref="X153:AE153" si="153">X149/X152</f>
        <v>3686.0981628431396</v>
      </c>
      <c r="Y153" s="188">
        <f t="shared" si="153"/>
        <v>3413.083003365175</v>
      </c>
      <c r="Z153" s="188">
        <f t="shared" si="153"/>
        <v>4429.6533306851916</v>
      </c>
      <c r="AA153" s="188">
        <f t="shared" si="153"/>
        <v>4033.3011242535777</v>
      </c>
      <c r="AB153" s="188">
        <f t="shared" si="153"/>
        <v>3840.4745044769179</v>
      </c>
      <c r="AC153" s="188">
        <f t="shared" si="153"/>
        <v>3679.5745877386275</v>
      </c>
      <c r="AD153" s="188">
        <f t="shared" si="153"/>
        <v>3528.9012738319866</v>
      </c>
      <c r="AE153" s="188">
        <f t="shared" si="153"/>
        <v>3009.4914897921362</v>
      </c>
      <c r="AF153" s="150"/>
      <c r="AG153" s="183"/>
    </row>
    <row r="154" spans="2:36">
      <c r="B154" t="str">
        <f t="shared" si="110"/>
        <v>DE0</v>
      </c>
      <c r="C154">
        <f t="shared" si="111"/>
        <v>2040</v>
      </c>
      <c r="D154" t="str">
        <f t="shared" si="112"/>
        <v>HYD_RES</v>
      </c>
      <c r="E154" s="155">
        <f t="shared" si="130"/>
        <v>5416598.1055895733</v>
      </c>
      <c r="F154" t="s">
        <v>31</v>
      </c>
      <c r="G154" t="str">
        <f t="shared" si="113"/>
        <v>reservoir</v>
      </c>
      <c r="H154">
        <f t="shared" si="115"/>
        <v>1</v>
      </c>
      <c r="I154">
        <f t="shared" si="116"/>
        <v>6</v>
      </c>
      <c r="J154">
        <f t="shared" si="117"/>
        <v>1</v>
      </c>
      <c r="N154">
        <f t="shared" si="114"/>
        <v>0.01</v>
      </c>
      <c r="O154" s="155">
        <f t="shared" si="131"/>
        <v>5471311.2177672461</v>
      </c>
      <c r="Q154" s="18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83"/>
    </row>
    <row r="155" spans="2:36">
      <c r="B155" t="str">
        <f t="shared" si="110"/>
        <v>IT0</v>
      </c>
      <c r="C155">
        <f t="shared" si="111"/>
        <v>2040</v>
      </c>
      <c r="D155" t="str">
        <f t="shared" si="112"/>
        <v>HYD_RES</v>
      </c>
      <c r="E155" s="155">
        <f t="shared" si="130"/>
        <v>30273115.348820504</v>
      </c>
      <c r="F155" t="s">
        <v>31</v>
      </c>
      <c r="G155" t="str">
        <f t="shared" si="113"/>
        <v>reservoir</v>
      </c>
      <c r="H155">
        <f t="shared" si="115"/>
        <v>2</v>
      </c>
      <c r="I155">
        <f t="shared" si="116"/>
        <v>6</v>
      </c>
      <c r="J155">
        <f t="shared" si="117"/>
        <v>1</v>
      </c>
      <c r="N155">
        <f t="shared" si="114"/>
        <v>0.01</v>
      </c>
      <c r="O155" s="155">
        <f t="shared" si="131"/>
        <v>30578904.392747983</v>
      </c>
      <c r="Q155" s="180"/>
      <c r="R155" s="150" t="s">
        <v>17</v>
      </c>
      <c r="S155" s="150" t="s">
        <v>468</v>
      </c>
      <c r="T155" s="150"/>
      <c r="U155" s="150"/>
      <c r="V155" s="150"/>
      <c r="W155" s="189">
        <f>SUMIFS($AS$4:$AS$69,$AP$4:$AP$69,$S155,$AR$4:$AR$69,$R155)</f>
        <v>0</v>
      </c>
      <c r="X155" s="188">
        <f t="shared" ref="X155:AE155" si="154">SUMIFS(X$256:X$302,$S$256:$S$302,$R155,$R$256:$R$302,$S155)*1000</f>
        <v>110292936.80747199</v>
      </c>
      <c r="Y155" s="188">
        <f t="shared" si="154"/>
        <v>126166109.68805501</v>
      </c>
      <c r="Z155" s="188">
        <f t="shared" si="154"/>
        <v>124245647.08026201</v>
      </c>
      <c r="AA155" s="188">
        <f t="shared" si="154"/>
        <v>122447148.971496</v>
      </c>
      <c r="AB155" s="188">
        <f t="shared" si="154"/>
        <v>136376710.87450498</v>
      </c>
      <c r="AC155" s="188">
        <f t="shared" si="154"/>
        <v>167625921.75917301</v>
      </c>
      <c r="AD155" s="188">
        <f t="shared" si="154"/>
        <v>146745221.236054</v>
      </c>
      <c r="AE155" s="188">
        <f t="shared" si="154"/>
        <v>143733522.92275998</v>
      </c>
      <c r="AF155" s="150"/>
      <c r="AG155" s="183"/>
      <c r="AH155" t="str">
        <f t="shared" ref="AH155" si="155">R155&amp;"."&amp;S155</f>
        <v>IT0.GAS_TOT</v>
      </c>
      <c r="AJ155">
        <f>INDEX($AZ$2:$AZ$41,MATCH($S155,$AY$2:$AY$41,0))</f>
        <v>0.01</v>
      </c>
    </row>
    <row r="156" spans="2:36">
      <c r="B156" t="str">
        <f t="shared" si="110"/>
        <v>AT0</v>
      </c>
      <c r="C156">
        <f t="shared" si="111"/>
        <v>2040</v>
      </c>
      <c r="D156" t="str">
        <f t="shared" si="112"/>
        <v>HYD_RES</v>
      </c>
      <c r="E156" s="155">
        <f t="shared" si="130"/>
        <v>17744118.752142385</v>
      </c>
      <c r="F156" t="s">
        <v>31</v>
      </c>
      <c r="G156" t="str">
        <f t="shared" si="113"/>
        <v>reservoir</v>
      </c>
      <c r="H156">
        <f t="shared" si="115"/>
        <v>3</v>
      </c>
      <c r="I156">
        <f t="shared" si="116"/>
        <v>6</v>
      </c>
      <c r="J156">
        <f t="shared" si="117"/>
        <v>1</v>
      </c>
      <c r="N156">
        <f t="shared" si="114"/>
        <v>0.01</v>
      </c>
      <c r="O156" s="155">
        <f t="shared" si="131"/>
        <v>17923352.274891298</v>
      </c>
      <c r="Q156" s="180" t="s">
        <v>404</v>
      </c>
      <c r="R156" s="150" t="s">
        <v>17</v>
      </c>
      <c r="S156" s="150" t="s">
        <v>60</v>
      </c>
      <c r="T156" s="150"/>
      <c r="U156" s="150"/>
      <c r="V156" s="150"/>
      <c r="W156" s="188">
        <f>INDEX(ALL_CAPACITY!$P$6:$X$84,MATCH($R156&amp;"."&amp;$S156,ALL_CAPACITY!$Z$6:$Z$84,0),MATCH(W$67,ALL_CAPACITY!$P$5:$X$5,0))</f>
        <v>43923.990978955298</v>
      </c>
      <c r="X156" s="188">
        <f>INDEX(ALL_CAPACITY!$P$6:$X$84,MATCH($R156&amp;"."&amp;$S156,ALL_CAPACITY!$Z$6:$Z$84,0),MATCH(X$67,ALL_CAPACITY!$P$5:$X$5,0))</f>
        <v>52044.520140000001</v>
      </c>
      <c r="Y156" s="188">
        <f>INDEX(ALL_CAPACITY!$P$6:$X$84,MATCH($R156&amp;"."&amp;$S156,ALL_CAPACITY!$Z$6:$Z$84,0),MATCH(Y$67,ALL_CAPACITY!$P$5:$X$5,0))</f>
        <v>51352.575464723202</v>
      </c>
      <c r="Z156" s="188">
        <f>INDEX(ALL_CAPACITY!$P$6:$X$84,MATCH($R156&amp;"."&amp;$S156,ALL_CAPACITY!$Z$6:$Z$84,0),MATCH(Z$67,ALL_CAPACITY!$P$5:$X$5,0))</f>
        <v>47623.093404199499</v>
      </c>
      <c r="AA156" s="188">
        <f>INDEX(ALL_CAPACITY!$P$6:$X$84,MATCH($R156&amp;"."&amp;$S156,ALL_CAPACITY!$Z$6:$Z$84,0),MATCH(AA$67,ALL_CAPACITY!$P$5:$X$5,0))</f>
        <v>41739.442986253198</v>
      </c>
      <c r="AB156" s="188">
        <f>INDEX(ALL_CAPACITY!$P$6:$X$84,MATCH($R156&amp;"."&amp;$S156,ALL_CAPACITY!$Z$6:$Z$84,0),MATCH(AB$67,ALL_CAPACITY!$P$5:$X$5,0))</f>
        <v>35862.127868081101</v>
      </c>
      <c r="AC156" s="188">
        <f>INDEX(ALL_CAPACITY!$P$6:$X$84,MATCH($R156&amp;"."&amp;$S156,ALL_CAPACITY!$Z$6:$Z$84,0),MATCH(AC$67,ALL_CAPACITY!$P$5:$X$5,0))</f>
        <v>35862.127868081101</v>
      </c>
      <c r="AD156" s="188">
        <f>INDEX(ALL_CAPACITY!$P$6:$X$84,MATCH($R156&amp;"."&amp;$S156,ALL_CAPACITY!$Z$6:$Z$84,0),MATCH(AD$67,ALL_CAPACITY!$P$5:$X$5,0))</f>
        <v>35862.127868081101</v>
      </c>
      <c r="AE156" s="188">
        <f>INDEX(ALL_CAPACITY!$P$6:$X$84,MATCH($R156&amp;"."&amp;$S156,ALL_CAPACITY!$Z$6:$Z$84,0),MATCH(AE$67,ALL_CAPACITY!$P$5:$X$5,0))</f>
        <v>35862.127868081101</v>
      </c>
      <c r="AF156" s="150"/>
      <c r="AG156" s="183"/>
      <c r="AJ156">
        <f>INDEX($AZ$2:$AZ$41,MATCH($S156,$AY$2:$AY$41,0))</f>
        <v>0.01</v>
      </c>
    </row>
    <row r="157" spans="2:36">
      <c r="B157" t="str">
        <f t="shared" si="110"/>
        <v>FR0</v>
      </c>
      <c r="C157">
        <f t="shared" si="111"/>
        <v>2040</v>
      </c>
      <c r="D157" t="str">
        <f t="shared" si="112"/>
        <v>HYD_RES</v>
      </c>
      <c r="E157" s="155">
        <f t="shared" si="130"/>
        <v>24614999.482328169</v>
      </c>
      <c r="F157" t="s">
        <v>31</v>
      </c>
      <c r="G157" t="str">
        <f t="shared" si="113"/>
        <v>reservoir</v>
      </c>
      <c r="H157">
        <f t="shared" si="115"/>
        <v>4</v>
      </c>
      <c r="I157">
        <f t="shared" si="116"/>
        <v>6</v>
      </c>
      <c r="J157">
        <f t="shared" si="117"/>
        <v>1</v>
      </c>
      <c r="N157">
        <f t="shared" si="114"/>
        <v>0.01</v>
      </c>
      <c r="O157" s="155">
        <f t="shared" si="131"/>
        <v>24863635.840735525</v>
      </c>
      <c r="Q157" s="180" t="s">
        <v>404</v>
      </c>
      <c r="R157" s="150" t="s">
        <v>17</v>
      </c>
      <c r="S157" s="150" t="s">
        <v>441</v>
      </c>
      <c r="T157" s="150"/>
      <c r="U157" s="150"/>
      <c r="V157" s="150"/>
      <c r="W157" s="188">
        <f>INDEX(ALL_CAPACITY!$P$6:$X$84,MATCH($R157&amp;"."&amp;$S157,ALL_CAPACITY!$Z$6:$Z$84,0),MATCH(W$67,ALL_CAPACITY!$P$5:$X$5,0))</f>
        <v>0</v>
      </c>
      <c r="X157" s="188">
        <f>INDEX(ALL_CAPACITY!$P$6:$X$84,MATCH($R157&amp;"."&amp;$S157,ALL_CAPACITY!$Z$6:$Z$84,0),MATCH(X$67,ALL_CAPACITY!$P$5:$X$5,0))</f>
        <v>0</v>
      </c>
      <c r="Y157" s="188">
        <f>INDEX(ALL_CAPACITY!$P$6:$X$84,MATCH($R157&amp;"."&amp;$S157,ALL_CAPACITY!$Z$6:$Z$84,0),MATCH(Y$67,ALL_CAPACITY!$P$5:$X$5,0))</f>
        <v>0</v>
      </c>
      <c r="Z157" s="188">
        <f>INDEX(ALL_CAPACITY!$P$6:$X$84,MATCH($R157&amp;"."&amp;$S157,ALL_CAPACITY!$Z$6:$Z$84,0),MATCH(Z$67,ALL_CAPACITY!$P$5:$X$5,0))</f>
        <v>0</v>
      </c>
      <c r="AA157" s="188">
        <f>INDEX(ALL_CAPACITY!$P$6:$X$84,MATCH($R157&amp;"."&amp;$S157,ALL_CAPACITY!$Z$6:$Z$84,0),MATCH(AA$67,ALL_CAPACITY!$P$5:$X$5,0))</f>
        <v>0</v>
      </c>
      <c r="AB157" s="188">
        <f>INDEX(ALL_CAPACITY!$P$6:$X$84,MATCH($R157&amp;"."&amp;$S157,ALL_CAPACITY!$Z$6:$Z$84,0),MATCH(AB$67,ALL_CAPACITY!$P$5:$X$5,0))</f>
        <v>0</v>
      </c>
      <c r="AC157" s="188">
        <f>INDEX(ALL_CAPACITY!$P$6:$X$84,MATCH($R157&amp;"."&amp;$S157,ALL_CAPACITY!$Z$6:$Z$84,0),MATCH(AC$67,ALL_CAPACITY!$P$5:$X$5,0))</f>
        <v>9350.9504850730955</v>
      </c>
      <c r="AD157" s="188">
        <f>INDEX(ALL_CAPACITY!$P$6:$X$84,MATCH($R157&amp;"."&amp;$S157,ALL_CAPACITY!$Z$6:$Z$84,0),MATCH(AD$67,ALL_CAPACITY!$P$5:$X$5,0))</f>
        <v>9219.3718435810006</v>
      </c>
      <c r="AE157" s="188">
        <f>INDEX(ALL_CAPACITY!$P$6:$X$84,MATCH($R157&amp;"."&amp;$S157,ALL_CAPACITY!$Z$6:$Z$84,0),MATCH(AE$67,ALL_CAPACITY!$P$5:$X$5,0))</f>
        <v>9199.5035090357997</v>
      </c>
      <c r="AF157" s="150"/>
      <c r="AG157" s="183"/>
      <c r="AJ157">
        <f>INDEX($AZ$2:$AZ$41,MATCH($S157,$AY$2:$AY$41,0))</f>
        <v>0.01</v>
      </c>
    </row>
    <row r="158" spans="2:36">
      <c r="B158" t="str">
        <f t="shared" si="110"/>
        <v>DE0</v>
      </c>
      <c r="C158">
        <f t="shared" si="111"/>
        <v>2045</v>
      </c>
      <c r="D158" t="str">
        <f t="shared" si="112"/>
        <v>HYD_RES</v>
      </c>
      <c r="E158" s="155">
        <f t="shared" si="130"/>
        <v>6092904.9877324281</v>
      </c>
      <c r="F158" t="s">
        <v>31</v>
      </c>
      <c r="G158" t="str">
        <f t="shared" si="113"/>
        <v>reservoir</v>
      </c>
      <c r="H158">
        <f t="shared" si="115"/>
        <v>1</v>
      </c>
      <c r="I158">
        <f t="shared" si="116"/>
        <v>7</v>
      </c>
      <c r="J158">
        <f t="shared" si="117"/>
        <v>1</v>
      </c>
      <c r="N158">
        <f t="shared" si="114"/>
        <v>0.01</v>
      </c>
      <c r="O158" s="155">
        <f t="shared" si="131"/>
        <v>6154449.4825580083</v>
      </c>
      <c r="Q158" s="195" t="s">
        <v>404</v>
      </c>
      <c r="R158" s="150" t="s">
        <v>17</v>
      </c>
      <c r="S158" s="150" t="s">
        <v>468</v>
      </c>
      <c r="T158" s="150"/>
      <c r="U158" s="150"/>
      <c r="V158" s="150"/>
      <c r="W158" s="196">
        <f t="shared" ref="W158:AE158" si="156">SUM(W156:W157)</f>
        <v>43923.990978955298</v>
      </c>
      <c r="X158" s="196">
        <f t="shared" si="156"/>
        <v>52044.520140000001</v>
      </c>
      <c r="Y158" s="196">
        <f t="shared" si="156"/>
        <v>51352.575464723202</v>
      </c>
      <c r="Z158" s="196">
        <f t="shared" si="156"/>
        <v>47623.093404199499</v>
      </c>
      <c r="AA158" s="196">
        <f t="shared" si="156"/>
        <v>41739.442986253198</v>
      </c>
      <c r="AB158" s="196">
        <f t="shared" si="156"/>
        <v>35862.127868081101</v>
      </c>
      <c r="AC158" s="196">
        <f t="shared" si="156"/>
        <v>45213.078353154197</v>
      </c>
      <c r="AD158" s="196">
        <f t="shared" si="156"/>
        <v>45081.499711662102</v>
      </c>
      <c r="AE158" s="196">
        <f t="shared" si="156"/>
        <v>45061.631377116901</v>
      </c>
      <c r="AF158" s="150"/>
      <c r="AG158" s="183"/>
      <c r="AJ158">
        <f>INDEX($AZ$2:$AZ$41,MATCH($S158,$AY$2:$AY$41,0))</f>
        <v>0.01</v>
      </c>
    </row>
    <row r="159" spans="2:36">
      <c r="B159" t="str">
        <f t="shared" si="110"/>
        <v>IT0</v>
      </c>
      <c r="C159">
        <f t="shared" si="111"/>
        <v>2045</v>
      </c>
      <c r="D159" t="str">
        <f t="shared" si="112"/>
        <v>HYD_RES</v>
      </c>
      <c r="E159" s="155">
        <f t="shared" si="130"/>
        <v>30845039.30005461</v>
      </c>
      <c r="F159" t="s">
        <v>31</v>
      </c>
      <c r="G159" t="str">
        <f t="shared" si="113"/>
        <v>reservoir</v>
      </c>
      <c r="H159">
        <f t="shared" si="115"/>
        <v>2</v>
      </c>
      <c r="I159">
        <f t="shared" si="116"/>
        <v>7</v>
      </c>
      <c r="J159">
        <f t="shared" si="117"/>
        <v>1</v>
      </c>
      <c r="N159">
        <f t="shared" si="114"/>
        <v>0.01</v>
      </c>
      <c r="O159" s="155">
        <f t="shared" si="131"/>
        <v>31156605.353590515</v>
      </c>
      <c r="Q159" s="180" t="s">
        <v>398</v>
      </c>
      <c r="R159" s="150"/>
      <c r="S159" s="150"/>
      <c r="T159" s="150"/>
      <c r="U159" s="150"/>
      <c r="V159" s="150"/>
      <c r="W159" s="188">
        <f>W155/W158</f>
        <v>0</v>
      </c>
      <c r="X159" s="188">
        <f t="shared" ref="X159" si="157">X155/X158</f>
        <v>2119.2036454709059</v>
      </c>
      <c r="Y159" s="188">
        <f t="shared" ref="Y159" si="158">Y155/Y158</f>
        <v>2456.8604115040962</v>
      </c>
      <c r="Z159" s="188">
        <f t="shared" ref="Z159" si="159">Z155/Z158</f>
        <v>2608.9369295213774</v>
      </c>
      <c r="AA159" s="188">
        <f t="shared" ref="AA159" si="160">AA155/AA158</f>
        <v>2933.6076432985396</v>
      </c>
      <c r="AB159" s="188">
        <f t="shared" ref="AB159" si="161">AB155/AB158</f>
        <v>3802.8058841395846</v>
      </c>
      <c r="AC159" s="188">
        <f t="shared" ref="AC159" si="162">AC155/AC158</f>
        <v>3707.4653588031774</v>
      </c>
      <c r="AD159" s="188">
        <f t="shared" ref="AD159" si="163">AD155/AD158</f>
        <v>3255.1095720999847</v>
      </c>
      <c r="AE159" s="188">
        <f t="shared" ref="AE159" si="164">AE155/AE158</f>
        <v>3189.7097049120689</v>
      </c>
      <c r="AF159" s="150"/>
      <c r="AG159" s="183"/>
    </row>
    <row r="160" spans="2:36">
      <c r="B160" t="str">
        <f t="shared" si="110"/>
        <v>AT0</v>
      </c>
      <c r="C160">
        <f t="shared" si="111"/>
        <v>2045</v>
      </c>
      <c r="D160" t="str">
        <f t="shared" si="112"/>
        <v>HYD_RES</v>
      </c>
      <c r="E160" s="155">
        <f t="shared" si="130"/>
        <v>17753828.588872984</v>
      </c>
      <c r="F160" t="s">
        <v>31</v>
      </c>
      <c r="G160" t="str">
        <f t="shared" si="113"/>
        <v>reservoir</v>
      </c>
      <c r="H160">
        <f t="shared" si="115"/>
        <v>3</v>
      </c>
      <c r="I160">
        <f t="shared" si="116"/>
        <v>7</v>
      </c>
      <c r="J160">
        <f t="shared" si="117"/>
        <v>1</v>
      </c>
      <c r="N160">
        <f t="shared" si="114"/>
        <v>0.01</v>
      </c>
      <c r="O160" s="155">
        <f t="shared" si="131"/>
        <v>17933160.190780792</v>
      </c>
      <c r="Q160" s="180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83"/>
    </row>
    <row r="161" spans="2:36">
      <c r="B161" t="str">
        <f t="shared" si="110"/>
        <v>FR0</v>
      </c>
      <c r="C161">
        <f t="shared" si="111"/>
        <v>2045</v>
      </c>
      <c r="D161" t="str">
        <f t="shared" si="112"/>
        <v>HYD_RES</v>
      </c>
      <c r="E161" s="155">
        <f t="shared" si="130"/>
        <v>27063811.428855918</v>
      </c>
      <c r="F161" t="s">
        <v>31</v>
      </c>
      <c r="G161" t="str">
        <f t="shared" si="113"/>
        <v>reservoir</v>
      </c>
      <c r="H161">
        <f t="shared" si="115"/>
        <v>4</v>
      </c>
      <c r="I161">
        <f t="shared" si="116"/>
        <v>7</v>
      </c>
      <c r="J161">
        <f t="shared" si="117"/>
        <v>1</v>
      </c>
      <c r="N161">
        <f t="shared" si="114"/>
        <v>0.01</v>
      </c>
      <c r="O161" s="155">
        <f t="shared" si="131"/>
        <v>27337183.261470623</v>
      </c>
      <c r="Q161" s="180"/>
      <c r="R161" s="150" t="s">
        <v>16</v>
      </c>
      <c r="S161" s="150" t="s">
        <v>468</v>
      </c>
      <c r="T161" s="150"/>
      <c r="U161" s="150"/>
      <c r="V161" s="150"/>
      <c r="W161" s="189">
        <f>SUMIFS($AS$4:$AS$69,$AP$4:$AP$69,$S161,$AR$4:$AR$69,$R161)</f>
        <v>0</v>
      </c>
      <c r="X161" s="188">
        <f t="shared" ref="X161:AE161" si="165">SUMIFS(X$256:X$302,$S$256:$S$302,$R161,$R$256:$R$302,$S161)*1000</f>
        <v>25752510.087823</v>
      </c>
      <c r="Y161" s="188">
        <f t="shared" si="165"/>
        <v>22325761.428910699</v>
      </c>
      <c r="Z161" s="188">
        <f t="shared" si="165"/>
        <v>23670488.683692299</v>
      </c>
      <c r="AA161" s="188">
        <f t="shared" si="165"/>
        <v>12047482.3587442</v>
      </c>
      <c r="AB161" s="188">
        <f t="shared" si="165"/>
        <v>10042349.3253837</v>
      </c>
      <c r="AC161" s="188">
        <f t="shared" si="165"/>
        <v>53974864.286412902</v>
      </c>
      <c r="AD161" s="188">
        <f t="shared" si="165"/>
        <v>55879379.236047305</v>
      </c>
      <c r="AE161" s="188">
        <f t="shared" si="165"/>
        <v>39282512.439586997</v>
      </c>
      <c r="AF161" s="150"/>
      <c r="AG161" s="183"/>
      <c r="AH161" t="str">
        <f t="shared" ref="AH161" si="166">R161&amp;"."&amp;S161</f>
        <v>FR0.GAS_TOT</v>
      </c>
      <c r="AJ161">
        <f>INDEX($AZ$2:$AZ$41,MATCH($S161,$AY$2:$AY$41,0))</f>
        <v>0.01</v>
      </c>
    </row>
    <row r="162" spans="2:36">
      <c r="B162" t="str">
        <f t="shared" si="110"/>
        <v>DE0</v>
      </c>
      <c r="C162">
        <f t="shared" si="111"/>
        <v>2050</v>
      </c>
      <c r="D162" t="str">
        <f t="shared" si="112"/>
        <v>HYD_RES</v>
      </c>
      <c r="E162" s="155">
        <f t="shared" si="130"/>
        <v>6648233.5073464839</v>
      </c>
      <c r="F162" t="s">
        <v>31</v>
      </c>
      <c r="G162" t="str">
        <f t="shared" si="113"/>
        <v>reservoir</v>
      </c>
      <c r="H162">
        <f t="shared" si="115"/>
        <v>1</v>
      </c>
      <c r="I162">
        <f t="shared" si="116"/>
        <v>8</v>
      </c>
      <c r="J162">
        <f t="shared" si="117"/>
        <v>1</v>
      </c>
      <c r="N162">
        <f t="shared" si="114"/>
        <v>0.01</v>
      </c>
      <c r="O162" s="155">
        <f t="shared" si="131"/>
        <v>6715387.3811580651</v>
      </c>
      <c r="Q162" s="180" t="s">
        <v>404</v>
      </c>
      <c r="R162" s="150" t="s">
        <v>16</v>
      </c>
      <c r="S162" s="150" t="s">
        <v>60</v>
      </c>
      <c r="T162" s="150"/>
      <c r="U162" s="150"/>
      <c r="V162" s="150"/>
      <c r="W162" s="188">
        <f>INDEX(ALL_CAPACITY!$P$6:$X$84,MATCH($R162&amp;"."&amp;$S162,ALL_CAPACITY!$Z$6:$Z$84,0),MATCH(W$67,ALL_CAPACITY!$P$5:$X$5,0))</f>
        <v>10236</v>
      </c>
      <c r="X162" s="188">
        <f>INDEX(ALL_CAPACITY!$P$6:$X$84,MATCH($R162&amp;"."&amp;$S162,ALL_CAPACITY!$Z$6:$Z$84,0),MATCH(X$67,ALL_CAPACITY!$P$5:$X$5,0))</f>
        <v>9646.1954399999995</v>
      </c>
      <c r="Y162" s="188">
        <f>INDEX(ALL_CAPACITY!$P$6:$X$84,MATCH($R162&amp;"."&amp;$S162,ALL_CAPACITY!$Z$6:$Z$84,0),MATCH(Y$67,ALL_CAPACITY!$P$5:$X$5,0))</f>
        <v>9180.9182541502105</v>
      </c>
      <c r="Z162" s="188">
        <f>INDEX(ALL_CAPACITY!$P$6:$X$84,MATCH($R162&amp;"."&amp;$S162,ALL_CAPACITY!$Z$6:$Z$84,0),MATCH(Z$67,ALL_CAPACITY!$P$5:$X$5,0))</f>
        <v>8902.3027766084197</v>
      </c>
      <c r="AA162" s="188">
        <f>INDEX(ALL_CAPACITY!$P$6:$X$84,MATCH($R162&amp;"."&amp;$S162,ALL_CAPACITY!$Z$6:$Z$84,0),MATCH(AA$67,ALL_CAPACITY!$P$5:$X$5,0))</f>
        <v>8343.6593825100408</v>
      </c>
      <c r="AB162" s="188">
        <f>INDEX(ALL_CAPACITY!$P$6:$X$84,MATCH($R162&amp;"."&amp;$S162,ALL_CAPACITY!$Z$6:$Z$84,0),MATCH(AB$67,ALL_CAPACITY!$P$5:$X$5,0))</f>
        <v>8343.6593825100408</v>
      </c>
      <c r="AC162" s="188">
        <f>INDEX(ALL_CAPACITY!$P$6:$X$84,MATCH($R162&amp;"."&amp;$S162,ALL_CAPACITY!$Z$6:$Z$84,0),MATCH(AC$67,ALL_CAPACITY!$P$5:$X$5,0))</f>
        <v>8343.6593825100408</v>
      </c>
      <c r="AD162" s="188">
        <f>INDEX(ALL_CAPACITY!$P$6:$X$84,MATCH($R162&amp;"."&amp;$S162,ALL_CAPACITY!$Z$6:$Z$84,0),MATCH(AD$67,ALL_CAPACITY!$P$5:$X$5,0))</f>
        <v>8343.6593825100408</v>
      </c>
      <c r="AE162" s="188">
        <f>INDEX(ALL_CAPACITY!$P$6:$X$84,MATCH($R162&amp;"."&amp;$S162,ALL_CAPACITY!$Z$6:$Z$84,0),MATCH(AE$67,ALL_CAPACITY!$P$5:$X$5,0))</f>
        <v>8343.6593825100408</v>
      </c>
      <c r="AF162" s="150"/>
      <c r="AG162" s="183"/>
      <c r="AJ162">
        <f>INDEX($AZ$2:$AZ$41,MATCH($S162,$AY$2:$AY$41,0))</f>
        <v>0.01</v>
      </c>
    </row>
    <row r="163" spans="2:36">
      <c r="B163" t="str">
        <f t="shared" si="110"/>
        <v>IT0</v>
      </c>
      <c r="C163">
        <f t="shared" si="111"/>
        <v>2050</v>
      </c>
      <c r="D163" t="str">
        <f t="shared" si="112"/>
        <v>HYD_RES</v>
      </c>
      <c r="E163" s="155">
        <f t="shared" si="130"/>
        <v>31318942.552744113</v>
      </c>
      <c r="F163" t="s">
        <v>31</v>
      </c>
      <c r="G163" t="str">
        <f t="shared" si="113"/>
        <v>reservoir</v>
      </c>
      <c r="H163">
        <f t="shared" si="115"/>
        <v>2</v>
      </c>
      <c r="I163">
        <f t="shared" si="116"/>
        <v>8</v>
      </c>
      <c r="J163">
        <f t="shared" si="117"/>
        <v>1</v>
      </c>
      <c r="N163">
        <f t="shared" si="114"/>
        <v>0.01</v>
      </c>
      <c r="O163" s="155">
        <f t="shared" si="131"/>
        <v>31635295.507822335</v>
      </c>
      <c r="Q163" s="180" t="s">
        <v>404</v>
      </c>
      <c r="R163" s="150" t="s">
        <v>16</v>
      </c>
      <c r="S163" s="150" t="s">
        <v>441</v>
      </c>
      <c r="T163" s="150"/>
      <c r="U163" s="150"/>
      <c r="V163" s="150"/>
      <c r="W163" s="188">
        <f>INDEX(ALL_CAPACITY!$P$6:$X$84,MATCH($R163&amp;"."&amp;$S163,ALL_CAPACITY!$Z$6:$Z$84,0),MATCH(W$67,ALL_CAPACITY!$P$5:$X$5,0))</f>
        <v>0</v>
      </c>
      <c r="X163" s="188">
        <f>INDEX(ALL_CAPACITY!$P$6:$X$84,MATCH($R163&amp;"."&amp;$S163,ALL_CAPACITY!$Z$6:$Z$84,0),MATCH(X$67,ALL_CAPACITY!$P$5:$X$5,0))</f>
        <v>0</v>
      </c>
      <c r="Y163" s="188">
        <f>INDEX(ALL_CAPACITY!$P$6:$X$84,MATCH($R163&amp;"."&amp;$S163,ALL_CAPACITY!$Z$6:$Z$84,0),MATCH(Y$67,ALL_CAPACITY!$P$5:$X$5,0))</f>
        <v>0</v>
      </c>
      <c r="Z163" s="188">
        <f>INDEX(ALL_CAPACITY!$P$6:$X$84,MATCH($R163&amp;"."&amp;$S163,ALL_CAPACITY!$Z$6:$Z$84,0),MATCH(Z$67,ALL_CAPACITY!$P$5:$X$5,0))</f>
        <v>0</v>
      </c>
      <c r="AA163" s="188">
        <f>INDEX(ALL_CAPACITY!$P$6:$X$84,MATCH($R163&amp;"."&amp;$S163,ALL_CAPACITY!$Z$6:$Z$84,0),MATCH(AA$67,ALL_CAPACITY!$P$5:$X$5,0))</f>
        <v>0</v>
      </c>
      <c r="AB163" s="188">
        <f>INDEX(ALL_CAPACITY!$P$6:$X$84,MATCH($R163&amp;"."&amp;$S163,ALL_CAPACITY!$Z$6:$Z$84,0),MATCH(AB$67,ALL_CAPACITY!$P$5:$X$5,0))</f>
        <v>4923.6136319191592</v>
      </c>
      <c r="AC163" s="188">
        <f>INDEX(ALL_CAPACITY!$P$6:$X$84,MATCH($R163&amp;"."&amp;$S163,ALL_CAPACITY!$Z$6:$Z$84,0),MATCH(AC$67,ALL_CAPACITY!$P$5:$X$5,0))</f>
        <v>14849.69255299066</v>
      </c>
      <c r="AD163" s="188">
        <f>INDEX(ALL_CAPACITY!$P$6:$X$84,MATCH($R163&amp;"."&amp;$S163,ALL_CAPACITY!$Z$6:$Z$84,0),MATCH(AD$67,ALL_CAPACITY!$P$5:$X$5,0))</f>
        <v>18916.099536294561</v>
      </c>
      <c r="AE163" s="188">
        <f>INDEX(ALL_CAPACITY!$P$6:$X$84,MATCH($R163&amp;"."&amp;$S163,ALL_CAPACITY!$Z$6:$Z$84,0),MATCH(AE$67,ALL_CAPACITY!$P$5:$X$5,0))</f>
        <v>26580.733478190159</v>
      </c>
      <c r="AF163" s="150"/>
      <c r="AG163" s="183"/>
      <c r="AJ163">
        <f>INDEX($AZ$2:$AZ$41,MATCH($S163,$AY$2:$AY$41,0))</f>
        <v>0.01</v>
      </c>
    </row>
    <row r="164" spans="2:36">
      <c r="B164" t="str">
        <f t="shared" si="110"/>
        <v>AT0</v>
      </c>
      <c r="C164">
        <f t="shared" si="111"/>
        <v>2050</v>
      </c>
      <c r="D164" t="str">
        <f t="shared" si="112"/>
        <v>HYD_RES</v>
      </c>
      <c r="E164" s="155">
        <f t="shared" si="130"/>
        <v>18105633.593002651</v>
      </c>
      <c r="F164" t="s">
        <v>31</v>
      </c>
      <c r="G164" t="str">
        <f t="shared" si="113"/>
        <v>reservoir</v>
      </c>
      <c r="H164">
        <f t="shared" si="115"/>
        <v>3</v>
      </c>
      <c r="I164">
        <f t="shared" si="116"/>
        <v>8</v>
      </c>
      <c r="J164">
        <f t="shared" si="117"/>
        <v>1</v>
      </c>
      <c r="N164">
        <f t="shared" si="114"/>
        <v>0.01</v>
      </c>
      <c r="O164" s="155">
        <f t="shared" si="131"/>
        <v>18288518.780810758</v>
      </c>
      <c r="Q164" s="195" t="s">
        <v>404</v>
      </c>
      <c r="R164" s="150" t="s">
        <v>16</v>
      </c>
      <c r="S164" s="150" t="s">
        <v>468</v>
      </c>
      <c r="T164" s="150"/>
      <c r="U164" s="150"/>
      <c r="V164" s="150"/>
      <c r="W164" s="196">
        <f t="shared" ref="W164:AE164" si="167">SUM(W162:W163)</f>
        <v>10236</v>
      </c>
      <c r="X164" s="196">
        <f t="shared" si="167"/>
        <v>9646.1954399999995</v>
      </c>
      <c r="Y164" s="196">
        <f t="shared" si="167"/>
        <v>9180.9182541502105</v>
      </c>
      <c r="Z164" s="196">
        <f t="shared" si="167"/>
        <v>8902.3027766084197</v>
      </c>
      <c r="AA164" s="196">
        <f t="shared" si="167"/>
        <v>8343.6593825100408</v>
      </c>
      <c r="AB164" s="196">
        <f t="shared" si="167"/>
        <v>13267.2730144292</v>
      </c>
      <c r="AC164" s="196">
        <f t="shared" si="167"/>
        <v>23193.351935500701</v>
      </c>
      <c r="AD164" s="196">
        <f t="shared" si="167"/>
        <v>27259.758918804604</v>
      </c>
      <c r="AE164" s="196">
        <f t="shared" si="167"/>
        <v>34924.392860700202</v>
      </c>
      <c r="AF164" s="150"/>
      <c r="AG164" s="183"/>
      <c r="AJ164">
        <f>INDEX($AZ$2:$AZ$41,MATCH($S164,$AY$2:$AY$41,0))</f>
        <v>0.01</v>
      </c>
    </row>
    <row r="165" spans="2:36">
      <c r="B165" t="str">
        <f t="shared" si="110"/>
        <v>FR0</v>
      </c>
      <c r="C165">
        <f t="shared" si="111"/>
        <v>2050</v>
      </c>
      <c r="D165" t="str">
        <f t="shared" si="112"/>
        <v>HYD_RES</v>
      </c>
      <c r="E165" s="155">
        <f t="shared" si="130"/>
        <v>29669421.623563342</v>
      </c>
      <c r="F165" t="s">
        <v>31</v>
      </c>
      <c r="G165" t="str">
        <f t="shared" si="113"/>
        <v>reservoir</v>
      </c>
      <c r="H165">
        <f t="shared" si="115"/>
        <v>4</v>
      </c>
      <c r="I165">
        <f t="shared" si="116"/>
        <v>8</v>
      </c>
      <c r="J165">
        <f t="shared" si="117"/>
        <v>1</v>
      </c>
      <c r="N165">
        <f t="shared" si="114"/>
        <v>0.01</v>
      </c>
      <c r="O165" s="155">
        <f t="shared" si="131"/>
        <v>29969112.751074083</v>
      </c>
      <c r="Q165" s="180" t="s">
        <v>398</v>
      </c>
      <c r="R165" s="150"/>
      <c r="S165" s="150"/>
      <c r="T165" s="150"/>
      <c r="U165" s="150"/>
      <c r="V165" s="150"/>
      <c r="W165" s="188">
        <f>W161/W164</f>
        <v>0</v>
      </c>
      <c r="X165" s="188">
        <f t="shared" ref="X165" si="168">X161/X164</f>
        <v>2669.7064400162103</v>
      </c>
      <c r="Y165" s="188">
        <f t="shared" ref="Y165" si="169">Y161/Y164</f>
        <v>2431.7569126398002</v>
      </c>
      <c r="Z165" s="188">
        <f t="shared" ref="Z165" si="170">Z161/Z164</f>
        <v>2658.9175045684337</v>
      </c>
      <c r="AA165" s="188">
        <f t="shared" ref="AA165" si="171">AA161/AA164</f>
        <v>1443.9086983821637</v>
      </c>
      <c r="AB165" s="188">
        <f t="shared" ref="AB165" si="172">AB161/AB164</f>
        <v>756.92640940318768</v>
      </c>
      <c r="AC165" s="188">
        <f t="shared" ref="AC165" si="173">AC161/AC164</f>
        <v>2327.1696319063199</v>
      </c>
      <c r="AD165" s="188">
        <f t="shared" ref="AD165" si="174">AD161/AD164</f>
        <v>2049.8853053869093</v>
      </c>
      <c r="AE165" s="188">
        <f t="shared" ref="AE165" si="175">AE161/AE164</f>
        <v>1124.7872682073425</v>
      </c>
      <c r="AF165" s="150"/>
      <c r="AG165" s="183"/>
    </row>
    <row r="166" spans="2:36">
      <c r="B166" t="str">
        <f t="shared" ref="B166:B197" si="176">INDEX(H$125:H$132,H166)</f>
        <v>DE0</v>
      </c>
      <c r="C166">
        <f t="shared" ref="C166:C197" si="177">INDEX(I$125:I$132,I166)</f>
        <v>2015</v>
      </c>
      <c r="D166" t="str">
        <f t="shared" ref="D166:D197" si="178">INDEX(J$125:J$132,J166)</f>
        <v>HYD_ROR</v>
      </c>
      <c r="E166" s="155">
        <f t="shared" si="130"/>
        <v>18485224.299009111</v>
      </c>
      <c r="F166" t="s">
        <v>31</v>
      </c>
      <c r="G166" t="str">
        <f t="shared" ref="G166:G197" si="179">INDEX(K$125:K$132,J166)</f>
        <v>run_of_river</v>
      </c>
      <c r="H166">
        <f t="shared" si="115"/>
        <v>1</v>
      </c>
      <c r="I166">
        <f t="shared" si="116"/>
        <v>1</v>
      </c>
      <c r="J166">
        <f t="shared" si="117"/>
        <v>2</v>
      </c>
      <c r="N166">
        <f t="shared" si="114"/>
        <v>0.01</v>
      </c>
      <c r="O166" s="155">
        <f t="shared" si="131"/>
        <v>18671943.73637284</v>
      </c>
      <c r="Q166" s="180"/>
      <c r="R166" s="150"/>
      <c r="S166" s="150"/>
      <c r="T166" s="150"/>
      <c r="U166" s="150"/>
      <c r="V166" s="150"/>
      <c r="W166" s="150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83"/>
    </row>
    <row r="167" spans="2:36">
      <c r="B167" t="str">
        <f t="shared" si="176"/>
        <v>IT0</v>
      </c>
      <c r="C167">
        <f t="shared" si="177"/>
        <v>2015</v>
      </c>
      <c r="D167" t="str">
        <f t="shared" si="178"/>
        <v>HYD_ROR</v>
      </c>
      <c r="E167" s="155">
        <f t="shared" si="130"/>
        <v>20808303.065750469</v>
      </c>
      <c r="F167" t="s">
        <v>31</v>
      </c>
      <c r="G167" t="str">
        <f t="shared" si="179"/>
        <v>run_of_river</v>
      </c>
      <c r="H167">
        <f t="shared" ref="H167:H198" si="180">IF(H166=$H$124,1,H166+1)</f>
        <v>2</v>
      </c>
      <c r="I167">
        <f t="shared" ref="I167:I198" si="181">IF(H167=1,IF(I166=$I$124,1,I166+1),I166)</f>
        <v>1</v>
      </c>
      <c r="J167">
        <f t="shared" ref="J167:J198" si="182">IF(AND(I167=1,I166&gt;1),IF(J166=$J$124,1,J166+1),J166)</f>
        <v>2</v>
      </c>
      <c r="N167">
        <f t="shared" si="114"/>
        <v>0.01</v>
      </c>
      <c r="O167" s="155">
        <f t="shared" si="131"/>
        <v>21018487.945202492</v>
      </c>
      <c r="Q167" s="180"/>
      <c r="R167" s="150" t="s">
        <v>12</v>
      </c>
      <c r="S167" s="150" t="s">
        <v>468</v>
      </c>
      <c r="T167" s="150"/>
      <c r="U167" s="150"/>
      <c r="V167" s="150"/>
      <c r="W167" s="189">
        <f>SUMIFS($AS$4:$AS$69,$AP$4:$AP$69,$S167,$AR$4:$AR$69,$R167)</f>
        <v>0</v>
      </c>
      <c r="X167" s="188">
        <f t="shared" ref="X167:AE167" si="183">SUMIFS(X$256:X$302,$S$256:$S$302,$R167,$R$256:$R$302,$S167)*1000</f>
        <v>6773891.0056218803</v>
      </c>
      <c r="Y167" s="188">
        <f t="shared" si="183"/>
        <v>14077578.124885</v>
      </c>
      <c r="Z167" s="188">
        <f t="shared" si="183"/>
        <v>13564969.1687249</v>
      </c>
      <c r="AA167" s="188">
        <f t="shared" si="183"/>
        <v>14589336.481603699</v>
      </c>
      <c r="AB167" s="188">
        <f t="shared" si="183"/>
        <v>19402596.273071699</v>
      </c>
      <c r="AC167" s="188">
        <f t="shared" si="183"/>
        <v>19936604.597157899</v>
      </c>
      <c r="AD167" s="188">
        <f t="shared" si="183"/>
        <v>19782744.635283299</v>
      </c>
      <c r="AE167" s="188">
        <f t="shared" si="183"/>
        <v>17463781.6549991</v>
      </c>
      <c r="AF167" s="150"/>
      <c r="AG167" s="183"/>
      <c r="AH167" t="str">
        <f t="shared" ref="AH167" si="184">R167&amp;"."&amp;S167</f>
        <v>AT0.GAS_TOT</v>
      </c>
      <c r="AJ167">
        <f>INDEX($AZ$2:$AZ$41,MATCH($S167,$AY$2:$AY$41,0))</f>
        <v>0.01</v>
      </c>
    </row>
    <row r="168" spans="2:36">
      <c r="B168" t="str">
        <f t="shared" si="176"/>
        <v>AT0</v>
      </c>
      <c r="C168">
        <f t="shared" si="177"/>
        <v>2015</v>
      </c>
      <c r="D168" t="str">
        <f t="shared" si="178"/>
        <v>HYD_ROR</v>
      </c>
      <c r="E168" s="155">
        <f t="shared" si="130"/>
        <v>25481082.630432401</v>
      </c>
      <c r="F168" t="s">
        <v>31</v>
      </c>
      <c r="G168" t="str">
        <f t="shared" si="179"/>
        <v>run_of_river</v>
      </c>
      <c r="H168">
        <f t="shared" si="180"/>
        <v>3</v>
      </c>
      <c r="I168">
        <f t="shared" si="181"/>
        <v>1</v>
      </c>
      <c r="J168">
        <f t="shared" si="182"/>
        <v>2</v>
      </c>
      <c r="N168">
        <f t="shared" si="114"/>
        <v>0.01</v>
      </c>
      <c r="O168" s="155">
        <f t="shared" si="131"/>
        <v>25738467.303467073</v>
      </c>
      <c r="Q168" s="180" t="s">
        <v>404</v>
      </c>
      <c r="R168" s="150" t="s">
        <v>12</v>
      </c>
      <c r="S168" s="150" t="s">
        <v>60</v>
      </c>
      <c r="T168" s="150"/>
      <c r="U168" s="150"/>
      <c r="V168" s="150"/>
      <c r="W168" s="188">
        <f>INDEX(ALL_CAPACITY!$P$6:$X$84,MATCH($R168&amp;"."&amp;$S168,ALL_CAPACITY!$Z$6:$Z$84,0),MATCH(W$67,ALL_CAPACITY!$P$5:$X$5,0))</f>
        <v>3996.3</v>
      </c>
      <c r="X168" s="188">
        <f>INDEX(ALL_CAPACITY!$P$6:$X$84,MATCH($R168&amp;"."&amp;$S168,ALL_CAPACITY!$Z$6:$Z$84,0),MATCH(X$67,ALL_CAPACITY!$P$5:$X$5,0))</f>
        <v>4073.8726499999998</v>
      </c>
      <c r="Y168" s="188">
        <f>INDEX(ALL_CAPACITY!$P$6:$X$84,MATCH($R168&amp;"."&amp;$S168,ALL_CAPACITY!$Z$6:$Z$84,0),MATCH(Y$67,ALL_CAPACITY!$P$5:$X$5,0))</f>
        <v>3527.0057198664999</v>
      </c>
      <c r="Z168" s="188">
        <f>INDEX(ALL_CAPACITY!$P$6:$X$84,MATCH($R168&amp;"."&amp;$S168,ALL_CAPACITY!$Z$6:$Z$84,0),MATCH(Z$67,ALL_CAPACITY!$P$5:$X$5,0))</f>
        <v>3194.6868892017701</v>
      </c>
      <c r="AA168" s="188">
        <f>INDEX(ALL_CAPACITY!$P$6:$X$84,MATCH($R168&amp;"."&amp;$S168,ALL_CAPACITY!$Z$6:$Z$84,0),MATCH(AA$67,ALL_CAPACITY!$P$5:$X$5,0))</f>
        <v>2902.3660922104</v>
      </c>
      <c r="AB168" s="188">
        <f>INDEX(ALL_CAPACITY!$P$6:$X$84,MATCH($R168&amp;"."&amp;$S168,ALL_CAPACITY!$Z$6:$Z$84,0),MATCH(AB$67,ALL_CAPACITY!$P$5:$X$5,0))</f>
        <v>3114.7595411872298</v>
      </c>
      <c r="AC168" s="188">
        <f>INDEX(ALL_CAPACITY!$P$6:$X$84,MATCH($R168&amp;"."&amp;$S168,ALL_CAPACITY!$Z$6:$Z$84,0),MATCH(AC$67,ALL_CAPACITY!$P$5:$X$5,0))</f>
        <v>3045.50220700512</v>
      </c>
      <c r="AD168" s="188">
        <f>INDEX(ALL_CAPACITY!$P$6:$X$84,MATCH($R168&amp;"."&amp;$S168,ALL_CAPACITY!$Z$6:$Z$84,0),MATCH(AD$67,ALL_CAPACITY!$P$5:$X$5,0))</f>
        <v>3062.8146136684099</v>
      </c>
      <c r="AE168" s="188">
        <f>INDEX(ALL_CAPACITY!$P$6:$X$84,MATCH($R168&amp;"."&amp;$S168,ALL_CAPACITY!$Z$6:$Z$84,0),MATCH(AE$67,ALL_CAPACITY!$P$5:$X$5,0))</f>
        <v>2850.4510158637399</v>
      </c>
      <c r="AF168" s="150"/>
      <c r="AG168" s="183"/>
      <c r="AJ168">
        <f>INDEX($AZ$2:$AZ$41,MATCH($S168,$AY$2:$AY$41,0))</f>
        <v>0.01</v>
      </c>
    </row>
    <row r="169" spans="2:36">
      <c r="B169" t="str">
        <f t="shared" si="176"/>
        <v>FR0</v>
      </c>
      <c r="C169">
        <f t="shared" si="177"/>
        <v>2015</v>
      </c>
      <c r="D169" t="str">
        <f t="shared" si="178"/>
        <v>HYD_ROR</v>
      </c>
      <c r="E169" s="155">
        <f t="shared" si="130"/>
        <v>42151676.746566556</v>
      </c>
      <c r="F169" t="s">
        <v>31</v>
      </c>
      <c r="G169" t="str">
        <f t="shared" si="179"/>
        <v>run_of_river</v>
      </c>
      <c r="H169">
        <f t="shared" si="180"/>
        <v>4</v>
      </c>
      <c r="I169">
        <f t="shared" si="181"/>
        <v>1</v>
      </c>
      <c r="J169">
        <f t="shared" si="182"/>
        <v>2</v>
      </c>
      <c r="N169">
        <f t="shared" si="114"/>
        <v>0.01</v>
      </c>
      <c r="O169" s="155">
        <f t="shared" si="131"/>
        <v>42577451.259158142</v>
      </c>
      <c r="Q169" s="180" t="s">
        <v>404</v>
      </c>
      <c r="R169" s="150" t="s">
        <v>12</v>
      </c>
      <c r="S169" s="150" t="s">
        <v>441</v>
      </c>
      <c r="T169" s="150"/>
      <c r="U169" s="150"/>
      <c r="V169" s="150"/>
      <c r="W169" s="188">
        <f>INDEX(ALL_CAPACITY!$P$6:$X$84,MATCH($R169&amp;"."&amp;$S169,ALL_CAPACITY!$Z$6:$Z$84,0),MATCH(W$67,ALL_CAPACITY!$P$5:$X$5,0))</f>
        <v>0</v>
      </c>
      <c r="X169" s="188">
        <f>INDEX(ALL_CAPACITY!$P$6:$X$84,MATCH($R169&amp;"."&amp;$S169,ALL_CAPACITY!$Z$6:$Z$84,0),MATCH(X$67,ALL_CAPACITY!$P$5:$X$5,0))</f>
        <v>0</v>
      </c>
      <c r="Y169" s="188">
        <f>INDEX(ALL_CAPACITY!$P$6:$X$84,MATCH($R169&amp;"."&amp;$S169,ALL_CAPACITY!$Z$6:$Z$84,0),MATCH(Y$67,ALL_CAPACITY!$P$5:$X$5,0))</f>
        <v>0</v>
      </c>
      <c r="Z169" s="188">
        <f>INDEX(ALL_CAPACITY!$P$6:$X$84,MATCH($R169&amp;"."&amp;$S169,ALL_CAPACITY!$Z$6:$Z$84,0),MATCH(Z$67,ALL_CAPACITY!$P$5:$X$5,0))</f>
        <v>0</v>
      </c>
      <c r="AA169" s="188">
        <f>INDEX(ALL_CAPACITY!$P$6:$X$84,MATCH($R169&amp;"."&amp;$S169,ALL_CAPACITY!$Z$6:$Z$84,0),MATCH(AA$67,ALL_CAPACITY!$P$5:$X$5,0))</f>
        <v>0</v>
      </c>
      <c r="AB169" s="188">
        <f>INDEX(ALL_CAPACITY!$P$6:$X$84,MATCH($R169&amp;"."&amp;$S169,ALL_CAPACITY!$Z$6:$Z$84,0),MATCH(AB$67,ALL_CAPACITY!$P$5:$X$5,0))</f>
        <v>0</v>
      </c>
      <c r="AC169" s="188">
        <f>INDEX(ALL_CAPACITY!$P$6:$X$84,MATCH($R169&amp;"."&amp;$S169,ALL_CAPACITY!$Z$6:$Z$84,0),MATCH(AC$67,ALL_CAPACITY!$P$5:$X$5,0))</f>
        <v>0</v>
      </c>
      <c r="AD169" s="188">
        <f>INDEX(ALL_CAPACITY!$P$6:$X$84,MATCH($R169&amp;"."&amp;$S169,ALL_CAPACITY!$Z$6:$Z$84,0),MATCH(AD$67,ALL_CAPACITY!$P$5:$X$5,0))</f>
        <v>0</v>
      </c>
      <c r="AE169" s="188">
        <f>INDEX(ALL_CAPACITY!$P$6:$X$84,MATCH($R169&amp;"."&amp;$S169,ALL_CAPACITY!$Z$6:$Z$84,0),MATCH(AE$67,ALL_CAPACITY!$P$5:$X$5,0))</f>
        <v>0</v>
      </c>
      <c r="AF169" s="150"/>
      <c r="AG169" s="183"/>
      <c r="AJ169">
        <f>INDEX($AZ$2:$AZ$41,MATCH($S169,$AY$2:$AY$41,0))</f>
        <v>0.01</v>
      </c>
    </row>
    <row r="170" spans="2:36">
      <c r="B170" t="str">
        <f t="shared" si="176"/>
        <v>DE0</v>
      </c>
      <c r="C170">
        <f t="shared" si="177"/>
        <v>2020</v>
      </c>
      <c r="D170" t="str">
        <f t="shared" si="178"/>
        <v>HYD_ROR</v>
      </c>
      <c r="E170" s="155">
        <f t="shared" si="130"/>
        <v>18490505.89006165</v>
      </c>
      <c r="F170" t="s">
        <v>31</v>
      </c>
      <c r="G170" t="str">
        <f t="shared" si="179"/>
        <v>run_of_river</v>
      </c>
      <c r="H170">
        <f t="shared" si="180"/>
        <v>1</v>
      </c>
      <c r="I170">
        <f t="shared" si="181"/>
        <v>2</v>
      </c>
      <c r="J170">
        <f t="shared" si="182"/>
        <v>2</v>
      </c>
      <c r="N170">
        <f t="shared" si="114"/>
        <v>0.01</v>
      </c>
      <c r="O170" s="155">
        <f t="shared" si="131"/>
        <v>18677278.676829949</v>
      </c>
      <c r="Q170" s="195" t="s">
        <v>404</v>
      </c>
      <c r="R170" s="150" t="s">
        <v>12</v>
      </c>
      <c r="S170" s="150" t="s">
        <v>468</v>
      </c>
      <c r="T170" s="150"/>
      <c r="U170" s="150"/>
      <c r="V170" s="150"/>
      <c r="W170" s="196">
        <f t="shared" ref="W170:AE170" si="185">SUM(W168:W169)</f>
        <v>3996.3</v>
      </c>
      <c r="X170" s="196">
        <f t="shared" si="185"/>
        <v>4073.8726499999998</v>
      </c>
      <c r="Y170" s="196">
        <f t="shared" si="185"/>
        <v>3527.0057198664999</v>
      </c>
      <c r="Z170" s="196">
        <f t="shared" si="185"/>
        <v>3194.6868892017701</v>
      </c>
      <c r="AA170" s="196">
        <f t="shared" si="185"/>
        <v>2902.3660922104</v>
      </c>
      <c r="AB170" s="196">
        <f t="shared" si="185"/>
        <v>3114.7595411872298</v>
      </c>
      <c r="AC170" s="196">
        <f t="shared" si="185"/>
        <v>3045.50220700512</v>
      </c>
      <c r="AD170" s="196">
        <f t="shared" si="185"/>
        <v>3062.8146136684099</v>
      </c>
      <c r="AE170" s="196">
        <f t="shared" si="185"/>
        <v>2850.4510158637399</v>
      </c>
      <c r="AF170" s="150"/>
      <c r="AG170" s="183"/>
      <c r="AJ170">
        <f>INDEX($AZ$2:$AZ$41,MATCH($S170,$AY$2:$AY$41,0))</f>
        <v>0.01</v>
      </c>
    </row>
    <row r="171" spans="2:36">
      <c r="B171" t="str">
        <f t="shared" si="176"/>
        <v>IT0</v>
      </c>
      <c r="C171">
        <f t="shared" si="177"/>
        <v>2020</v>
      </c>
      <c r="D171" t="str">
        <f t="shared" si="178"/>
        <v>HYD_ROR</v>
      </c>
      <c r="E171" s="155">
        <f t="shared" si="130"/>
        <v>21141349.232595913</v>
      </c>
      <c r="F171" t="s">
        <v>31</v>
      </c>
      <c r="G171" t="str">
        <f t="shared" si="179"/>
        <v>run_of_river</v>
      </c>
      <c r="H171">
        <f t="shared" si="180"/>
        <v>2</v>
      </c>
      <c r="I171">
        <f t="shared" si="181"/>
        <v>2</v>
      </c>
      <c r="J171">
        <f t="shared" si="182"/>
        <v>2</v>
      </c>
      <c r="N171">
        <f t="shared" si="114"/>
        <v>0.01</v>
      </c>
      <c r="O171" s="155">
        <f t="shared" si="131"/>
        <v>21354898.214743346</v>
      </c>
      <c r="Q171" s="180" t="s">
        <v>398</v>
      </c>
      <c r="R171" s="150"/>
      <c r="S171" s="150"/>
      <c r="T171" s="150"/>
      <c r="U171" s="150"/>
      <c r="V171" s="150"/>
      <c r="W171" s="188">
        <f>W167/W170</f>
        <v>0</v>
      </c>
      <c r="X171" s="188">
        <f t="shared" ref="X171" si="186">X167/X170</f>
        <v>1662.764545578488</v>
      </c>
      <c r="Y171" s="188">
        <f t="shared" ref="Y171" si="187">Y167/Y170</f>
        <v>3991.3681017273339</v>
      </c>
      <c r="Z171" s="188">
        <f t="shared" ref="Z171" si="188">Z167/Z170</f>
        <v>4246.1028699167027</v>
      </c>
      <c r="AA171" s="188">
        <f t="shared" ref="AA171" si="189">AA167/AA170</f>
        <v>5026.7044260059802</v>
      </c>
      <c r="AB171" s="188">
        <f t="shared" ref="AB171" si="190">AB167/AB170</f>
        <v>6229.2437077425739</v>
      </c>
      <c r="AC171" s="188">
        <f t="shared" ref="AC171" si="191">AC167/AC170</f>
        <v>6546.2453290300255</v>
      </c>
      <c r="AD171" s="188">
        <f t="shared" ref="AD171" si="192">AD167/AD170</f>
        <v>6459.0081773147249</v>
      </c>
      <c r="AE171" s="188">
        <f t="shared" ref="AE171" si="193">AE167/AE170</f>
        <v>6126.6731327102798</v>
      </c>
      <c r="AF171" s="150"/>
      <c r="AG171" s="183"/>
    </row>
    <row r="172" spans="2:36">
      <c r="B172" t="str">
        <f t="shared" si="176"/>
        <v>AT0</v>
      </c>
      <c r="C172">
        <f t="shared" si="177"/>
        <v>2020</v>
      </c>
      <c r="D172" t="str">
        <f t="shared" si="178"/>
        <v>HYD_ROR</v>
      </c>
      <c r="E172" s="155">
        <f t="shared" si="130"/>
        <v>26647681.743940674</v>
      </c>
      <c r="F172" t="s">
        <v>31</v>
      </c>
      <c r="G172" t="str">
        <f t="shared" si="179"/>
        <v>run_of_river</v>
      </c>
      <c r="H172">
        <f t="shared" si="180"/>
        <v>3</v>
      </c>
      <c r="I172">
        <f t="shared" si="181"/>
        <v>2</v>
      </c>
      <c r="J172">
        <f t="shared" si="182"/>
        <v>2</v>
      </c>
      <c r="N172">
        <f t="shared" si="114"/>
        <v>0.01</v>
      </c>
      <c r="O172" s="155">
        <f t="shared" si="131"/>
        <v>26916850.246404722</v>
      </c>
      <c r="Q172" s="18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83"/>
    </row>
    <row r="173" spans="2:36">
      <c r="B173" t="str">
        <f t="shared" si="176"/>
        <v>FR0</v>
      </c>
      <c r="C173">
        <f t="shared" si="177"/>
        <v>2020</v>
      </c>
      <c r="D173" t="str">
        <f t="shared" si="178"/>
        <v>HYD_ROR</v>
      </c>
      <c r="E173" s="155">
        <f t="shared" si="130"/>
        <v>42151716.141810782</v>
      </c>
      <c r="F173" t="s">
        <v>31</v>
      </c>
      <c r="G173" t="str">
        <f t="shared" si="179"/>
        <v>run_of_river</v>
      </c>
      <c r="H173">
        <f t="shared" si="180"/>
        <v>4</v>
      </c>
      <c r="I173">
        <f t="shared" si="181"/>
        <v>2</v>
      </c>
      <c r="J173">
        <f t="shared" si="182"/>
        <v>2</v>
      </c>
      <c r="N173">
        <f t="shared" si="114"/>
        <v>0.01</v>
      </c>
      <c r="O173" s="155">
        <f t="shared" si="131"/>
        <v>42577491.052334122</v>
      </c>
      <c r="Q173" s="180"/>
      <c r="R173" s="150" t="s">
        <v>14</v>
      </c>
      <c r="S173" s="150" t="s">
        <v>460</v>
      </c>
      <c r="T173" s="150" t="s">
        <v>142</v>
      </c>
      <c r="U173" s="150"/>
      <c r="V173" s="150" t="s">
        <v>60</v>
      </c>
      <c r="W173" s="189">
        <f>SUMIFS($AS$4:$AS$69,$AP$4:$AP$69,$V173,$AR$4:$AR$69,$R173)</f>
        <v>597103.01553705905</v>
      </c>
      <c r="X173" s="191">
        <f t="shared" ref="X173:AB174" si="194">INDEX($X$317:$AE$356,MATCH($S173&amp;"."&amp;$T173,$S$317:$S$356,0),MATCH(X$20,$X$316:$AE$316,0))*1000000</f>
        <v>1760000</v>
      </c>
      <c r="Y173" s="191">
        <f t="shared" si="194"/>
        <v>1480000</v>
      </c>
      <c r="Z173" s="191">
        <f t="shared" si="194"/>
        <v>920000</v>
      </c>
      <c r="AA173" s="191">
        <f t="shared" si="194"/>
        <v>580000</v>
      </c>
      <c r="AB173" s="191">
        <f t="shared" si="194"/>
        <v>320000</v>
      </c>
      <c r="AC173" s="191">
        <f t="shared" ref="AC173:AE174" si="195">INDEX($X$317:$AE$356,MATCH($S173&amp;"."&amp;$T173,$S$317:$S$356,0),MATCH(AC$20,$X$316:$AE$316,0))*1000000</f>
        <v>0</v>
      </c>
      <c r="AD173" s="191">
        <f t="shared" si="195"/>
        <v>0</v>
      </c>
      <c r="AE173" s="191">
        <f t="shared" si="195"/>
        <v>0</v>
      </c>
      <c r="AF173" s="150"/>
      <c r="AG173" s="183"/>
      <c r="AJ173">
        <f t="shared" ref="AJ173:AJ181" si="196">INDEX($AZ$2:$AZ$41,MATCH($S173,$AY$2:$AY$41,0))</f>
        <v>0.01</v>
      </c>
    </row>
    <row r="174" spans="2:36">
      <c r="B174" t="str">
        <f t="shared" si="176"/>
        <v>DE0</v>
      </c>
      <c r="C174">
        <f t="shared" si="177"/>
        <v>2025</v>
      </c>
      <c r="D174" t="str">
        <f t="shared" si="178"/>
        <v>HYD_ROR</v>
      </c>
      <c r="E174" s="155">
        <f t="shared" si="130"/>
        <v>18842460.380283821</v>
      </c>
      <c r="F174" t="s">
        <v>31</v>
      </c>
      <c r="G174" t="str">
        <f t="shared" si="179"/>
        <v>run_of_river</v>
      </c>
      <c r="H174">
        <f t="shared" si="180"/>
        <v>1</v>
      </c>
      <c r="I174">
        <f t="shared" si="181"/>
        <v>3</v>
      </c>
      <c r="J174">
        <f t="shared" si="182"/>
        <v>2</v>
      </c>
      <c r="N174">
        <f t="shared" si="114"/>
        <v>0.01</v>
      </c>
      <c r="O174" s="155">
        <f t="shared" si="131"/>
        <v>19032788.262912951</v>
      </c>
      <c r="Q174" s="180"/>
      <c r="R174" s="150" t="s">
        <v>14</v>
      </c>
      <c r="S174" s="192" t="s">
        <v>441</v>
      </c>
      <c r="T174" s="150" t="s">
        <v>142</v>
      </c>
      <c r="U174" s="150"/>
      <c r="V174" s="150" t="s">
        <v>100</v>
      </c>
      <c r="W174" s="189">
        <f>SUMIFS($AS$4:$AS$69,$AP$4:$AP$69,$V174,$AR$4:$AR$69,$R174)</f>
        <v>32397.443837237799</v>
      </c>
      <c r="X174" s="191">
        <f t="shared" si="194"/>
        <v>890000</v>
      </c>
      <c r="Y174" s="191">
        <f t="shared" si="194"/>
        <v>2460000</v>
      </c>
      <c r="Z174" s="191">
        <f t="shared" si="194"/>
        <v>5980000</v>
      </c>
      <c r="AA174" s="191">
        <f t="shared" si="194"/>
        <v>9440000.0000000019</v>
      </c>
      <c r="AB174" s="191">
        <f t="shared" si="194"/>
        <v>21970000</v>
      </c>
      <c r="AC174" s="191">
        <f t="shared" si="195"/>
        <v>21600000</v>
      </c>
      <c r="AD174" s="191">
        <f t="shared" si="195"/>
        <v>21980000</v>
      </c>
      <c r="AE174" s="191">
        <f t="shared" si="195"/>
        <v>21650000</v>
      </c>
      <c r="AF174" s="150"/>
      <c r="AG174" s="183"/>
      <c r="AJ174">
        <f t="shared" si="196"/>
        <v>0.01</v>
      </c>
    </row>
    <row r="175" spans="2:36">
      <c r="B175" t="str">
        <f t="shared" si="176"/>
        <v>IT0</v>
      </c>
      <c r="C175">
        <f t="shared" si="177"/>
        <v>2025</v>
      </c>
      <c r="D175" t="str">
        <f t="shared" si="178"/>
        <v>HYD_ROR</v>
      </c>
      <c r="E175" s="155">
        <f t="shared" si="130"/>
        <v>21141349.232595913</v>
      </c>
      <c r="F175" t="s">
        <v>31</v>
      </c>
      <c r="G175" t="str">
        <f t="shared" si="179"/>
        <v>run_of_river</v>
      </c>
      <c r="H175">
        <f t="shared" si="180"/>
        <v>2</v>
      </c>
      <c r="I175">
        <f t="shared" si="181"/>
        <v>3</v>
      </c>
      <c r="J175">
        <f t="shared" si="182"/>
        <v>2</v>
      </c>
      <c r="N175">
        <f t="shared" si="114"/>
        <v>0.01</v>
      </c>
      <c r="O175" s="155">
        <f t="shared" si="131"/>
        <v>21354898.214743346</v>
      </c>
      <c r="Q175" s="180"/>
      <c r="R175" s="150" t="s">
        <v>14</v>
      </c>
      <c r="S175" s="192" t="s">
        <v>460</v>
      </c>
      <c r="T175" s="150" t="s">
        <v>142</v>
      </c>
      <c r="U175" s="150"/>
      <c r="V175" s="150"/>
      <c r="W175" s="196">
        <f t="shared" ref="W175:AE175" si="197">SUM(W173:W174)</f>
        <v>629500.45937429683</v>
      </c>
      <c r="X175" s="196">
        <f t="shared" si="197"/>
        <v>2650000</v>
      </c>
      <c r="Y175" s="196">
        <f t="shared" si="197"/>
        <v>3940000</v>
      </c>
      <c r="Z175" s="196">
        <f t="shared" si="197"/>
        <v>6900000</v>
      </c>
      <c r="AA175" s="196">
        <f t="shared" si="197"/>
        <v>10020000.000000002</v>
      </c>
      <c r="AB175" s="196">
        <f t="shared" si="197"/>
        <v>22290000</v>
      </c>
      <c r="AC175" s="196">
        <f t="shared" si="197"/>
        <v>21600000</v>
      </c>
      <c r="AD175" s="196">
        <f t="shared" si="197"/>
        <v>21980000</v>
      </c>
      <c r="AE175" s="196">
        <f t="shared" si="197"/>
        <v>21650000</v>
      </c>
      <c r="AF175" s="150"/>
      <c r="AG175" s="183"/>
      <c r="AH175" t="str">
        <f t="shared" ref="AH175" si="198">R175&amp;"."&amp;S175&amp;"."&amp;T175</f>
        <v>CH0.GAS_OIL.POM C</v>
      </c>
      <c r="AJ175">
        <f t="shared" si="196"/>
        <v>0.01</v>
      </c>
    </row>
    <row r="176" spans="2:36">
      <c r="B176" t="str">
        <f t="shared" si="176"/>
        <v>AT0</v>
      </c>
      <c r="C176">
        <f t="shared" si="177"/>
        <v>2025</v>
      </c>
      <c r="D176" t="str">
        <f t="shared" si="178"/>
        <v>HYD_ROR</v>
      </c>
      <c r="E176" s="155">
        <f t="shared" si="130"/>
        <v>26647681.743940674</v>
      </c>
      <c r="F176" t="s">
        <v>31</v>
      </c>
      <c r="G176" t="str">
        <f t="shared" si="179"/>
        <v>run_of_river</v>
      </c>
      <c r="H176">
        <f t="shared" si="180"/>
        <v>3</v>
      </c>
      <c r="I176">
        <f t="shared" si="181"/>
        <v>3</v>
      </c>
      <c r="J176">
        <f t="shared" si="182"/>
        <v>2</v>
      </c>
      <c r="N176">
        <f t="shared" ref="N176:N239" si="199">INDEX($AJ$21:$AJ$249,MATCH(B176&amp;"."&amp;D176,$AH$21:$AH$249,0))</f>
        <v>0.01</v>
      </c>
      <c r="O176" s="155">
        <f t="shared" si="131"/>
        <v>26916850.246404722</v>
      </c>
      <c r="Q176" s="180"/>
      <c r="R176" s="150" t="s">
        <v>14</v>
      </c>
      <c r="S176" s="150" t="s">
        <v>460</v>
      </c>
      <c r="T176" s="150" t="s">
        <v>143</v>
      </c>
      <c r="U176" s="150"/>
      <c r="V176" s="150" t="s">
        <v>60</v>
      </c>
      <c r="W176" s="189">
        <f>SUMIFS($AS$4:$AS$69,$AP$4:$AP$69,$V176,$AR$4:$AR$69,$R176)</f>
        <v>597103.01553705905</v>
      </c>
      <c r="X176" s="191">
        <f t="shared" ref="X176:AB177" si="200">INDEX($X$317:$AE$356,MATCH($S176&amp;"."&amp;$T176,$S$317:$S$356,0),MATCH(X$20,$X$316:$AE$316,0))*1000000</f>
        <v>1760000</v>
      </c>
      <c r="Y176" s="191">
        <f t="shared" si="200"/>
        <v>1480000</v>
      </c>
      <c r="Z176" s="191">
        <f t="shared" si="200"/>
        <v>920000</v>
      </c>
      <c r="AA176" s="191">
        <f t="shared" si="200"/>
        <v>580000</v>
      </c>
      <c r="AB176" s="191">
        <f t="shared" si="200"/>
        <v>320000</v>
      </c>
      <c r="AC176" s="191">
        <f t="shared" ref="AC176:AE177" si="201">INDEX($X$317:$AE$356,MATCH($S176&amp;"."&amp;$T176,$S$317:$S$356,0),MATCH(AC$20,$X$316:$AE$316,0))*1000000</f>
        <v>0</v>
      </c>
      <c r="AD176" s="191">
        <f t="shared" si="201"/>
        <v>0</v>
      </c>
      <c r="AE176" s="191">
        <f t="shared" si="201"/>
        <v>0</v>
      </c>
      <c r="AF176" s="150"/>
      <c r="AG176" s="183"/>
      <c r="AJ176">
        <f t="shared" si="196"/>
        <v>0.01</v>
      </c>
    </row>
    <row r="177" spans="2:36">
      <c r="B177" t="str">
        <f t="shared" si="176"/>
        <v>FR0</v>
      </c>
      <c r="C177">
        <f t="shared" si="177"/>
        <v>2025</v>
      </c>
      <c r="D177" t="str">
        <f t="shared" si="178"/>
        <v>HYD_ROR</v>
      </c>
      <c r="E177" s="155">
        <f t="shared" si="130"/>
        <v>42151716.141810782</v>
      </c>
      <c r="F177" t="s">
        <v>31</v>
      </c>
      <c r="G177" t="str">
        <f t="shared" si="179"/>
        <v>run_of_river</v>
      </c>
      <c r="H177">
        <f t="shared" si="180"/>
        <v>4</v>
      </c>
      <c r="I177">
        <f t="shared" si="181"/>
        <v>3</v>
      </c>
      <c r="J177">
        <f t="shared" si="182"/>
        <v>2</v>
      </c>
      <c r="N177">
        <f t="shared" si="199"/>
        <v>0.01</v>
      </c>
      <c r="O177" s="155">
        <f t="shared" si="131"/>
        <v>42577491.052334122</v>
      </c>
      <c r="Q177" s="180"/>
      <c r="R177" s="150" t="s">
        <v>14</v>
      </c>
      <c r="S177" s="192" t="s">
        <v>441</v>
      </c>
      <c r="T177" s="150" t="s">
        <v>143</v>
      </c>
      <c r="U177" s="150"/>
      <c r="V177" s="150" t="s">
        <v>100</v>
      </c>
      <c r="W177" s="189">
        <f>SUMIFS($AS$4:$AS$69,$AP$4:$AP$69,$V177,$AR$4:$AR$69,$R177)</f>
        <v>32397.443837237799</v>
      </c>
      <c r="X177" s="191">
        <f t="shared" si="200"/>
        <v>940000</v>
      </c>
      <c r="Y177" s="191">
        <f t="shared" si="200"/>
        <v>1650000</v>
      </c>
      <c r="Z177" s="191">
        <f t="shared" si="200"/>
        <v>2470000</v>
      </c>
      <c r="AA177" s="191">
        <f t="shared" si="200"/>
        <v>3040000</v>
      </c>
      <c r="AB177" s="191">
        <f t="shared" si="200"/>
        <v>3260000</v>
      </c>
      <c r="AC177" s="191">
        <f t="shared" si="201"/>
        <v>3440000</v>
      </c>
      <c r="AD177" s="191">
        <f t="shared" si="201"/>
        <v>3450000</v>
      </c>
      <c r="AE177" s="191">
        <f t="shared" si="201"/>
        <v>3450000</v>
      </c>
      <c r="AF177" s="150"/>
      <c r="AG177" s="183"/>
      <c r="AJ177">
        <f t="shared" si="196"/>
        <v>0.01</v>
      </c>
    </row>
    <row r="178" spans="2:36">
      <c r="B178" t="str">
        <f t="shared" si="176"/>
        <v>DE0</v>
      </c>
      <c r="C178">
        <f t="shared" si="177"/>
        <v>2030</v>
      </c>
      <c r="D178" t="str">
        <f t="shared" si="178"/>
        <v>HYD_ROR</v>
      </c>
      <c r="E178" s="155">
        <f t="shared" si="130"/>
        <v>19369695.720111821</v>
      </c>
      <c r="F178" t="s">
        <v>31</v>
      </c>
      <c r="G178" t="str">
        <f t="shared" si="179"/>
        <v>run_of_river</v>
      </c>
      <c r="H178">
        <f t="shared" si="180"/>
        <v>1</v>
      </c>
      <c r="I178">
        <f t="shared" si="181"/>
        <v>4</v>
      </c>
      <c r="J178">
        <f t="shared" si="182"/>
        <v>2</v>
      </c>
      <c r="N178">
        <f t="shared" si="199"/>
        <v>0.01</v>
      </c>
      <c r="O178" s="155">
        <f t="shared" si="131"/>
        <v>19565349.212234162</v>
      </c>
      <c r="Q178" s="180"/>
      <c r="R178" s="150" t="s">
        <v>14</v>
      </c>
      <c r="S178" s="192" t="s">
        <v>460</v>
      </c>
      <c r="T178" s="150" t="s">
        <v>143</v>
      </c>
      <c r="U178" s="150"/>
      <c r="V178" s="150"/>
      <c r="W178" s="196">
        <f t="shared" ref="W178:AE178" si="202">SUM(W176:W177)</f>
        <v>629500.45937429683</v>
      </c>
      <c r="X178" s="196">
        <f t="shared" si="202"/>
        <v>2700000</v>
      </c>
      <c r="Y178" s="196">
        <f t="shared" si="202"/>
        <v>3130000</v>
      </c>
      <c r="Z178" s="196">
        <f t="shared" si="202"/>
        <v>3390000</v>
      </c>
      <c r="AA178" s="196">
        <f t="shared" si="202"/>
        <v>3620000</v>
      </c>
      <c r="AB178" s="196">
        <f t="shared" si="202"/>
        <v>3580000</v>
      </c>
      <c r="AC178" s="196">
        <f t="shared" si="202"/>
        <v>3440000</v>
      </c>
      <c r="AD178" s="196">
        <f t="shared" si="202"/>
        <v>3450000</v>
      </c>
      <c r="AE178" s="196">
        <f t="shared" si="202"/>
        <v>3450000</v>
      </c>
      <c r="AF178" s="150"/>
      <c r="AG178" s="183"/>
      <c r="AH178" t="str">
        <f t="shared" ref="AH178" si="203">R178&amp;"."&amp;S178&amp;"."&amp;T178</f>
        <v>CH0.GAS_OIL.POM E</v>
      </c>
      <c r="AJ178">
        <f t="shared" si="196"/>
        <v>0.01</v>
      </c>
    </row>
    <row r="179" spans="2:36">
      <c r="B179" t="str">
        <f t="shared" si="176"/>
        <v>IT0</v>
      </c>
      <c r="C179">
        <f t="shared" si="177"/>
        <v>2030</v>
      </c>
      <c r="D179" t="str">
        <f t="shared" si="178"/>
        <v>HYD_ROR</v>
      </c>
      <c r="E179" s="155">
        <f t="shared" si="130"/>
        <v>21288050.421116281</v>
      </c>
      <c r="F179" t="s">
        <v>31</v>
      </c>
      <c r="G179" t="str">
        <f t="shared" si="179"/>
        <v>run_of_river</v>
      </c>
      <c r="H179">
        <f t="shared" si="180"/>
        <v>2</v>
      </c>
      <c r="I179">
        <f t="shared" si="181"/>
        <v>4</v>
      </c>
      <c r="J179">
        <f t="shared" si="182"/>
        <v>2</v>
      </c>
      <c r="N179">
        <f t="shared" si="199"/>
        <v>0.01</v>
      </c>
      <c r="O179" s="155">
        <f t="shared" si="131"/>
        <v>21503081.233450789</v>
      </c>
      <c r="Q179" s="180"/>
      <c r="R179" s="150" t="s">
        <v>14</v>
      </c>
      <c r="S179" s="150" t="s">
        <v>460</v>
      </c>
      <c r="T179" s="150" t="s">
        <v>296</v>
      </c>
      <c r="U179" s="150"/>
      <c r="V179" s="150" t="s">
        <v>60</v>
      </c>
      <c r="W179" s="189">
        <f>SUMIFS($AS$4:$AS$69,$AP$4:$AP$69,$V179,$AR$4:$AR$69,$R179)</f>
        <v>597103.01553705905</v>
      </c>
      <c r="X179" s="191">
        <f t="shared" ref="X179:AB180" si="204">INDEX($X$317:$AE$356,MATCH($S179&amp;"."&amp;$T179,$S$317:$S$356,0),MATCH(X$20,$X$316:$AE$316,0))*1000000</f>
        <v>1760000</v>
      </c>
      <c r="Y179" s="191">
        <f t="shared" si="204"/>
        <v>1480000</v>
      </c>
      <c r="Z179" s="191">
        <f t="shared" si="204"/>
        <v>920000</v>
      </c>
      <c r="AA179" s="191">
        <f t="shared" si="204"/>
        <v>580000</v>
      </c>
      <c r="AB179" s="191">
        <f t="shared" si="204"/>
        <v>320000</v>
      </c>
      <c r="AC179" s="191">
        <f t="shared" ref="AC179:AE180" si="205">INDEX($X$317:$AE$356,MATCH($S179&amp;"."&amp;$T179,$S$317:$S$356,0),MATCH(AC$20,$X$316:$AE$316,0))*1000000</f>
        <v>0</v>
      </c>
      <c r="AD179" s="191">
        <f t="shared" si="205"/>
        <v>0</v>
      </c>
      <c r="AE179" s="191">
        <f t="shared" si="205"/>
        <v>0</v>
      </c>
      <c r="AF179" s="150"/>
      <c r="AG179" s="183"/>
      <c r="AJ179">
        <f t="shared" si="196"/>
        <v>0.01</v>
      </c>
    </row>
    <row r="180" spans="2:36">
      <c r="B180" t="str">
        <f t="shared" si="176"/>
        <v>AT0</v>
      </c>
      <c r="C180">
        <f t="shared" si="177"/>
        <v>2030</v>
      </c>
      <c r="D180" t="str">
        <f t="shared" si="178"/>
        <v>HYD_ROR</v>
      </c>
      <c r="E180" s="155">
        <f t="shared" si="130"/>
        <v>26656568.281314448</v>
      </c>
      <c r="F180" t="s">
        <v>31</v>
      </c>
      <c r="G180" t="str">
        <f t="shared" si="179"/>
        <v>run_of_river</v>
      </c>
      <c r="H180">
        <f t="shared" si="180"/>
        <v>3</v>
      </c>
      <c r="I180">
        <f t="shared" si="181"/>
        <v>4</v>
      </c>
      <c r="J180">
        <f t="shared" si="182"/>
        <v>2</v>
      </c>
      <c r="N180">
        <f t="shared" si="199"/>
        <v>0.01</v>
      </c>
      <c r="O180" s="155">
        <f t="shared" si="131"/>
        <v>26925826.54678227</v>
      </c>
      <c r="Q180" s="180"/>
      <c r="R180" s="150" t="s">
        <v>14</v>
      </c>
      <c r="S180" s="192" t="s">
        <v>441</v>
      </c>
      <c r="T180" s="150" t="s">
        <v>296</v>
      </c>
      <c r="U180" s="150"/>
      <c r="V180" s="150" t="s">
        <v>100</v>
      </c>
      <c r="W180" s="189">
        <f>SUMIFS($AS$4:$AS$69,$AP$4:$AP$69,$V180,$AR$4:$AR$69,$R180)</f>
        <v>32397.443837237799</v>
      </c>
      <c r="X180" s="191">
        <f t="shared" si="204"/>
        <v>940000</v>
      </c>
      <c r="Y180" s="191">
        <f t="shared" si="204"/>
        <v>1650000</v>
      </c>
      <c r="Z180" s="191">
        <f t="shared" si="204"/>
        <v>4480000</v>
      </c>
      <c r="AA180" s="191">
        <f t="shared" si="204"/>
        <v>7210000</v>
      </c>
      <c r="AB180" s="191">
        <f t="shared" si="204"/>
        <v>14890000</v>
      </c>
      <c r="AC180" s="191">
        <f t="shared" si="205"/>
        <v>12870000</v>
      </c>
      <c r="AD180" s="191">
        <f t="shared" si="205"/>
        <v>11809999.999999998</v>
      </c>
      <c r="AE180" s="191">
        <f t="shared" si="205"/>
        <v>10650000</v>
      </c>
      <c r="AF180" s="150"/>
      <c r="AG180" s="183"/>
      <c r="AJ180">
        <f t="shared" si="196"/>
        <v>0.01</v>
      </c>
    </row>
    <row r="181" spans="2:36">
      <c r="B181" t="str">
        <f t="shared" si="176"/>
        <v>FR0</v>
      </c>
      <c r="C181">
        <f t="shared" si="177"/>
        <v>2030</v>
      </c>
      <c r="D181" t="str">
        <f t="shared" si="178"/>
        <v>HYD_ROR</v>
      </c>
      <c r="E181" s="155">
        <f t="shared" si="130"/>
        <v>42151716.141810782</v>
      </c>
      <c r="F181" t="s">
        <v>31</v>
      </c>
      <c r="G181" t="str">
        <f t="shared" si="179"/>
        <v>run_of_river</v>
      </c>
      <c r="H181">
        <f t="shared" si="180"/>
        <v>4</v>
      </c>
      <c r="I181">
        <f t="shared" si="181"/>
        <v>4</v>
      </c>
      <c r="J181">
        <f t="shared" si="182"/>
        <v>2</v>
      </c>
      <c r="N181">
        <f t="shared" si="199"/>
        <v>0.01</v>
      </c>
      <c r="O181" s="155">
        <f t="shared" si="131"/>
        <v>42577491.052334122</v>
      </c>
      <c r="Q181" s="180"/>
      <c r="R181" s="150" t="s">
        <v>14</v>
      </c>
      <c r="S181" s="192" t="s">
        <v>460</v>
      </c>
      <c r="T181" s="150" t="s">
        <v>296</v>
      </c>
      <c r="U181" s="150"/>
      <c r="V181" s="150"/>
      <c r="W181" s="196">
        <f t="shared" ref="W181:AE181" si="206">SUM(W179:W180)</f>
        <v>629500.45937429683</v>
      </c>
      <c r="X181" s="196">
        <f t="shared" si="206"/>
        <v>2700000</v>
      </c>
      <c r="Y181" s="196">
        <f t="shared" si="206"/>
        <v>3130000</v>
      </c>
      <c r="Z181" s="196">
        <f t="shared" si="206"/>
        <v>5400000</v>
      </c>
      <c r="AA181" s="196">
        <f t="shared" si="206"/>
        <v>7790000</v>
      </c>
      <c r="AB181" s="196">
        <f t="shared" si="206"/>
        <v>15210000</v>
      </c>
      <c r="AC181" s="196">
        <f t="shared" si="206"/>
        <v>12870000</v>
      </c>
      <c r="AD181" s="196">
        <f t="shared" si="206"/>
        <v>11809999.999999998</v>
      </c>
      <c r="AE181" s="196">
        <f t="shared" si="206"/>
        <v>10650000</v>
      </c>
      <c r="AF181" s="150"/>
      <c r="AG181" s="183"/>
      <c r="AH181" t="str">
        <f t="shared" ref="AH181" si="207">R181&amp;"."&amp;S181&amp;"."&amp;T181</f>
        <v>CH0.GAS_OIL.POM C&amp;E</v>
      </c>
      <c r="AJ181">
        <f t="shared" si="196"/>
        <v>0.01</v>
      </c>
    </row>
    <row r="182" spans="2:36">
      <c r="B182" t="str">
        <f t="shared" si="176"/>
        <v>DE0</v>
      </c>
      <c r="C182">
        <f t="shared" si="177"/>
        <v>2035</v>
      </c>
      <c r="D182" t="str">
        <f t="shared" si="178"/>
        <v>HYD_ROR</v>
      </c>
      <c r="E182" s="155">
        <f t="shared" si="130"/>
        <v>20623650.982966196</v>
      </c>
      <c r="F182" t="s">
        <v>31</v>
      </c>
      <c r="G182" t="str">
        <f t="shared" si="179"/>
        <v>run_of_river</v>
      </c>
      <c r="H182">
        <f t="shared" si="180"/>
        <v>1</v>
      </c>
      <c r="I182">
        <f t="shared" si="181"/>
        <v>5</v>
      </c>
      <c r="J182">
        <f t="shared" si="182"/>
        <v>2</v>
      </c>
      <c r="N182">
        <f t="shared" si="199"/>
        <v>0.01</v>
      </c>
      <c r="O182" s="155">
        <f t="shared" si="131"/>
        <v>20831970.689864844</v>
      </c>
      <c r="Q182" s="185"/>
      <c r="R182" s="186"/>
      <c r="S182" s="186"/>
      <c r="T182" s="186"/>
      <c r="U182" s="186"/>
      <c r="V182" s="186"/>
      <c r="W182" s="186"/>
      <c r="X182" s="186"/>
      <c r="Y182" s="186"/>
      <c r="Z182" s="186"/>
      <c r="AA182" s="186"/>
      <c r="AB182" s="186"/>
      <c r="AC182" s="186"/>
      <c r="AD182" s="186"/>
      <c r="AE182" s="186"/>
      <c r="AF182" s="186"/>
      <c r="AG182" s="187"/>
    </row>
    <row r="183" spans="2:36">
      <c r="B183" t="str">
        <f t="shared" si="176"/>
        <v>IT0</v>
      </c>
      <c r="C183">
        <f t="shared" si="177"/>
        <v>2035</v>
      </c>
      <c r="D183" t="str">
        <f t="shared" si="178"/>
        <v>HYD_ROR</v>
      </c>
      <c r="E183" s="155">
        <f t="shared" si="130"/>
        <v>21586895.936282072</v>
      </c>
      <c r="F183" t="s">
        <v>31</v>
      </c>
      <c r="G183" t="str">
        <f t="shared" si="179"/>
        <v>run_of_river</v>
      </c>
      <c r="H183">
        <f t="shared" si="180"/>
        <v>2</v>
      </c>
      <c r="I183">
        <f t="shared" si="181"/>
        <v>5</v>
      </c>
      <c r="J183">
        <f t="shared" si="182"/>
        <v>2</v>
      </c>
      <c r="N183">
        <f t="shared" si="199"/>
        <v>0.01</v>
      </c>
      <c r="O183" s="155">
        <f t="shared" si="131"/>
        <v>21804945.390183911</v>
      </c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</row>
    <row r="184" spans="2:36" ht="15">
      <c r="B184" t="str">
        <f t="shared" si="176"/>
        <v>AT0</v>
      </c>
      <c r="C184">
        <f t="shared" si="177"/>
        <v>2035</v>
      </c>
      <c r="D184" t="str">
        <f t="shared" si="178"/>
        <v>HYD_ROR</v>
      </c>
      <c r="E184" s="155">
        <f t="shared" si="130"/>
        <v>26837653.331372693</v>
      </c>
      <c r="F184" t="s">
        <v>31</v>
      </c>
      <c r="G184" t="str">
        <f t="shared" si="179"/>
        <v>run_of_river</v>
      </c>
      <c r="H184">
        <f t="shared" si="180"/>
        <v>3</v>
      </c>
      <c r="I184">
        <f t="shared" si="181"/>
        <v>5</v>
      </c>
      <c r="J184">
        <f t="shared" si="182"/>
        <v>2</v>
      </c>
      <c r="N184">
        <f t="shared" si="199"/>
        <v>0.01</v>
      </c>
      <c r="O184" s="155">
        <f t="shared" si="131"/>
        <v>27108740.738760296</v>
      </c>
      <c r="Q184" s="177" t="s">
        <v>480</v>
      </c>
      <c r="R184" s="178"/>
      <c r="S184" s="178"/>
      <c r="T184" s="178"/>
      <c r="U184" s="178"/>
      <c r="V184" s="178"/>
      <c r="W184" s="178"/>
      <c r="X184" s="178"/>
      <c r="Y184" s="178"/>
      <c r="Z184" s="178"/>
      <c r="AA184" s="178"/>
      <c r="AB184" s="178"/>
      <c r="AC184" s="178"/>
      <c r="AD184" s="178"/>
      <c r="AE184" s="178"/>
      <c r="AF184" s="178"/>
      <c r="AG184" s="179"/>
    </row>
    <row r="185" spans="2:36">
      <c r="B185" t="str">
        <f t="shared" si="176"/>
        <v>FR0</v>
      </c>
      <c r="C185">
        <f t="shared" si="177"/>
        <v>2035</v>
      </c>
      <c r="D185" t="str">
        <f t="shared" si="178"/>
        <v>HYD_ROR</v>
      </c>
      <c r="E185" s="155">
        <f t="shared" si="130"/>
        <v>42708190.405117176</v>
      </c>
      <c r="F185" t="s">
        <v>31</v>
      </c>
      <c r="G185" t="str">
        <f t="shared" si="179"/>
        <v>run_of_river</v>
      </c>
      <c r="H185">
        <f t="shared" si="180"/>
        <v>4</v>
      </c>
      <c r="I185">
        <f t="shared" si="181"/>
        <v>5</v>
      </c>
      <c r="J185">
        <f t="shared" si="182"/>
        <v>2</v>
      </c>
      <c r="N185">
        <f t="shared" si="199"/>
        <v>0.01</v>
      </c>
      <c r="O185" s="155">
        <f t="shared" si="131"/>
        <v>43139586.267795131</v>
      </c>
      <c r="Q185" s="180"/>
      <c r="R185" s="150" t="s">
        <v>15</v>
      </c>
      <c r="S185" s="150" t="s">
        <v>100</v>
      </c>
      <c r="T185" s="150"/>
      <c r="U185" s="150"/>
      <c r="V185" s="150"/>
      <c r="W185" s="189">
        <f>SUMIFS($AS$4:$AS$69,$AP$4:$AP$69,$S185,$AR$4:$AR$69,$R185)</f>
        <v>6208011</v>
      </c>
      <c r="X185" s="188">
        <f t="shared" ref="X185:AE185" si="208">SUMIFS(X$256:X$302,$S$256:$S$302,$R185,$R$256:$R$302,$S185)*1000</f>
        <v>1078869.81447923</v>
      </c>
      <c r="Y185" s="188">
        <f t="shared" si="208"/>
        <v>941085.21130463399</v>
      </c>
      <c r="Z185" s="188">
        <f t="shared" si="208"/>
        <v>1997466.60992617</v>
      </c>
      <c r="AA185" s="188">
        <f t="shared" si="208"/>
        <v>3056160.3480066201</v>
      </c>
      <c r="AB185" s="188">
        <f t="shared" si="208"/>
        <v>3356946.5201070104</v>
      </c>
      <c r="AC185" s="188">
        <f t="shared" si="208"/>
        <v>3620587.7530863401</v>
      </c>
      <c r="AD185" s="188">
        <f t="shared" si="208"/>
        <v>3536077.48595862</v>
      </c>
      <c r="AE185" s="188">
        <f t="shared" si="208"/>
        <v>552363.17860096996</v>
      </c>
      <c r="AF185" s="150"/>
      <c r="AG185" s="183"/>
      <c r="AH185" t="str">
        <f t="shared" ref="AH185" si="209">R185&amp;"."&amp;S185</f>
        <v>DE0.OIL_LIN</v>
      </c>
      <c r="AJ185">
        <f>INDEX($AZ$2:$AZ$41,MATCH($S185,$AY$2:$AY$41,0))</f>
        <v>8.5000000000000006E-2</v>
      </c>
    </row>
    <row r="186" spans="2:36">
      <c r="B186" t="str">
        <f t="shared" si="176"/>
        <v>DE0</v>
      </c>
      <c r="C186">
        <f t="shared" si="177"/>
        <v>2040</v>
      </c>
      <c r="D186" t="str">
        <f t="shared" si="178"/>
        <v>HYD_ROR</v>
      </c>
      <c r="E186" s="155">
        <f t="shared" si="130"/>
        <v>21684746.471585825</v>
      </c>
      <c r="F186" t="s">
        <v>31</v>
      </c>
      <c r="G186" t="str">
        <f t="shared" si="179"/>
        <v>run_of_river</v>
      </c>
      <c r="H186">
        <f t="shared" si="180"/>
        <v>1</v>
      </c>
      <c r="I186">
        <f t="shared" si="181"/>
        <v>6</v>
      </c>
      <c r="J186">
        <f t="shared" si="182"/>
        <v>2</v>
      </c>
      <c r="N186">
        <f t="shared" si="199"/>
        <v>0.01</v>
      </c>
      <c r="O186" s="155">
        <f t="shared" si="131"/>
        <v>21903784.314733155</v>
      </c>
      <c r="Q186" s="180" t="s">
        <v>404</v>
      </c>
      <c r="R186" s="150" t="s">
        <v>15</v>
      </c>
      <c r="S186" s="150" t="s">
        <v>100</v>
      </c>
      <c r="T186" s="150"/>
      <c r="U186" s="150"/>
      <c r="V186" s="150"/>
      <c r="W186" s="188">
        <f>INDEX(ALL_CAPACITY!$P$6:$X$84,MATCH($R186&amp;"."&amp;$S186,ALL_CAPACITY!$Z$6:$Z$84,0),MATCH(W$67,ALL_CAPACITY!$P$5:$X$5,0))</f>
        <v>4200</v>
      </c>
      <c r="X186" s="188">
        <f>INDEX(ALL_CAPACITY!$P$6:$X$84,MATCH($R186&amp;"."&amp;$S186,ALL_CAPACITY!$Z$6:$Z$84,0),MATCH(X$67,ALL_CAPACITY!$P$5:$X$5,0))</f>
        <v>5028.3810199999998</v>
      </c>
      <c r="Y186" s="188">
        <f>INDEX(ALL_CAPACITY!$P$6:$X$84,MATCH($R186&amp;"."&amp;$S186,ALL_CAPACITY!$Z$6:$Z$84,0),MATCH(Y$67,ALL_CAPACITY!$P$5:$X$5,0))</f>
        <v>1673.8347000000001</v>
      </c>
      <c r="Z186" s="188">
        <f>INDEX(ALL_CAPACITY!$P$6:$X$84,MATCH($R186&amp;"."&amp;$S186,ALL_CAPACITY!$Z$6:$Z$84,0),MATCH(Z$67,ALL_CAPACITY!$P$5:$X$5,0))</f>
        <v>1458.1605423920601</v>
      </c>
      <c r="AA186" s="188">
        <f>INDEX(ALL_CAPACITY!$P$6:$X$84,MATCH($R186&amp;"."&amp;$S186,ALL_CAPACITY!$Z$6:$Z$84,0),MATCH(AA$67,ALL_CAPACITY!$P$5:$X$5,0))</f>
        <v>1248.1130423920599</v>
      </c>
      <c r="AB186" s="188">
        <f>INDEX(ALL_CAPACITY!$P$6:$X$84,MATCH($R186&amp;"."&amp;$S186,ALL_CAPACITY!$Z$6:$Z$84,0),MATCH(AB$67,ALL_CAPACITY!$P$5:$X$5,0))</f>
        <v>1060.97281239206</v>
      </c>
      <c r="AC186" s="188">
        <f>INDEX(ALL_CAPACITY!$P$6:$X$84,MATCH($R186&amp;"."&amp;$S186,ALL_CAPACITY!$Z$6:$Z$84,0),MATCH(AC$67,ALL_CAPACITY!$P$5:$X$5,0))</f>
        <v>862.853412392064</v>
      </c>
      <c r="AD186" s="188">
        <f>INDEX(ALL_CAPACITY!$P$6:$X$84,MATCH($R186&amp;"."&amp;$S186,ALL_CAPACITY!$Z$6:$Z$84,0),MATCH(AD$67,ALL_CAPACITY!$P$5:$X$5,0))</f>
        <v>833.37662239206395</v>
      </c>
      <c r="AE186" s="188">
        <f>INDEX(ALL_CAPACITY!$P$6:$X$84,MATCH($R186&amp;"."&amp;$S186,ALL_CAPACITY!$Z$6:$Z$84,0),MATCH(AE$67,ALL_CAPACITY!$P$5:$X$5,0))</f>
        <v>674.14537239206402</v>
      </c>
      <c r="AF186" s="150"/>
      <c r="AG186" s="183"/>
      <c r="AJ186">
        <f>INDEX($AZ$2:$AZ$41,MATCH($S186,$AY$2:$AY$41,0))</f>
        <v>8.5000000000000006E-2</v>
      </c>
    </row>
    <row r="187" spans="2:36">
      <c r="B187" t="str">
        <f t="shared" si="176"/>
        <v>IT0</v>
      </c>
      <c r="C187">
        <f t="shared" si="177"/>
        <v>2040</v>
      </c>
      <c r="D187" t="str">
        <f t="shared" si="178"/>
        <v>HYD_ROR</v>
      </c>
      <c r="E187" s="155">
        <f t="shared" si="130"/>
        <v>21826664.491890669</v>
      </c>
      <c r="F187" t="s">
        <v>31</v>
      </c>
      <c r="G187" t="str">
        <f t="shared" si="179"/>
        <v>run_of_river</v>
      </c>
      <c r="H187">
        <f t="shared" si="180"/>
        <v>2</v>
      </c>
      <c r="I187">
        <f t="shared" si="181"/>
        <v>6</v>
      </c>
      <c r="J187">
        <f t="shared" si="182"/>
        <v>2</v>
      </c>
      <c r="N187">
        <f t="shared" si="199"/>
        <v>0.01</v>
      </c>
      <c r="O187" s="155">
        <f t="shared" si="131"/>
        <v>22047135.850394614</v>
      </c>
      <c r="Q187" s="180" t="s">
        <v>398</v>
      </c>
      <c r="R187" s="150"/>
      <c r="S187" s="150"/>
      <c r="T187" s="150"/>
      <c r="U187" s="150"/>
      <c r="V187" s="150"/>
      <c r="W187" s="188">
        <f>W185/W186</f>
        <v>1478.097857142857</v>
      </c>
      <c r="X187" s="188">
        <f t="shared" ref="X187:AE187" si="210">X185/X186</f>
        <v>214.55609871012319</v>
      </c>
      <c r="Y187" s="188">
        <f t="shared" si="210"/>
        <v>562.23306357828164</v>
      </c>
      <c r="Z187" s="188">
        <f t="shared" si="210"/>
        <v>1369.853697076042</v>
      </c>
      <c r="AA187" s="188">
        <f t="shared" si="210"/>
        <v>2448.6246391187155</v>
      </c>
      <c r="AB187" s="188">
        <f t="shared" si="210"/>
        <v>3164.0269014419591</v>
      </c>
      <c r="AC187" s="188">
        <f t="shared" si="210"/>
        <v>4196.0635504112888</v>
      </c>
      <c r="AD187" s="188">
        <f t="shared" si="210"/>
        <v>4243.0725688091889</v>
      </c>
      <c r="AE187" s="188">
        <f t="shared" si="210"/>
        <v>819.35321552534674</v>
      </c>
      <c r="AF187" s="150"/>
      <c r="AG187" s="183"/>
    </row>
    <row r="188" spans="2:36">
      <c r="B188" t="str">
        <f t="shared" si="176"/>
        <v>AT0</v>
      </c>
      <c r="C188">
        <f t="shared" si="177"/>
        <v>2040</v>
      </c>
      <c r="D188" t="str">
        <f t="shared" si="178"/>
        <v>HYD_ROR</v>
      </c>
      <c r="E188" s="155">
        <f t="shared" si="130"/>
        <v>26899851.458366077</v>
      </c>
      <c r="F188" t="s">
        <v>31</v>
      </c>
      <c r="G188" t="str">
        <f t="shared" si="179"/>
        <v>run_of_river</v>
      </c>
      <c r="H188">
        <f t="shared" si="180"/>
        <v>3</v>
      </c>
      <c r="I188">
        <f t="shared" si="181"/>
        <v>6</v>
      </c>
      <c r="J188">
        <f t="shared" si="182"/>
        <v>2</v>
      </c>
      <c r="N188">
        <f t="shared" si="199"/>
        <v>0.01</v>
      </c>
      <c r="O188" s="155">
        <f t="shared" si="131"/>
        <v>27171567.129662704</v>
      </c>
      <c r="Q188" s="180"/>
      <c r="R188" s="150"/>
      <c r="S188" s="150"/>
      <c r="T188" s="150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83"/>
    </row>
    <row r="189" spans="2:36">
      <c r="B189" t="str">
        <f t="shared" si="176"/>
        <v>FR0</v>
      </c>
      <c r="C189">
        <f t="shared" si="177"/>
        <v>2040</v>
      </c>
      <c r="D189" t="str">
        <f t="shared" si="178"/>
        <v>HYD_ROR</v>
      </c>
      <c r="E189" s="155">
        <f t="shared" si="130"/>
        <v>44194432.139504738</v>
      </c>
      <c r="F189" t="s">
        <v>31</v>
      </c>
      <c r="G189" t="str">
        <f t="shared" si="179"/>
        <v>run_of_river</v>
      </c>
      <c r="H189">
        <f t="shared" si="180"/>
        <v>4</v>
      </c>
      <c r="I189">
        <f t="shared" si="181"/>
        <v>6</v>
      </c>
      <c r="J189">
        <f t="shared" si="182"/>
        <v>2</v>
      </c>
      <c r="N189">
        <f t="shared" si="199"/>
        <v>0.01</v>
      </c>
      <c r="O189" s="155">
        <f t="shared" si="131"/>
        <v>44640840.544954285</v>
      </c>
      <c r="Q189" s="180"/>
      <c r="R189" s="150" t="s">
        <v>17</v>
      </c>
      <c r="S189" s="150" t="s">
        <v>100</v>
      </c>
      <c r="T189" s="150"/>
      <c r="U189" s="150"/>
      <c r="V189" s="150"/>
      <c r="W189" s="189">
        <f>SUMIFS($AS$4:$AS$69,$AP$4:$AP$69,$S189,$AR$4:$AR$69,$R189)</f>
        <v>12721100</v>
      </c>
      <c r="X189" s="188">
        <f t="shared" ref="X189:AE189" si="211">SUMIFS(X$256:X$302,$S$256:$S$302,$R189,$R$256:$R$302,$S189)*1000</f>
        <v>8781461.2180416398</v>
      </c>
      <c r="Y189" s="188">
        <f t="shared" si="211"/>
        <v>7791319.9957497995</v>
      </c>
      <c r="Z189" s="188">
        <f t="shared" si="211"/>
        <v>8009051.9923489802</v>
      </c>
      <c r="AA189" s="188">
        <f t="shared" si="211"/>
        <v>7759923.1945264898</v>
      </c>
      <c r="AB189" s="188">
        <f t="shared" si="211"/>
        <v>5066981.0470132194</v>
      </c>
      <c r="AC189" s="188">
        <f t="shared" si="211"/>
        <v>4492004.9892798997</v>
      </c>
      <c r="AD189" s="188">
        <f t="shared" si="211"/>
        <v>2811199.2184372898</v>
      </c>
      <c r="AE189" s="188">
        <f t="shared" si="211"/>
        <v>864431.66316101002</v>
      </c>
      <c r="AF189" s="150"/>
      <c r="AG189" s="183"/>
      <c r="AH189" t="str">
        <f t="shared" ref="AH189" si="212">R189&amp;"."&amp;S189</f>
        <v>IT0.OIL_LIN</v>
      </c>
      <c r="AJ189">
        <f>INDEX($AZ$2:$AZ$41,MATCH($S189,$AY$2:$AY$41,0))</f>
        <v>8.5000000000000006E-2</v>
      </c>
    </row>
    <row r="190" spans="2:36">
      <c r="B190" t="str">
        <f t="shared" si="176"/>
        <v>DE0</v>
      </c>
      <c r="C190">
        <f t="shared" si="177"/>
        <v>2045</v>
      </c>
      <c r="D190" t="str">
        <f t="shared" si="178"/>
        <v>HYD_ROR</v>
      </c>
      <c r="E190" s="155">
        <f t="shared" si="130"/>
        <v>22984949.210679315</v>
      </c>
      <c r="F190" t="s">
        <v>31</v>
      </c>
      <c r="G190" t="str">
        <f t="shared" si="179"/>
        <v>run_of_river</v>
      </c>
      <c r="H190">
        <f t="shared" si="180"/>
        <v>1</v>
      </c>
      <c r="I190">
        <f t="shared" si="181"/>
        <v>7</v>
      </c>
      <c r="J190">
        <f t="shared" si="182"/>
        <v>2</v>
      </c>
      <c r="N190">
        <f t="shared" si="199"/>
        <v>0.01</v>
      </c>
      <c r="O190" s="155">
        <f t="shared" si="131"/>
        <v>23217120.414827593</v>
      </c>
      <c r="Q190" s="180" t="s">
        <v>404</v>
      </c>
      <c r="R190" s="150" t="s">
        <v>17</v>
      </c>
      <c r="S190" s="150" t="s">
        <v>100</v>
      </c>
      <c r="T190" s="150"/>
      <c r="U190" s="150"/>
      <c r="V190" s="150"/>
      <c r="W190" s="188">
        <f>INDEX(ALL_CAPACITY!$P$6:$X$84,MATCH($R190&amp;"."&amp;$S190,ALL_CAPACITY!$Z$6:$Z$84,0),MATCH(W$67,ALL_CAPACITY!$P$5:$X$5,0))</f>
        <v>3197.9</v>
      </c>
      <c r="X190" s="188">
        <f>INDEX(ALL_CAPACITY!$P$6:$X$84,MATCH($R190&amp;"."&amp;$S190,ALL_CAPACITY!$Z$6:$Z$84,0),MATCH(X$67,ALL_CAPACITY!$P$5:$X$5,0))</f>
        <v>13927.99768</v>
      </c>
      <c r="Y190" s="188">
        <f>INDEX(ALL_CAPACITY!$P$6:$X$84,MATCH($R190&amp;"."&amp;$S190,ALL_CAPACITY!$Z$6:$Z$84,0),MATCH(Y$67,ALL_CAPACITY!$P$5:$X$5,0))</f>
        <v>8629.2116280374794</v>
      </c>
      <c r="Z190" s="188">
        <f>INDEX(ALL_CAPACITY!$P$6:$X$84,MATCH($R190&amp;"."&amp;$S190,ALL_CAPACITY!$Z$6:$Z$84,0),MATCH(Z$67,ALL_CAPACITY!$P$5:$X$5,0))</f>
        <v>6039.6877909933601</v>
      </c>
      <c r="AA190" s="188">
        <f>INDEX(ALL_CAPACITY!$P$6:$X$84,MATCH($R190&amp;"."&amp;$S190,ALL_CAPACITY!$Z$6:$Z$84,0),MATCH(AA$67,ALL_CAPACITY!$P$5:$X$5,0))</f>
        <v>2331.9670034559199</v>
      </c>
      <c r="AB190" s="188">
        <f>INDEX(ALL_CAPACITY!$P$6:$X$84,MATCH($R190&amp;"."&amp;$S190,ALL_CAPACITY!$Z$6:$Z$84,0),MATCH(AB$67,ALL_CAPACITY!$P$5:$X$5,0))</f>
        <v>797.77677413312904</v>
      </c>
      <c r="AC190" s="188">
        <f>INDEX(ALL_CAPACITY!$P$6:$X$84,MATCH($R190&amp;"."&amp;$S190,ALL_CAPACITY!$Z$6:$Z$84,0),MATCH(AC$67,ALL_CAPACITY!$P$5:$X$5,0))</f>
        <v>603.40888901077199</v>
      </c>
      <c r="AD190" s="188">
        <f>INDEX(ALL_CAPACITY!$P$6:$X$84,MATCH($R190&amp;"."&amp;$S190,ALL_CAPACITY!$Z$6:$Z$84,0),MATCH(AD$67,ALL_CAPACITY!$P$5:$X$5,0))</f>
        <v>483.39818350521301</v>
      </c>
      <c r="AE190" s="188">
        <f>INDEX(ALL_CAPACITY!$P$6:$X$84,MATCH($R190&amp;"."&amp;$S190,ALL_CAPACITY!$Z$6:$Z$84,0),MATCH(AE$67,ALL_CAPACITY!$P$5:$X$5,0))</f>
        <v>128.12163478751401</v>
      </c>
      <c r="AF190" s="150"/>
      <c r="AG190" s="183"/>
      <c r="AJ190">
        <f>INDEX($AZ$2:$AZ$41,MATCH($S190,$AY$2:$AY$41,0))</f>
        <v>8.5000000000000006E-2</v>
      </c>
    </row>
    <row r="191" spans="2:36">
      <c r="B191" t="str">
        <f t="shared" si="176"/>
        <v>IT0</v>
      </c>
      <c r="C191">
        <f t="shared" si="177"/>
        <v>2045</v>
      </c>
      <c r="D191" t="str">
        <f t="shared" si="178"/>
        <v>HYD_ROR</v>
      </c>
      <c r="E191" s="155">
        <f t="shared" si="130"/>
        <v>21945992.407412034</v>
      </c>
      <c r="F191" t="s">
        <v>31</v>
      </c>
      <c r="G191" t="str">
        <f t="shared" si="179"/>
        <v>run_of_river</v>
      </c>
      <c r="H191">
        <f t="shared" si="180"/>
        <v>2</v>
      </c>
      <c r="I191">
        <f t="shared" si="181"/>
        <v>7</v>
      </c>
      <c r="J191">
        <f t="shared" si="182"/>
        <v>2</v>
      </c>
      <c r="N191">
        <f t="shared" si="199"/>
        <v>0.01</v>
      </c>
      <c r="O191" s="155">
        <f t="shared" si="131"/>
        <v>22167669.098395992</v>
      </c>
      <c r="Q191" s="180" t="s">
        <v>398</v>
      </c>
      <c r="R191" s="150"/>
      <c r="S191" s="150"/>
      <c r="T191" s="150"/>
      <c r="U191" s="150"/>
      <c r="V191" s="150"/>
      <c r="W191" s="188">
        <f>W189/W190</f>
        <v>3977.9542824978889</v>
      </c>
      <c r="X191" s="188">
        <f t="shared" ref="X191" si="213">X189/X190</f>
        <v>630.48985358831851</v>
      </c>
      <c r="Y191" s="188">
        <f t="shared" ref="Y191" si="214">Y189/Y190</f>
        <v>902.90055819638769</v>
      </c>
      <c r="Z191" s="188">
        <f t="shared" ref="Z191" si="215">Z189/Z190</f>
        <v>1326.0705303827824</v>
      </c>
      <c r="AA191" s="188">
        <f t="shared" ref="AA191" si="216">AA189/AA190</f>
        <v>3327.6299291655787</v>
      </c>
      <c r="AB191" s="188">
        <f t="shared" ref="AB191" si="217">AB189/AB190</f>
        <v>6351.3769907867318</v>
      </c>
      <c r="AC191" s="188">
        <f t="shared" ref="AC191" si="218">AC189/AC190</f>
        <v>7444.3798742244071</v>
      </c>
      <c r="AD191" s="188">
        <f t="shared" ref="AD191" si="219">AD189/AD190</f>
        <v>5815.4939641120382</v>
      </c>
      <c r="AE191" s="188">
        <f t="shared" ref="AE191" si="220">AE189/AE190</f>
        <v>6746.9609218977312</v>
      </c>
      <c r="AF191" s="150"/>
      <c r="AG191" s="183"/>
      <c r="AH191" t="str">
        <f t="shared" ref="AH191" si="221">R191&amp;"."&amp;S191</f>
        <v>.</v>
      </c>
    </row>
    <row r="192" spans="2:36">
      <c r="B192" t="str">
        <f t="shared" si="176"/>
        <v>AT0</v>
      </c>
      <c r="C192">
        <f t="shared" si="177"/>
        <v>2045</v>
      </c>
      <c r="D192" t="str">
        <f t="shared" si="178"/>
        <v>HYD_ROR</v>
      </c>
      <c r="E192" s="155">
        <f t="shared" si="130"/>
        <v>26899851.458366077</v>
      </c>
      <c r="F192" t="s">
        <v>31</v>
      </c>
      <c r="G192" t="str">
        <f t="shared" si="179"/>
        <v>run_of_river</v>
      </c>
      <c r="H192">
        <f t="shared" si="180"/>
        <v>3</v>
      </c>
      <c r="I192">
        <f t="shared" si="181"/>
        <v>7</v>
      </c>
      <c r="J192">
        <f t="shared" si="182"/>
        <v>2</v>
      </c>
      <c r="N192">
        <f t="shared" si="199"/>
        <v>0.01</v>
      </c>
      <c r="O192" s="155">
        <f t="shared" si="131"/>
        <v>27171567.129662704</v>
      </c>
      <c r="Q192" s="18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83"/>
    </row>
    <row r="193" spans="2:36">
      <c r="B193" t="str">
        <f t="shared" si="176"/>
        <v>FR0</v>
      </c>
      <c r="C193">
        <f t="shared" si="177"/>
        <v>2045</v>
      </c>
      <c r="D193" t="str">
        <f t="shared" si="178"/>
        <v>HYD_ROR</v>
      </c>
      <c r="E193" s="155">
        <f t="shared" si="130"/>
        <v>45766899.97784733</v>
      </c>
      <c r="F193" t="s">
        <v>31</v>
      </c>
      <c r="G193" t="str">
        <f t="shared" si="179"/>
        <v>run_of_river</v>
      </c>
      <c r="H193">
        <f t="shared" si="180"/>
        <v>4</v>
      </c>
      <c r="I193">
        <f t="shared" si="181"/>
        <v>7</v>
      </c>
      <c r="J193">
        <f t="shared" si="182"/>
        <v>2</v>
      </c>
      <c r="N193">
        <f t="shared" si="199"/>
        <v>0.01</v>
      </c>
      <c r="O193" s="155">
        <f t="shared" si="131"/>
        <v>46229191.896815486</v>
      </c>
      <c r="Q193" s="180"/>
      <c r="R193" s="150" t="s">
        <v>16</v>
      </c>
      <c r="S193" s="150" t="s">
        <v>100</v>
      </c>
      <c r="T193" s="150"/>
      <c r="U193" s="150"/>
      <c r="V193" s="150"/>
      <c r="W193" s="189">
        <f>SUMIFS($AS$4:$AS$69,$AP$4:$AP$69,$S193,$AR$4:$AR$69,$R193)</f>
        <v>3800000</v>
      </c>
      <c r="X193" s="188">
        <f t="shared" ref="X193:AE193" si="222">SUMIFS(X$256:X$302,$S$256:$S$302,$R193,$R$256:$R$302,$S193)*1000</f>
        <v>515793.00401007006</v>
      </c>
      <c r="Y193" s="188">
        <f t="shared" si="222"/>
        <v>0</v>
      </c>
      <c r="Z193" s="188">
        <f t="shared" si="222"/>
        <v>336929.55975447898</v>
      </c>
      <c r="AA193" s="188">
        <f t="shared" si="222"/>
        <v>340579.65021547501</v>
      </c>
      <c r="AB193" s="188">
        <f t="shared" si="222"/>
        <v>242995.95669940501</v>
      </c>
      <c r="AC193" s="188">
        <f t="shared" si="222"/>
        <v>93248.878055774592</v>
      </c>
      <c r="AD193" s="188">
        <f t="shared" si="222"/>
        <v>117380.89870759999</v>
      </c>
      <c r="AE193" s="188">
        <f t="shared" si="222"/>
        <v>19568.5425478529</v>
      </c>
      <c r="AF193" s="150"/>
      <c r="AG193" s="183"/>
      <c r="AH193" t="str">
        <f t="shared" ref="AH193" si="223">R193&amp;"."&amp;S193</f>
        <v>FR0.OIL_LIN</v>
      </c>
      <c r="AJ193">
        <f>INDEX($AZ$2:$AZ$41,MATCH($S193,$AY$2:$AY$41,0))</f>
        <v>8.5000000000000006E-2</v>
      </c>
    </row>
    <row r="194" spans="2:36">
      <c r="B194" t="str">
        <f t="shared" si="176"/>
        <v>DE0</v>
      </c>
      <c r="C194">
        <f t="shared" si="177"/>
        <v>2050</v>
      </c>
      <c r="D194" t="str">
        <f t="shared" si="178"/>
        <v>HYD_ROR</v>
      </c>
      <c r="E194" s="155">
        <f t="shared" si="130"/>
        <v>23710260.360182155</v>
      </c>
      <c r="F194" t="s">
        <v>31</v>
      </c>
      <c r="G194" t="str">
        <f t="shared" si="179"/>
        <v>run_of_river</v>
      </c>
      <c r="H194">
        <f t="shared" si="180"/>
        <v>1</v>
      </c>
      <c r="I194">
        <f t="shared" si="181"/>
        <v>8</v>
      </c>
      <c r="J194">
        <f t="shared" si="182"/>
        <v>2</v>
      </c>
      <c r="N194">
        <f t="shared" si="199"/>
        <v>0.01</v>
      </c>
      <c r="O194" s="155">
        <f t="shared" si="131"/>
        <v>23949757.939577933</v>
      </c>
      <c r="Q194" s="180" t="s">
        <v>404</v>
      </c>
      <c r="R194" s="150" t="s">
        <v>16</v>
      </c>
      <c r="S194" s="150" t="s">
        <v>100</v>
      </c>
      <c r="T194" s="150"/>
      <c r="U194" s="150"/>
      <c r="V194" s="150"/>
      <c r="W194" s="188">
        <f>INDEX(ALL_CAPACITY!$P$6:$X$84,MATCH($R194&amp;"."&amp;$S194,ALL_CAPACITY!$Z$6:$Z$84,0),MATCH(W$67,ALL_CAPACITY!$P$5:$X$5,0))</f>
        <v>8496.5</v>
      </c>
      <c r="X194" s="188">
        <f>INDEX(ALL_CAPACITY!$P$6:$X$84,MATCH($R194&amp;"."&amp;$S194,ALL_CAPACITY!$Z$6:$Z$84,0),MATCH(X$67,ALL_CAPACITY!$P$5:$X$5,0))</f>
        <v>7692.8021099999996</v>
      </c>
      <c r="Y194" s="188">
        <f>INDEX(ALL_CAPACITY!$P$6:$X$84,MATCH($R194&amp;"."&amp;$S194,ALL_CAPACITY!$Z$6:$Z$84,0),MATCH(Y$67,ALL_CAPACITY!$P$5:$X$5,0))</f>
        <v>5008.3338227870099</v>
      </c>
      <c r="Z194" s="188">
        <f>INDEX(ALL_CAPACITY!$P$6:$X$84,MATCH($R194&amp;"."&amp;$S194,ALL_CAPACITY!$Z$6:$Z$84,0),MATCH(Z$67,ALL_CAPACITY!$P$5:$X$5,0))</f>
        <v>1849.26455278701</v>
      </c>
      <c r="AA194" s="188">
        <f>INDEX(ALL_CAPACITY!$P$6:$X$84,MATCH($R194&amp;"."&amp;$S194,ALL_CAPACITY!$Z$6:$Z$84,0),MATCH(AA$67,ALL_CAPACITY!$P$5:$X$5,0))</f>
        <v>1678.6422027870001</v>
      </c>
      <c r="AB194" s="188">
        <f>INDEX(ALL_CAPACITY!$P$6:$X$84,MATCH($R194&amp;"."&amp;$S194,ALL_CAPACITY!$Z$6:$Z$84,0),MATCH(AB$67,ALL_CAPACITY!$P$5:$X$5,0))</f>
        <v>799.20989999999995</v>
      </c>
      <c r="AC194" s="188">
        <f>INDEX(ALL_CAPACITY!$P$6:$X$84,MATCH($R194&amp;"."&amp;$S194,ALL_CAPACITY!$Z$6:$Z$84,0),MATCH(AC$67,ALL_CAPACITY!$P$5:$X$5,0))</f>
        <v>708.27380000000005</v>
      </c>
      <c r="AD194" s="188">
        <f>INDEX(ALL_CAPACITY!$P$6:$X$84,MATCH($R194&amp;"."&amp;$S194,ALL_CAPACITY!$Z$6:$Z$84,0),MATCH(AD$67,ALL_CAPACITY!$P$5:$X$5,0))</f>
        <v>693.75</v>
      </c>
      <c r="AE194" s="188">
        <f>INDEX(ALL_CAPACITY!$P$6:$X$84,MATCH($R194&amp;"."&amp;$S194,ALL_CAPACITY!$Z$6:$Z$84,0),MATCH(AE$67,ALL_CAPACITY!$P$5:$X$5,0))</f>
        <v>625.02200000000005</v>
      </c>
      <c r="AF194" s="150"/>
      <c r="AG194" s="183"/>
      <c r="AJ194">
        <f>INDEX($AZ$2:$AZ$41,MATCH($S194,$AY$2:$AY$41,0))</f>
        <v>8.5000000000000006E-2</v>
      </c>
    </row>
    <row r="195" spans="2:36">
      <c r="B195" t="str">
        <f t="shared" si="176"/>
        <v>IT0</v>
      </c>
      <c r="C195">
        <f t="shared" si="177"/>
        <v>2050</v>
      </c>
      <c r="D195" t="str">
        <f t="shared" si="178"/>
        <v>HYD_ROR</v>
      </c>
      <c r="E195" s="155">
        <f t="shared" si="130"/>
        <v>22017687.177123163</v>
      </c>
      <c r="F195" t="s">
        <v>31</v>
      </c>
      <c r="G195" t="str">
        <f t="shared" si="179"/>
        <v>run_of_river</v>
      </c>
      <c r="H195">
        <f t="shared" si="180"/>
        <v>2</v>
      </c>
      <c r="I195">
        <f t="shared" si="181"/>
        <v>8</v>
      </c>
      <c r="J195">
        <f t="shared" si="182"/>
        <v>2</v>
      </c>
      <c r="N195">
        <f t="shared" si="199"/>
        <v>0.01</v>
      </c>
      <c r="O195" s="155">
        <f t="shared" si="131"/>
        <v>22240088.057700165</v>
      </c>
      <c r="Q195" s="180" t="s">
        <v>398</v>
      </c>
      <c r="R195" s="150"/>
      <c r="S195" s="150"/>
      <c r="T195" s="150"/>
      <c r="U195" s="150"/>
      <c r="V195" s="150"/>
      <c r="W195" s="188">
        <f>W193/W194</f>
        <v>447.24298240451952</v>
      </c>
      <c r="X195" s="188">
        <f t="shared" ref="X195" si="224">X193/X194</f>
        <v>67.048781007843985</v>
      </c>
      <c r="Y195" s="188">
        <f t="shared" ref="Y195" si="225">Y193/Y194</f>
        <v>0</v>
      </c>
      <c r="Z195" s="188">
        <f t="shared" ref="Z195" si="226">Z193/Z194</f>
        <v>182.19651658098107</v>
      </c>
      <c r="AA195" s="188">
        <f t="shared" ref="AA195" si="227">AA193/AA194</f>
        <v>202.88996049903943</v>
      </c>
      <c r="AB195" s="188">
        <f t="shared" ref="AB195" si="228">AB193/AB194</f>
        <v>304.04522854309619</v>
      </c>
      <c r="AC195" s="188">
        <f t="shared" ref="AC195" si="229">AC193/AC194</f>
        <v>131.65654024725268</v>
      </c>
      <c r="AD195" s="188">
        <f t="shared" ref="AD195" si="230">AD193/AD194</f>
        <v>169.19769183077477</v>
      </c>
      <c r="AE195" s="188">
        <f t="shared" ref="AE195" si="231">AE193/AE194</f>
        <v>31.308566015040906</v>
      </c>
      <c r="AF195" s="150"/>
      <c r="AG195" s="183"/>
    </row>
    <row r="196" spans="2:36">
      <c r="B196" t="str">
        <f t="shared" si="176"/>
        <v>AT0</v>
      </c>
      <c r="C196">
        <f t="shared" si="177"/>
        <v>2050</v>
      </c>
      <c r="D196" t="str">
        <f t="shared" si="178"/>
        <v>HYD_ROR</v>
      </c>
      <c r="E196" s="155">
        <f t="shared" si="130"/>
        <v>27212500.20961567</v>
      </c>
      <c r="F196" t="s">
        <v>31</v>
      </c>
      <c r="G196" t="str">
        <f t="shared" si="179"/>
        <v>run_of_river</v>
      </c>
      <c r="H196">
        <f t="shared" si="180"/>
        <v>3</v>
      </c>
      <c r="I196">
        <f t="shared" si="181"/>
        <v>8</v>
      </c>
      <c r="J196">
        <f t="shared" si="182"/>
        <v>2</v>
      </c>
      <c r="N196">
        <f t="shared" si="199"/>
        <v>0.01</v>
      </c>
      <c r="O196" s="155">
        <f t="shared" si="131"/>
        <v>27487373.949106738</v>
      </c>
      <c r="Q196" s="180"/>
      <c r="R196" s="150"/>
      <c r="S196" s="150"/>
      <c r="T196" s="150"/>
      <c r="U196" s="150"/>
      <c r="V196" s="150"/>
      <c r="W196" s="150"/>
      <c r="X196" s="150"/>
      <c r="Y196" s="150"/>
      <c r="Z196" s="150"/>
      <c r="AA196" s="150"/>
      <c r="AB196" s="150"/>
      <c r="AC196" s="150"/>
      <c r="AD196" s="150"/>
      <c r="AE196" s="150"/>
      <c r="AF196" s="150"/>
      <c r="AG196" s="183"/>
    </row>
    <row r="197" spans="2:36">
      <c r="B197" t="str">
        <f t="shared" si="176"/>
        <v>FR0</v>
      </c>
      <c r="C197">
        <f t="shared" si="177"/>
        <v>2050</v>
      </c>
      <c r="D197" t="str">
        <f t="shared" si="178"/>
        <v>HYD_ROR</v>
      </c>
      <c r="E197" s="155">
        <f t="shared" si="130"/>
        <v>47366947.446375765</v>
      </c>
      <c r="F197" t="s">
        <v>31</v>
      </c>
      <c r="G197" t="str">
        <f t="shared" si="179"/>
        <v>run_of_river</v>
      </c>
      <c r="H197">
        <f t="shared" si="180"/>
        <v>4</v>
      </c>
      <c r="I197">
        <f t="shared" si="181"/>
        <v>8</v>
      </c>
      <c r="J197">
        <f t="shared" si="182"/>
        <v>2</v>
      </c>
      <c r="N197">
        <f t="shared" si="199"/>
        <v>0.01</v>
      </c>
      <c r="O197" s="155">
        <f t="shared" si="131"/>
        <v>47845401.460985623</v>
      </c>
      <c r="Q197" s="180"/>
      <c r="R197" s="150" t="s">
        <v>12</v>
      </c>
      <c r="S197" s="150" t="s">
        <v>100</v>
      </c>
      <c r="T197" s="150"/>
      <c r="U197" s="150"/>
      <c r="V197" s="150"/>
      <c r="W197" s="189">
        <f>SUMIFS($AS$4:$AS$69,$AP$4:$AP$69,$S197,$AR$4:$AR$69,$R197)</f>
        <v>832452.63103857404</v>
      </c>
      <c r="X197" s="188">
        <f t="shared" ref="X197:AE197" si="232">SUMIFS(X$256:X$302,$S$256:$S$302,$R197,$R$256:$R$302,$S197)*1000</f>
        <v>208076.353233047</v>
      </c>
      <c r="Y197" s="188">
        <f t="shared" si="232"/>
        <v>215400.96285487601</v>
      </c>
      <c r="Z197" s="188">
        <f t="shared" si="232"/>
        <v>77029.533325009499</v>
      </c>
      <c r="AA197" s="188">
        <f t="shared" si="232"/>
        <v>67414.650426081396</v>
      </c>
      <c r="AB197" s="188">
        <f t="shared" si="232"/>
        <v>63660.7096291653</v>
      </c>
      <c r="AC197" s="188">
        <f t="shared" si="232"/>
        <v>293.69499232960402</v>
      </c>
      <c r="AD197" s="188">
        <f t="shared" si="232"/>
        <v>293.69499232960402</v>
      </c>
      <c r="AE197" s="188">
        <f t="shared" si="232"/>
        <v>0</v>
      </c>
      <c r="AF197" s="150"/>
      <c r="AG197" s="183"/>
      <c r="AH197" t="str">
        <f t="shared" ref="AH197" si="233">R197&amp;"."&amp;S197</f>
        <v>AT0.OIL_LIN</v>
      </c>
      <c r="AJ197">
        <f>INDEX($AZ$2:$AZ$41,MATCH($S197,$AY$2:$AY$41,0))</f>
        <v>8.5000000000000006E-2</v>
      </c>
    </row>
    <row r="198" spans="2:36">
      <c r="B198" t="str">
        <f t="shared" ref="B198:B229" si="234">INDEX(H$125:H$132,H198)</f>
        <v>DE0</v>
      </c>
      <c r="C198">
        <f t="shared" ref="C198:C229" si="235">INDEX(I$125:I$132,I198)</f>
        <v>2015</v>
      </c>
      <c r="D198" t="str">
        <f t="shared" ref="D198:D229" si="236">INDEX(J$125:J$132,J198)</f>
        <v>WAS_ELC</v>
      </c>
      <c r="E198" s="155">
        <f t="shared" si="130"/>
        <v>10556220.495000001</v>
      </c>
      <c r="F198" t="s">
        <v>31</v>
      </c>
      <c r="G198" t="str">
        <f t="shared" ref="G198:G229" si="237">INDEX(K$125:K$132,J198)</f>
        <v>waste_mix</v>
      </c>
      <c r="H198">
        <f t="shared" si="180"/>
        <v>1</v>
      </c>
      <c r="I198">
        <f t="shared" si="181"/>
        <v>1</v>
      </c>
      <c r="J198">
        <f t="shared" si="182"/>
        <v>3</v>
      </c>
      <c r="N198">
        <f t="shared" si="199"/>
        <v>8.5000000000000006E-2</v>
      </c>
      <c r="O198" s="155">
        <f t="shared" si="131"/>
        <v>11536853</v>
      </c>
      <c r="Q198" s="180" t="s">
        <v>404</v>
      </c>
      <c r="R198" s="150" t="s">
        <v>12</v>
      </c>
      <c r="S198" s="150" t="s">
        <v>100</v>
      </c>
      <c r="T198" s="150"/>
      <c r="U198" s="150"/>
      <c r="V198" s="150"/>
      <c r="W198" s="188">
        <f>INDEX(ALL_CAPACITY!$P$6:$X$84,MATCH($R198&amp;"."&amp;$S198,ALL_CAPACITY!$Z$6:$Z$84,0),MATCH(W$67,ALL_CAPACITY!$P$5:$X$5,0))</f>
        <v>174</v>
      </c>
      <c r="X198" s="188">
        <f>INDEX(ALL_CAPACITY!$P$6:$X$84,MATCH($R198&amp;"."&amp;$S198,ALL_CAPACITY!$Z$6:$Z$84,0),MATCH(X$67,ALL_CAPACITY!$P$5:$X$5,0))</f>
        <v>970.58312000000001</v>
      </c>
      <c r="Y198" s="188">
        <f>INDEX(ALL_CAPACITY!$P$6:$X$84,MATCH($R198&amp;"."&amp;$S198,ALL_CAPACITY!$Z$6:$Z$84,0),MATCH(Y$67,ALL_CAPACITY!$P$5:$X$5,0))</f>
        <v>815.01612</v>
      </c>
      <c r="Z198" s="188">
        <f>INDEX(ALL_CAPACITY!$P$6:$X$84,MATCH($R198&amp;"."&amp;$S198,ALL_CAPACITY!$Z$6:$Z$84,0),MATCH(Z$67,ALL_CAPACITY!$P$5:$X$5,0))</f>
        <v>482.888652858483</v>
      </c>
      <c r="AA198" s="188">
        <f>INDEX(ALL_CAPACITY!$P$6:$X$84,MATCH($R198&amp;"."&amp;$S198,ALL_CAPACITY!$Z$6:$Z$84,0),MATCH(AA$67,ALL_CAPACITY!$P$5:$X$5,0))</f>
        <v>422.957882858483</v>
      </c>
      <c r="AB198" s="188">
        <f>INDEX(ALL_CAPACITY!$P$6:$X$84,MATCH($R198&amp;"."&amp;$S198,ALL_CAPACITY!$Z$6:$Z$84,0),MATCH(AB$67,ALL_CAPACITY!$P$5:$X$5,0))</f>
        <v>384.78213285848301</v>
      </c>
      <c r="AC198" s="188">
        <f>INDEX(ALL_CAPACITY!$P$6:$X$84,MATCH($R198&amp;"."&amp;$S198,ALL_CAPACITY!$Z$6:$Z$84,0),MATCH(AC$67,ALL_CAPACITY!$P$5:$X$5,0))</f>
        <v>8.4376999999999995</v>
      </c>
      <c r="AD198" s="188">
        <f>INDEX(ALL_CAPACITY!$P$6:$X$84,MATCH($R198&amp;"."&amp;$S198,ALL_CAPACITY!$Z$6:$Z$84,0),MATCH(AD$67,ALL_CAPACITY!$P$5:$X$5,0))</f>
        <v>3.2204999999999999</v>
      </c>
      <c r="AE198" s="188">
        <f>INDEX(ALL_CAPACITY!$P$6:$X$84,MATCH($R198&amp;"."&amp;$S198,ALL_CAPACITY!$Z$6:$Z$84,0),MATCH(AE$67,ALL_CAPACITY!$P$5:$X$5,0))</f>
        <v>0</v>
      </c>
      <c r="AF198" s="150"/>
      <c r="AG198" s="183"/>
      <c r="AJ198">
        <f>INDEX($AZ$2:$AZ$41,MATCH($S198,$AY$2:$AY$41,0))</f>
        <v>8.5000000000000006E-2</v>
      </c>
    </row>
    <row r="199" spans="2:36">
      <c r="B199" t="str">
        <f t="shared" si="234"/>
        <v>IT0</v>
      </c>
      <c r="C199">
        <f t="shared" si="235"/>
        <v>2015</v>
      </c>
      <c r="D199" t="str">
        <f t="shared" si="236"/>
        <v>WAS_ELC</v>
      </c>
      <c r="E199" s="155">
        <f t="shared" si="130"/>
        <v>2232417</v>
      </c>
      <c r="F199" t="s">
        <v>31</v>
      </c>
      <c r="G199" t="str">
        <f t="shared" si="237"/>
        <v>waste_mix</v>
      </c>
      <c r="H199">
        <f t="shared" ref="H199:H230" si="238">IF(H198=$H$124,1,H198+1)</f>
        <v>2</v>
      </c>
      <c r="I199">
        <f t="shared" ref="I199:I230" si="239">IF(H199=1,IF(I198=$I$124,1,I198+1),I198)</f>
        <v>1</v>
      </c>
      <c r="J199">
        <f t="shared" ref="J199:J230" si="240">IF(AND(I199=1,I198&gt;1),IF(J198=$J$124,1,J198+1),J198)</f>
        <v>3</v>
      </c>
      <c r="N199">
        <f t="shared" si="199"/>
        <v>8.5000000000000006E-2</v>
      </c>
      <c r="O199" s="155">
        <f t="shared" si="131"/>
        <v>2439800</v>
      </c>
      <c r="Q199" s="180" t="s">
        <v>398</v>
      </c>
      <c r="R199" s="150"/>
      <c r="S199" s="150"/>
      <c r="T199" s="150"/>
      <c r="U199" s="150"/>
      <c r="V199" s="150"/>
      <c r="W199" s="188">
        <f>W197/W198</f>
        <v>4784.2105232101958</v>
      </c>
      <c r="X199" s="188">
        <f t="shared" ref="X199" si="241">X197/X198</f>
        <v>214.38282713287555</v>
      </c>
      <c r="Y199" s="188">
        <f t="shared" ref="Y199" si="242">Y197/Y198</f>
        <v>264.29043250687607</v>
      </c>
      <c r="Z199" s="188">
        <f t="shared" ref="Z199" si="243">Z197/Z198</f>
        <v>159.51820956866436</v>
      </c>
      <c r="AA199" s="188">
        <f t="shared" ref="AA199" si="244">AA197/AA198</f>
        <v>159.38856599733262</v>
      </c>
      <c r="AB199" s="188">
        <f t="shared" ref="AB199" si="245">AB197/AB198</f>
        <v>165.44611662771445</v>
      </c>
      <c r="AC199" s="188">
        <f t="shared" ref="AC199" si="246">AC197/AC198</f>
        <v>34.807470321249163</v>
      </c>
      <c r="AD199" s="188">
        <f t="shared" ref="AD199" si="247">AD197/AD198</f>
        <v>91.195464160721642</v>
      </c>
      <c r="AE199" s="188" t="e">
        <f t="shared" ref="AE199" si="248">AE197/AE198</f>
        <v>#DIV/0!</v>
      </c>
      <c r="AF199" s="150"/>
      <c r="AG199" s="183"/>
    </row>
    <row r="200" spans="2:36">
      <c r="B200" t="str">
        <f t="shared" si="234"/>
        <v>AT0</v>
      </c>
      <c r="C200">
        <f t="shared" si="235"/>
        <v>2015</v>
      </c>
      <c r="D200" t="str">
        <f t="shared" si="236"/>
        <v>WAS_ELC</v>
      </c>
      <c r="E200" s="155">
        <f t="shared" si="130"/>
        <v>628843.82735840243</v>
      </c>
      <c r="F200" t="s">
        <v>31</v>
      </c>
      <c r="G200" t="str">
        <f t="shared" si="237"/>
        <v>waste_mix</v>
      </c>
      <c r="H200">
        <f t="shared" si="238"/>
        <v>3</v>
      </c>
      <c r="I200">
        <f t="shared" si="239"/>
        <v>1</v>
      </c>
      <c r="J200">
        <f t="shared" si="240"/>
        <v>3</v>
      </c>
      <c r="N200">
        <f t="shared" si="199"/>
        <v>8.5000000000000006E-2</v>
      </c>
      <c r="O200" s="155">
        <f t="shared" si="131"/>
        <v>687261.01350645069</v>
      </c>
      <c r="Q200" s="180"/>
      <c r="R200" s="150"/>
      <c r="S200" s="150"/>
      <c r="T200" s="150"/>
      <c r="U200" s="150"/>
      <c r="V200" s="150"/>
      <c r="W200" s="150"/>
      <c r="X200" s="150"/>
      <c r="Y200" s="150"/>
      <c r="Z200" s="150"/>
      <c r="AA200" s="150"/>
      <c r="AB200" s="150"/>
      <c r="AC200" s="150"/>
      <c r="AD200" s="150"/>
      <c r="AE200" s="150"/>
      <c r="AF200" s="150"/>
      <c r="AG200" s="183"/>
    </row>
    <row r="201" spans="2:36">
      <c r="B201" t="str">
        <f t="shared" si="234"/>
        <v>FR0</v>
      </c>
      <c r="C201">
        <f t="shared" si="235"/>
        <v>2015</v>
      </c>
      <c r="D201" t="str">
        <f t="shared" si="236"/>
        <v>WAS_ELC</v>
      </c>
      <c r="E201" s="155">
        <f t="shared" si="130"/>
        <v>3883260</v>
      </c>
      <c r="F201" t="s">
        <v>31</v>
      </c>
      <c r="G201" t="str">
        <f t="shared" si="237"/>
        <v>waste_mix</v>
      </c>
      <c r="H201">
        <f t="shared" si="238"/>
        <v>4</v>
      </c>
      <c r="I201">
        <f t="shared" si="239"/>
        <v>1</v>
      </c>
      <c r="J201">
        <f t="shared" si="240"/>
        <v>3</v>
      </c>
      <c r="N201">
        <f t="shared" si="199"/>
        <v>8.5000000000000006E-2</v>
      </c>
      <c r="O201" s="155">
        <f t="shared" si="131"/>
        <v>4244000</v>
      </c>
      <c r="Q201" s="185"/>
      <c r="R201" s="186"/>
      <c r="S201" s="186"/>
      <c r="T201" s="186"/>
      <c r="U201" s="186"/>
      <c r="V201" s="186"/>
      <c r="W201" s="186"/>
      <c r="X201" s="186"/>
      <c r="Y201" s="186"/>
      <c r="Z201" s="186"/>
      <c r="AA201" s="186"/>
      <c r="AB201" s="186"/>
      <c r="AC201" s="186"/>
      <c r="AD201" s="186"/>
      <c r="AE201" s="186"/>
      <c r="AF201" s="186"/>
      <c r="AG201" s="187"/>
    </row>
    <row r="202" spans="2:36">
      <c r="B202" t="str">
        <f t="shared" si="234"/>
        <v>DE0</v>
      </c>
      <c r="C202">
        <f t="shared" si="235"/>
        <v>2020</v>
      </c>
      <c r="D202" t="str">
        <f t="shared" si="236"/>
        <v>WAS_ELC</v>
      </c>
      <c r="E202" s="155">
        <f t="shared" si="130"/>
        <v>10556220.495000001</v>
      </c>
      <c r="F202" t="s">
        <v>31</v>
      </c>
      <c r="G202" t="str">
        <f t="shared" si="237"/>
        <v>waste_mix</v>
      </c>
      <c r="H202">
        <f t="shared" si="238"/>
        <v>1</v>
      </c>
      <c r="I202">
        <f t="shared" si="239"/>
        <v>2</v>
      </c>
      <c r="J202">
        <f t="shared" si="240"/>
        <v>3</v>
      </c>
      <c r="N202">
        <f t="shared" si="199"/>
        <v>8.5000000000000006E-2</v>
      </c>
      <c r="O202" s="155">
        <f t="shared" si="131"/>
        <v>11536853</v>
      </c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</row>
    <row r="203" spans="2:36">
      <c r="B203" t="str">
        <f t="shared" si="234"/>
        <v>IT0</v>
      </c>
      <c r="C203">
        <f t="shared" si="235"/>
        <v>2020</v>
      </c>
      <c r="D203" t="str">
        <f t="shared" si="236"/>
        <v>WAS_ELC</v>
      </c>
      <c r="E203" s="155">
        <f t="shared" si="130"/>
        <v>2793429.3150946372</v>
      </c>
      <c r="F203" t="s">
        <v>31</v>
      </c>
      <c r="G203" t="str">
        <f t="shared" si="237"/>
        <v>waste_mix</v>
      </c>
      <c r="H203">
        <f t="shared" si="238"/>
        <v>2</v>
      </c>
      <c r="I203">
        <f t="shared" si="239"/>
        <v>2</v>
      </c>
      <c r="J203">
        <f t="shared" si="240"/>
        <v>3</v>
      </c>
      <c r="N203">
        <f t="shared" si="199"/>
        <v>8.5000000000000006E-2</v>
      </c>
      <c r="O203" s="155">
        <f t="shared" si="131"/>
        <v>3052928.2132181828</v>
      </c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</row>
    <row r="204" spans="2:36">
      <c r="B204" t="str">
        <f t="shared" si="234"/>
        <v>AT0</v>
      </c>
      <c r="C204">
        <f t="shared" si="235"/>
        <v>2020</v>
      </c>
      <c r="D204" t="str">
        <f t="shared" si="236"/>
        <v>WAS_ELC</v>
      </c>
      <c r="E204" s="155">
        <f t="shared" ref="E204:E267" si="249">O204*(1-N204)</f>
        <v>772052.39119534066</v>
      </c>
      <c r="F204" t="s">
        <v>31</v>
      </c>
      <c r="G204" t="str">
        <f t="shared" si="237"/>
        <v>waste_mix</v>
      </c>
      <c r="H204">
        <f t="shared" si="238"/>
        <v>3</v>
      </c>
      <c r="I204">
        <f t="shared" si="239"/>
        <v>2</v>
      </c>
      <c r="J204">
        <f t="shared" si="240"/>
        <v>3</v>
      </c>
      <c r="N204">
        <f t="shared" si="199"/>
        <v>8.5000000000000006E-2</v>
      </c>
      <c r="O204" s="155">
        <f t="shared" ref="O204:O267" si="250">INDEX($W$21:$AE$249,MATCH(B204&amp;"."&amp;D204,$AH$21:$AH$249,0),MATCH(C204,$W$20:$AE$20,0))</f>
        <v>843773.10513151984</v>
      </c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</row>
    <row r="205" spans="2:36">
      <c r="B205" t="str">
        <f t="shared" si="234"/>
        <v>FR0</v>
      </c>
      <c r="C205">
        <f t="shared" si="235"/>
        <v>2020</v>
      </c>
      <c r="D205" t="str">
        <f t="shared" si="236"/>
        <v>WAS_ELC</v>
      </c>
      <c r="E205" s="155">
        <f t="shared" si="249"/>
        <v>6599044.3967947168</v>
      </c>
      <c r="F205" t="s">
        <v>31</v>
      </c>
      <c r="G205" t="str">
        <f t="shared" si="237"/>
        <v>waste_mix</v>
      </c>
      <c r="H205">
        <f t="shared" si="238"/>
        <v>4</v>
      </c>
      <c r="I205">
        <f t="shared" si="239"/>
        <v>2</v>
      </c>
      <c r="J205">
        <f t="shared" si="240"/>
        <v>3</v>
      </c>
      <c r="N205">
        <f t="shared" si="199"/>
        <v>8.5000000000000006E-2</v>
      </c>
      <c r="O205" s="155">
        <f t="shared" si="250"/>
        <v>7212070.3790106196</v>
      </c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</row>
    <row r="206" spans="2:36">
      <c r="B206" t="str">
        <f t="shared" si="234"/>
        <v>DE0</v>
      </c>
      <c r="C206">
        <f t="shared" si="235"/>
        <v>2025</v>
      </c>
      <c r="D206" t="str">
        <f t="shared" si="236"/>
        <v>WAS_ELC</v>
      </c>
      <c r="E206" s="155">
        <f t="shared" si="249"/>
        <v>10556220.495000001</v>
      </c>
      <c r="F206" t="s">
        <v>31</v>
      </c>
      <c r="G206" t="str">
        <f t="shared" si="237"/>
        <v>waste_mix</v>
      </c>
      <c r="H206">
        <f t="shared" si="238"/>
        <v>1</v>
      </c>
      <c r="I206">
        <f t="shared" si="239"/>
        <v>3</v>
      </c>
      <c r="J206">
        <f t="shared" si="240"/>
        <v>3</v>
      </c>
      <c r="N206">
        <f t="shared" si="199"/>
        <v>8.5000000000000006E-2</v>
      </c>
      <c r="O206" s="155">
        <f t="shared" si="250"/>
        <v>11536853</v>
      </c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</row>
    <row r="207" spans="2:36">
      <c r="B207" t="str">
        <f t="shared" si="234"/>
        <v>IT0</v>
      </c>
      <c r="C207">
        <f t="shared" si="235"/>
        <v>2025</v>
      </c>
      <c r="D207" t="str">
        <f t="shared" si="236"/>
        <v>WAS_ELC</v>
      </c>
      <c r="E207" s="155">
        <f t="shared" si="249"/>
        <v>2846947.3544831951</v>
      </c>
      <c r="F207" t="s">
        <v>31</v>
      </c>
      <c r="G207" t="str">
        <f t="shared" si="237"/>
        <v>waste_mix</v>
      </c>
      <c r="H207">
        <f t="shared" si="238"/>
        <v>2</v>
      </c>
      <c r="I207">
        <f t="shared" si="239"/>
        <v>3</v>
      </c>
      <c r="J207">
        <f t="shared" si="240"/>
        <v>3</v>
      </c>
      <c r="N207">
        <f t="shared" si="199"/>
        <v>8.5000000000000006E-2</v>
      </c>
      <c r="O207" s="155">
        <f t="shared" si="250"/>
        <v>3111417.8737521255</v>
      </c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</row>
    <row r="208" spans="2:36">
      <c r="B208" t="str">
        <f t="shared" si="234"/>
        <v>AT0</v>
      </c>
      <c r="C208">
        <f t="shared" si="235"/>
        <v>2025</v>
      </c>
      <c r="D208" t="str">
        <f t="shared" si="236"/>
        <v>WAS_ELC</v>
      </c>
      <c r="E208" s="155">
        <f t="shared" si="249"/>
        <v>759052.41226206953</v>
      </c>
      <c r="F208" t="s">
        <v>31</v>
      </c>
      <c r="G208" t="str">
        <f t="shared" si="237"/>
        <v>waste_mix</v>
      </c>
      <c r="H208">
        <f t="shared" si="238"/>
        <v>3</v>
      </c>
      <c r="I208">
        <f t="shared" si="239"/>
        <v>3</v>
      </c>
      <c r="J208">
        <f t="shared" si="240"/>
        <v>3</v>
      </c>
      <c r="N208">
        <f t="shared" si="199"/>
        <v>8.5000000000000006E-2</v>
      </c>
      <c r="O208" s="155">
        <f t="shared" si="250"/>
        <v>829565.47788204323</v>
      </c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</row>
    <row r="209" spans="2:36">
      <c r="B209" t="str">
        <f t="shared" si="234"/>
        <v>FR0</v>
      </c>
      <c r="C209">
        <f t="shared" si="235"/>
        <v>2025</v>
      </c>
      <c r="D209" t="str">
        <f t="shared" si="236"/>
        <v>WAS_ELC</v>
      </c>
      <c r="E209" s="155">
        <f t="shared" si="249"/>
        <v>7516572.5650760578</v>
      </c>
      <c r="F209" t="s">
        <v>31</v>
      </c>
      <c r="G209" t="str">
        <f t="shared" si="237"/>
        <v>waste_mix</v>
      </c>
      <c r="H209">
        <f t="shared" si="238"/>
        <v>4</v>
      </c>
      <c r="I209">
        <f t="shared" si="239"/>
        <v>3</v>
      </c>
      <c r="J209">
        <f t="shared" si="240"/>
        <v>3</v>
      </c>
      <c r="N209">
        <f t="shared" si="199"/>
        <v>8.5000000000000006E-2</v>
      </c>
      <c r="O209" s="155">
        <f t="shared" si="250"/>
        <v>8214833.4044547072</v>
      </c>
    </row>
    <row r="210" spans="2:36" ht="15">
      <c r="B210" t="str">
        <f t="shared" si="234"/>
        <v>DE0</v>
      </c>
      <c r="C210">
        <f t="shared" si="235"/>
        <v>2030</v>
      </c>
      <c r="D210" t="str">
        <f t="shared" si="236"/>
        <v>WAS_ELC</v>
      </c>
      <c r="E210" s="155">
        <f t="shared" si="249"/>
        <v>10556220.495000001</v>
      </c>
      <c r="F210" t="s">
        <v>31</v>
      </c>
      <c r="G210" t="str">
        <f t="shared" si="237"/>
        <v>waste_mix</v>
      </c>
      <c r="H210">
        <f t="shared" si="238"/>
        <v>1</v>
      </c>
      <c r="I210">
        <f t="shared" si="239"/>
        <v>4</v>
      </c>
      <c r="J210">
        <f t="shared" si="240"/>
        <v>3</v>
      </c>
      <c r="N210">
        <f t="shared" si="199"/>
        <v>8.5000000000000006E-2</v>
      </c>
      <c r="O210" s="155">
        <f t="shared" si="250"/>
        <v>11536853</v>
      </c>
      <c r="Q210" s="177" t="s">
        <v>474</v>
      </c>
      <c r="R210" s="178"/>
      <c r="S210" s="178"/>
      <c r="T210" s="178"/>
      <c r="U210" s="178"/>
      <c r="V210" s="178"/>
      <c r="W210" s="178"/>
      <c r="X210" s="178"/>
      <c r="Y210" s="178"/>
      <c r="Z210" s="178"/>
      <c r="AA210" s="178"/>
      <c r="AB210" s="178"/>
      <c r="AC210" s="178"/>
      <c r="AD210" s="178"/>
      <c r="AE210" s="178"/>
      <c r="AF210" s="178"/>
      <c r="AG210" s="179"/>
    </row>
    <row r="211" spans="2:36">
      <c r="B211" t="str">
        <f t="shared" si="234"/>
        <v>IT0</v>
      </c>
      <c r="C211">
        <f t="shared" si="235"/>
        <v>2030</v>
      </c>
      <c r="D211" t="str">
        <f t="shared" si="236"/>
        <v>WAS_ELC</v>
      </c>
      <c r="E211" s="155">
        <f t="shared" si="249"/>
        <v>2814200.6829785998</v>
      </c>
      <c r="F211" t="s">
        <v>31</v>
      </c>
      <c r="G211" t="str">
        <f t="shared" si="237"/>
        <v>waste_mix</v>
      </c>
      <c r="H211">
        <f t="shared" si="238"/>
        <v>2</v>
      </c>
      <c r="I211">
        <f t="shared" si="239"/>
        <v>4</v>
      </c>
      <c r="J211">
        <f t="shared" si="240"/>
        <v>3</v>
      </c>
      <c r="N211">
        <f t="shared" si="199"/>
        <v>8.5000000000000006E-2</v>
      </c>
      <c r="O211" s="155">
        <f t="shared" si="250"/>
        <v>3075629.1617252454</v>
      </c>
      <c r="Q211" s="180"/>
      <c r="R211" s="150" t="s">
        <v>15</v>
      </c>
      <c r="S211" s="150" t="s">
        <v>146</v>
      </c>
      <c r="T211" s="150"/>
      <c r="U211" s="150"/>
      <c r="V211" s="150"/>
      <c r="W211" s="189">
        <f>SUMIFS($AS$4:$AS$69,$AP$4:$AP$69,$S211,$AR$4:$AR$69,$R211)</f>
        <v>0</v>
      </c>
      <c r="X211" s="188">
        <f t="shared" ref="X211:AE211" si="251">SUMIFS(X$256:X$302,$S$256:$S$302,$R211,$R$256:$R$302,$S211)*1000</f>
        <v>66153320.47039751</v>
      </c>
      <c r="Y211" s="188">
        <f t="shared" si="251"/>
        <v>109449743.805814</v>
      </c>
      <c r="Z211" s="188">
        <f t="shared" si="251"/>
        <v>113228663.67316701</v>
      </c>
      <c r="AA211" s="188">
        <f t="shared" si="251"/>
        <v>128324174.161107</v>
      </c>
      <c r="AB211" s="188">
        <f t="shared" si="251"/>
        <v>130056895.989032</v>
      </c>
      <c r="AC211" s="188">
        <f t="shared" si="251"/>
        <v>139033447.25702101</v>
      </c>
      <c r="AD211" s="188">
        <f t="shared" si="251"/>
        <v>179224626.28509501</v>
      </c>
      <c r="AE211" s="188">
        <f t="shared" si="251"/>
        <v>195659045.94176599</v>
      </c>
      <c r="AF211" s="150"/>
      <c r="AG211" s="183"/>
      <c r="AH211" t="str">
        <f>R211&amp;"."&amp;S211</f>
        <v>DE0.WIN_TOT</v>
      </c>
    </row>
    <row r="212" spans="2:36">
      <c r="B212" t="str">
        <f t="shared" si="234"/>
        <v>AT0</v>
      </c>
      <c r="C212">
        <f t="shared" si="235"/>
        <v>2030</v>
      </c>
      <c r="D212" t="str">
        <f t="shared" si="236"/>
        <v>WAS_ELC</v>
      </c>
      <c r="E212" s="155">
        <f t="shared" si="249"/>
        <v>807503.74290518195</v>
      </c>
      <c r="F212" t="s">
        <v>31</v>
      </c>
      <c r="G212" t="str">
        <f t="shared" si="237"/>
        <v>waste_mix</v>
      </c>
      <c r="H212">
        <f t="shared" si="238"/>
        <v>3</v>
      </c>
      <c r="I212">
        <f t="shared" si="239"/>
        <v>4</v>
      </c>
      <c r="J212">
        <f t="shared" si="240"/>
        <v>3</v>
      </c>
      <c r="N212">
        <f t="shared" si="199"/>
        <v>8.5000000000000006E-2</v>
      </c>
      <c r="O212" s="155">
        <f t="shared" si="250"/>
        <v>882517.75180894195</v>
      </c>
      <c r="Q212" s="180" t="s">
        <v>404</v>
      </c>
      <c r="R212" s="150" t="s">
        <v>15</v>
      </c>
      <c r="S212" s="150" t="s">
        <v>120</v>
      </c>
      <c r="T212" s="150"/>
      <c r="U212" s="150"/>
      <c r="V212" s="150"/>
      <c r="W212" s="188">
        <f>INDEX(ALL_CAPACITY!$P$6:$X$84,MATCH($R212&amp;"."&amp;$S212,ALL_CAPACITY!$Z$6:$Z$84,0),MATCH(W$67,ALL_CAPACITY!$P$5:$X$5,0))</f>
        <v>41297</v>
      </c>
      <c r="X212" s="188">
        <f>INDEX(ALL_CAPACITY!$P$6:$X$84,MATCH($R212&amp;"."&amp;$S212,ALL_CAPACITY!$Z$6:$Z$84,0),MATCH(X$67,ALL_CAPACITY!$P$5:$X$5,0))</f>
        <v>41282.593240556656</v>
      </c>
      <c r="Y212" s="188">
        <f>INDEX(ALL_CAPACITY!$P$6:$X$84,MATCH($R212&amp;"."&amp;$S212,ALL_CAPACITY!$Z$6:$Z$84,0),MATCH(Y$67,ALL_CAPACITY!$P$5:$X$5,0))</f>
        <v>51938.861479939304</v>
      </c>
      <c r="Z212" s="188">
        <f>INDEX(ALL_CAPACITY!$P$6:$X$84,MATCH($R212&amp;"."&amp;$S212,ALL_CAPACITY!$Z$6:$Z$84,0),MATCH(Z$67,ALL_CAPACITY!$P$5:$X$5,0))</f>
        <v>52085.675893279054</v>
      </c>
      <c r="AA212" s="188">
        <f>INDEX(ALL_CAPACITY!$P$6:$X$84,MATCH($R212&amp;"."&amp;$S212,ALL_CAPACITY!$Z$6:$Z$84,0),MATCH(AA$67,ALL_CAPACITY!$P$5:$X$5,0))</f>
        <v>55282.481202403687</v>
      </c>
      <c r="AB212" s="188">
        <f>INDEX(ALL_CAPACITY!$P$6:$X$84,MATCH($R212&amp;"."&amp;$S212,ALL_CAPACITY!$Z$6:$Z$84,0),MATCH(AB$67,ALL_CAPACITY!$P$5:$X$5,0))</f>
        <v>53452.474731194125</v>
      </c>
      <c r="AC212" s="188">
        <f>INDEX(ALL_CAPACITY!$P$6:$X$84,MATCH($R212&amp;"."&amp;$S212,ALL_CAPACITY!$Z$6:$Z$84,0),MATCH(AC$67,ALL_CAPACITY!$P$5:$X$5,0))</f>
        <v>55194.439913639544</v>
      </c>
      <c r="AD212" s="188">
        <f>INDEX(ALL_CAPACITY!$P$6:$X$84,MATCH($R212&amp;"."&amp;$S212,ALL_CAPACITY!$Z$6:$Z$84,0),MATCH(AD$67,ALL_CAPACITY!$P$5:$X$5,0))</f>
        <v>64608.12587084416</v>
      </c>
      <c r="AE212" s="188">
        <f>INDEX(ALL_CAPACITY!$P$6:$X$84,MATCH($R212&amp;"."&amp;$S212,ALL_CAPACITY!$Z$6:$Z$84,0),MATCH(AE$67,ALL_CAPACITY!$P$5:$X$5,0))</f>
        <v>68828.785992298013</v>
      </c>
      <c r="AF212" s="150"/>
      <c r="AG212" s="183"/>
      <c r="AJ212">
        <f>INDEX($AZ$2:$AZ$41,MATCH($S212,$AY$2:$AY$41,0))</f>
        <v>0.01</v>
      </c>
    </row>
    <row r="213" spans="2:36">
      <c r="B213" t="str">
        <f t="shared" si="234"/>
        <v>FR0</v>
      </c>
      <c r="C213">
        <f t="shared" si="235"/>
        <v>2030</v>
      </c>
      <c r="D213" t="str">
        <f t="shared" si="236"/>
        <v>WAS_ELC</v>
      </c>
      <c r="E213" s="155">
        <f t="shared" si="249"/>
        <v>7824553.2350312704</v>
      </c>
      <c r="F213" t="s">
        <v>31</v>
      </c>
      <c r="G213" t="str">
        <f t="shared" si="237"/>
        <v>waste_mix</v>
      </c>
      <c r="H213">
        <f t="shared" si="238"/>
        <v>4</v>
      </c>
      <c r="I213">
        <f t="shared" si="239"/>
        <v>4</v>
      </c>
      <c r="J213">
        <f t="shared" si="240"/>
        <v>3</v>
      </c>
      <c r="N213">
        <f t="shared" si="199"/>
        <v>8.5000000000000006E-2</v>
      </c>
      <c r="O213" s="155">
        <f t="shared" si="250"/>
        <v>8551424.3005806226</v>
      </c>
      <c r="Q213" s="180" t="s">
        <v>404</v>
      </c>
      <c r="R213" s="150" t="s">
        <v>15</v>
      </c>
      <c r="S213" s="150" t="s">
        <v>115</v>
      </c>
      <c r="T213" s="150"/>
      <c r="U213" s="150"/>
      <c r="V213" s="150"/>
      <c r="W213" s="188">
        <f>INDEX(ALL_CAPACITY!$P$6:$X$84,MATCH($R213&amp;"."&amp;$S213,ALL_CAPACITY!$Z$6:$Z$84,0),MATCH(W$67,ALL_CAPACITY!$P$5:$X$5,0))</f>
        <v>3283</v>
      </c>
      <c r="X213" s="188">
        <f>INDEX(ALL_CAPACITY!$P$6:$X$84,MATCH($R213&amp;"."&amp;$S213,ALL_CAPACITY!$Z$6:$Z$84,0),MATCH(X$67,ALL_CAPACITY!$P$5:$X$5,0))</f>
        <v>3663.6067594433389</v>
      </c>
      <c r="Y213" s="188">
        <f>INDEX(ALL_CAPACITY!$P$6:$X$84,MATCH($R213&amp;"."&amp;$S213,ALL_CAPACITY!$Z$6:$Z$84,0),MATCH(Y$67,ALL_CAPACITY!$P$5:$X$5,0))</f>
        <v>9893.1164723693928</v>
      </c>
      <c r="Z213" s="188">
        <f>INDEX(ALL_CAPACITY!$P$6:$X$84,MATCH($R213&amp;"."&amp;$S213,ALL_CAPACITY!$Z$6:$Z$84,0),MATCH(Z$67,ALL_CAPACITY!$P$5:$X$5,0))</f>
        <v>9921.0811225293437</v>
      </c>
      <c r="AA213" s="188">
        <f>INDEX(ALL_CAPACITY!$P$6:$X$84,MATCH($R213&amp;"."&amp;$S213,ALL_CAPACITY!$Z$6:$Z$84,0),MATCH(AA$67,ALL_CAPACITY!$P$5:$X$5,0))</f>
        <v>11931.470763108709</v>
      </c>
      <c r="AB213" s="188">
        <f>INDEX(ALL_CAPACITY!$P$6:$X$84,MATCH($R213&amp;"."&amp;$S213,ALL_CAPACITY!$Z$6:$Z$84,0),MATCH(AB$67,ALL_CAPACITY!$P$5:$X$5,0))</f>
        <v>13761.477234318272</v>
      </c>
      <c r="AC213" s="188">
        <f>INDEX(ALL_CAPACITY!$P$6:$X$84,MATCH($R213&amp;"."&amp;$S213,ALL_CAPACITY!$Z$6:$Z$84,0),MATCH(AC$67,ALL_CAPACITY!$P$5:$X$5,0))</f>
        <v>14209.950655273055</v>
      </c>
      <c r="AD213" s="188">
        <f>INDEX(ALL_CAPACITY!$P$6:$X$84,MATCH($R213&amp;"."&amp;$S213,ALL_CAPACITY!$Z$6:$Z$84,0),MATCH(AD$67,ALL_CAPACITY!$P$5:$X$5,0))</f>
        <v>16633.528340732239</v>
      </c>
      <c r="AE213" s="188">
        <f>INDEX(ALL_CAPACITY!$P$6:$X$84,MATCH($R213&amp;"."&amp;$S213,ALL_CAPACITY!$Z$6:$Z$84,0),MATCH(AE$67,ALL_CAPACITY!$P$5:$X$5,0))</f>
        <v>17720.148155198676</v>
      </c>
      <c r="AF213" s="150"/>
      <c r="AG213" s="183"/>
      <c r="AJ213">
        <f>INDEX($AZ$2:$AZ$41,MATCH($S213,$AY$2:$AY$41,0))</f>
        <v>0.01</v>
      </c>
    </row>
    <row r="214" spans="2:36">
      <c r="B214" t="str">
        <f t="shared" si="234"/>
        <v>DE0</v>
      </c>
      <c r="C214">
        <f t="shared" si="235"/>
        <v>2035</v>
      </c>
      <c r="D214" t="str">
        <f t="shared" si="236"/>
        <v>WAS_ELC</v>
      </c>
      <c r="E214" s="155">
        <f t="shared" si="249"/>
        <v>10556220.495000001</v>
      </c>
      <c r="F214" t="s">
        <v>31</v>
      </c>
      <c r="G214" t="str">
        <f t="shared" si="237"/>
        <v>waste_mix</v>
      </c>
      <c r="H214">
        <f t="shared" si="238"/>
        <v>1</v>
      </c>
      <c r="I214">
        <f t="shared" si="239"/>
        <v>5</v>
      </c>
      <c r="J214">
        <f t="shared" si="240"/>
        <v>3</v>
      </c>
      <c r="N214">
        <f t="shared" si="199"/>
        <v>8.5000000000000006E-2</v>
      </c>
      <c r="O214" s="155">
        <f t="shared" si="250"/>
        <v>11536853</v>
      </c>
      <c r="Q214" s="180"/>
      <c r="R214" s="150"/>
      <c r="S214" s="150"/>
      <c r="T214" s="150"/>
      <c r="U214" s="150"/>
      <c r="V214" s="150"/>
      <c r="W214" s="188">
        <f t="shared" ref="W214:AE214" si="252">W211/SUM(W212:W213)</f>
        <v>0</v>
      </c>
      <c r="X214" s="188">
        <f t="shared" si="252"/>
        <v>1471.833446885332</v>
      </c>
      <c r="Y214" s="188">
        <f t="shared" si="252"/>
        <v>1770.115520002176</v>
      </c>
      <c r="Z214" s="188">
        <f t="shared" si="252"/>
        <v>1826.0697563057486</v>
      </c>
      <c r="AA214" s="188">
        <f t="shared" si="252"/>
        <v>1909.1895418818754</v>
      </c>
      <c r="AB214" s="188">
        <f t="shared" si="252"/>
        <v>1934.9687406531968</v>
      </c>
      <c r="AC214" s="188">
        <f t="shared" si="252"/>
        <v>2003.2370591738393</v>
      </c>
      <c r="AD214" s="188">
        <f t="shared" si="252"/>
        <v>2206.068155854422</v>
      </c>
      <c r="AE214" s="188">
        <f t="shared" si="252"/>
        <v>2260.6753955897811</v>
      </c>
      <c r="AF214" s="150"/>
      <c r="AG214" s="183"/>
    </row>
    <row r="215" spans="2:36">
      <c r="B215" t="str">
        <f t="shared" si="234"/>
        <v>IT0</v>
      </c>
      <c r="C215">
        <f t="shared" si="235"/>
        <v>2035</v>
      </c>
      <c r="D215" t="str">
        <f t="shared" si="236"/>
        <v>WAS_ELC</v>
      </c>
      <c r="E215" s="155">
        <f t="shared" si="249"/>
        <v>2888075.5357396477</v>
      </c>
      <c r="F215" t="s">
        <v>31</v>
      </c>
      <c r="G215" t="str">
        <f t="shared" si="237"/>
        <v>waste_mix</v>
      </c>
      <c r="H215">
        <f t="shared" si="238"/>
        <v>2</v>
      </c>
      <c r="I215">
        <f t="shared" si="239"/>
        <v>5</v>
      </c>
      <c r="J215">
        <f t="shared" si="240"/>
        <v>3</v>
      </c>
      <c r="N215">
        <f t="shared" si="199"/>
        <v>8.5000000000000006E-2</v>
      </c>
      <c r="O215" s="155">
        <f t="shared" si="250"/>
        <v>3156366.7057263907</v>
      </c>
      <c r="Q215" s="180"/>
      <c r="R215" s="150" t="s">
        <v>16</v>
      </c>
      <c r="S215" s="150" t="s">
        <v>146</v>
      </c>
      <c r="T215" s="150"/>
      <c r="U215" s="150"/>
      <c r="V215" s="150"/>
      <c r="W215" s="189">
        <f>SUMIFS($AS$4:$AS$69,$AP$4:$AP$69,$S215,$AR$4:$AR$69,$R215)</f>
        <v>0</v>
      </c>
      <c r="X215" s="188">
        <f t="shared" ref="X215:AE215" si="253">SUMIFS(X$256:X$302,$S$256:$S$302,$R215,$R$256:$R$302,$S215)*1000</f>
        <v>21516549.318470199</v>
      </c>
      <c r="Y215" s="188">
        <f t="shared" si="253"/>
        <v>55128602.239687301</v>
      </c>
      <c r="Z215" s="188">
        <f t="shared" si="253"/>
        <v>65349711.600884199</v>
      </c>
      <c r="AA215" s="188">
        <f t="shared" si="253"/>
        <v>83417634.058887795</v>
      </c>
      <c r="AB215" s="188">
        <f t="shared" si="253"/>
        <v>83550463.663565397</v>
      </c>
      <c r="AC215" s="188">
        <f t="shared" si="253"/>
        <v>103668021.94797</v>
      </c>
      <c r="AD215" s="188">
        <f t="shared" si="253"/>
        <v>121762989.960372</v>
      </c>
      <c r="AE215" s="188">
        <f t="shared" si="253"/>
        <v>171302313.82977298</v>
      </c>
      <c r="AF215" s="150"/>
      <c r="AG215" s="183"/>
      <c r="AH215" t="str">
        <f>R215&amp;"."&amp;S215</f>
        <v>FR0.WIN_TOT</v>
      </c>
    </row>
    <row r="216" spans="2:36">
      <c r="B216" t="str">
        <f t="shared" si="234"/>
        <v>AT0</v>
      </c>
      <c r="C216">
        <f t="shared" si="235"/>
        <v>2035</v>
      </c>
      <c r="D216" t="str">
        <f t="shared" si="236"/>
        <v>WAS_ELC</v>
      </c>
      <c r="E216" s="155">
        <f t="shared" si="249"/>
        <v>800670.42742913566</v>
      </c>
      <c r="F216" t="s">
        <v>31</v>
      </c>
      <c r="G216" t="str">
        <f t="shared" si="237"/>
        <v>waste_mix</v>
      </c>
      <c r="H216">
        <f t="shared" si="238"/>
        <v>3</v>
      </c>
      <c r="I216">
        <f t="shared" si="239"/>
        <v>5</v>
      </c>
      <c r="J216">
        <f t="shared" si="240"/>
        <v>3</v>
      </c>
      <c r="N216">
        <f t="shared" si="199"/>
        <v>8.5000000000000006E-2</v>
      </c>
      <c r="O216" s="155">
        <f t="shared" si="250"/>
        <v>875049.64746353624</v>
      </c>
      <c r="Q216" s="180" t="s">
        <v>404</v>
      </c>
      <c r="R216" s="150" t="s">
        <v>16</v>
      </c>
      <c r="S216" s="150" t="s">
        <v>120</v>
      </c>
      <c r="T216" s="150"/>
      <c r="U216" s="150"/>
      <c r="V216" s="150"/>
      <c r="W216" s="188">
        <f>INDEX(ALL_CAPACITY!$P$6:$X$84,MATCH($R216&amp;"."&amp;$S216,ALL_CAPACITY!$Z$6:$Z$84,0),MATCH(W$67,ALL_CAPACITY!$P$5:$X$5,0))</f>
        <v>10324.5</v>
      </c>
      <c r="X216" s="188">
        <f>INDEX(ALL_CAPACITY!$P$6:$X$84,MATCH($R216&amp;"."&amp;$S216,ALL_CAPACITY!$Z$6:$Z$84,0),MATCH(X$67,ALL_CAPACITY!$P$5:$X$5,0))</f>
        <v>10358.200000000001</v>
      </c>
      <c r="Y216" s="188">
        <f>INDEX(ALL_CAPACITY!$P$6:$X$84,MATCH($R216&amp;"."&amp;$S216,ALL_CAPACITY!$Z$6:$Z$84,0),MATCH(Y$67,ALL_CAPACITY!$P$5:$X$5,0))</f>
        <v>20469.963322958636</v>
      </c>
      <c r="Z216" s="188">
        <f>INDEX(ALL_CAPACITY!$P$6:$X$84,MATCH($R216&amp;"."&amp;$S216,ALL_CAPACITY!$Z$6:$Z$84,0),MATCH(Z$67,ALL_CAPACITY!$P$5:$X$5,0))</f>
        <v>20979.281158932474</v>
      </c>
      <c r="AA216" s="188">
        <f>INDEX(ALL_CAPACITY!$P$6:$X$84,MATCH($R216&amp;"."&amp;$S216,ALL_CAPACITY!$Z$6:$Z$84,0),MATCH(AA$67,ALL_CAPACITY!$P$5:$X$5,0))</f>
        <v>22914.911888970058</v>
      </c>
      <c r="AB216" s="188">
        <f>INDEX(ALL_CAPACITY!$P$6:$X$84,MATCH($R216&amp;"."&amp;$S216,ALL_CAPACITY!$Z$6:$Z$84,0),MATCH(AB$67,ALL_CAPACITY!$P$5:$X$5,0))</f>
        <v>22914.911888970058</v>
      </c>
      <c r="AC216" s="188">
        <f>INDEX(ALL_CAPACITY!$P$6:$X$84,MATCH($R216&amp;"."&amp;$S216,ALL_CAPACITY!$Z$6:$Z$84,0),MATCH(AC$67,ALL_CAPACITY!$P$5:$X$5,0))</f>
        <v>27463.543853365696</v>
      </c>
      <c r="AD216" s="188">
        <f>INDEX(ALL_CAPACITY!$P$6:$X$84,MATCH($R216&amp;"."&amp;$S216,ALL_CAPACITY!$Z$6:$Z$84,0),MATCH(AD$67,ALL_CAPACITY!$P$5:$X$5,0))</f>
        <v>31903.122328619804</v>
      </c>
      <c r="AE216" s="188">
        <f>INDEX(ALL_CAPACITY!$P$6:$X$84,MATCH($R216&amp;"."&amp;$S216,ALL_CAPACITY!$Z$6:$Z$84,0),MATCH(AE$67,ALL_CAPACITY!$P$5:$X$5,0))</f>
        <v>42870.423406673093</v>
      </c>
      <c r="AF216" s="150"/>
      <c r="AG216" s="183"/>
      <c r="AJ216">
        <f>INDEX($AZ$2:$AZ$41,MATCH($S216,$AY$2:$AY$41,0))</f>
        <v>0.01</v>
      </c>
    </row>
    <row r="217" spans="2:36">
      <c r="B217" t="str">
        <f t="shared" si="234"/>
        <v>FR0</v>
      </c>
      <c r="C217">
        <f t="shared" si="235"/>
        <v>2035</v>
      </c>
      <c r="D217" t="str">
        <f t="shared" si="236"/>
        <v>WAS_ELC</v>
      </c>
      <c r="E217" s="155">
        <f t="shared" si="249"/>
        <v>7891561.7323740972</v>
      </c>
      <c r="F217" t="s">
        <v>31</v>
      </c>
      <c r="G217" t="str">
        <f t="shared" si="237"/>
        <v>waste_mix</v>
      </c>
      <c r="H217">
        <f t="shared" si="238"/>
        <v>4</v>
      </c>
      <c r="I217">
        <f t="shared" si="239"/>
        <v>5</v>
      </c>
      <c r="J217">
        <f t="shared" si="240"/>
        <v>3</v>
      </c>
      <c r="N217">
        <f t="shared" si="199"/>
        <v>8.5000000000000006E-2</v>
      </c>
      <c r="O217" s="155">
        <f t="shared" si="250"/>
        <v>8624657.6310099419</v>
      </c>
      <c r="Q217" s="180" t="s">
        <v>404</v>
      </c>
      <c r="R217" s="150" t="s">
        <v>16</v>
      </c>
      <c r="S217" s="150" t="s">
        <v>115</v>
      </c>
      <c r="T217" s="150"/>
      <c r="U217" s="150"/>
      <c r="V217" s="150"/>
      <c r="W217" s="188">
        <f>INDEX(ALL_CAPACITY!$P$6:$X$84,MATCH($R217&amp;"."&amp;$S217,ALL_CAPACITY!$Z$6:$Z$84,0),MATCH(W$67,ALL_CAPACITY!$P$5:$X$5,0))</f>
        <v>0</v>
      </c>
      <c r="X217" s="188">
        <f>INDEX(ALL_CAPACITY!$P$6:$X$84,MATCH($R217&amp;"."&amp;$S217,ALL_CAPACITY!$Z$6:$Z$84,0),MATCH(X$67,ALL_CAPACITY!$P$5:$X$5,0))</f>
        <v>0</v>
      </c>
      <c r="Y217" s="188">
        <f>INDEX(ALL_CAPACITY!$P$6:$X$84,MATCH($R217&amp;"."&amp;$S217,ALL_CAPACITY!$Z$6:$Z$84,0),MATCH(Y$67,ALL_CAPACITY!$P$5:$X$5,0))</f>
        <v>1659.7267559155648</v>
      </c>
      <c r="Z217" s="188">
        <f>INDEX(ALL_CAPACITY!$P$6:$X$84,MATCH($R217&amp;"."&amp;$S217,ALL_CAPACITY!$Z$6:$Z$84,0),MATCH(Z$67,ALL_CAPACITY!$P$5:$X$5,0))</f>
        <v>4150.4089199417222</v>
      </c>
      <c r="AA217" s="188">
        <f>INDEX(ALL_CAPACITY!$P$6:$X$84,MATCH($R217&amp;"."&amp;$S217,ALL_CAPACITY!$Z$6:$Z$84,0),MATCH(AA$67,ALL_CAPACITY!$P$5:$X$5,0))</f>
        <v>7856.5412190754469</v>
      </c>
      <c r="AB217" s="188">
        <f>INDEX(ALL_CAPACITY!$P$6:$X$84,MATCH($R217&amp;"."&amp;$S217,ALL_CAPACITY!$Z$6:$Z$84,0),MATCH(AB$67,ALL_CAPACITY!$P$5:$X$5,0))</f>
        <v>7856.5412190754469</v>
      </c>
      <c r="AC217" s="188">
        <f>INDEX(ALL_CAPACITY!$P$6:$X$84,MATCH($R217&amp;"."&amp;$S217,ALL_CAPACITY!$Z$6:$Z$84,0),MATCH(AC$67,ALL_CAPACITY!$P$5:$X$5,0))</f>
        <v>9416.0721782968085</v>
      </c>
      <c r="AD217" s="188">
        <f>INDEX(ALL_CAPACITY!$P$6:$X$84,MATCH($R217&amp;"."&amp;$S217,ALL_CAPACITY!$Z$6:$Z$84,0),MATCH(AD$67,ALL_CAPACITY!$P$5:$X$5,0))</f>
        <v>10938.213369812502</v>
      </c>
      <c r="AE217" s="188">
        <f>INDEX(ALL_CAPACITY!$P$6:$X$84,MATCH($R217&amp;"."&amp;$S217,ALL_CAPACITY!$Z$6:$Z$84,0),MATCH(AE$67,ALL_CAPACITY!$P$5:$X$5,0))</f>
        <v>14698.430882287914</v>
      </c>
      <c r="AF217" s="150"/>
      <c r="AG217" s="183"/>
      <c r="AJ217">
        <f>INDEX($AZ$2:$AZ$41,MATCH($S217,$AY$2:$AY$41,0))</f>
        <v>0.01</v>
      </c>
    </row>
    <row r="218" spans="2:36">
      <c r="B218" t="str">
        <f t="shared" si="234"/>
        <v>DE0</v>
      </c>
      <c r="C218">
        <f t="shared" si="235"/>
        <v>2040</v>
      </c>
      <c r="D218" t="str">
        <f t="shared" si="236"/>
        <v>WAS_ELC</v>
      </c>
      <c r="E218" s="155">
        <f t="shared" si="249"/>
        <v>10556220.495000001</v>
      </c>
      <c r="F218" t="s">
        <v>31</v>
      </c>
      <c r="G218" t="str">
        <f t="shared" si="237"/>
        <v>waste_mix</v>
      </c>
      <c r="H218">
        <f t="shared" si="238"/>
        <v>1</v>
      </c>
      <c r="I218">
        <f t="shared" si="239"/>
        <v>6</v>
      </c>
      <c r="J218">
        <f t="shared" si="240"/>
        <v>3</v>
      </c>
      <c r="N218">
        <f t="shared" si="199"/>
        <v>8.5000000000000006E-2</v>
      </c>
      <c r="O218" s="155">
        <f t="shared" si="250"/>
        <v>11536853</v>
      </c>
      <c r="Q218" s="180"/>
      <c r="R218" s="150"/>
      <c r="S218" s="150"/>
      <c r="T218" s="150"/>
      <c r="U218" s="150"/>
      <c r="V218" s="150"/>
      <c r="W218" s="188">
        <f t="shared" ref="W218:AE218" si="254">W215/SUM(W216:W217)</f>
        <v>0</v>
      </c>
      <c r="X218" s="188">
        <f t="shared" si="254"/>
        <v>2077.2479116516574</v>
      </c>
      <c r="Y218" s="188">
        <f t="shared" si="254"/>
        <v>2491.1601582850476</v>
      </c>
      <c r="Z218" s="188">
        <f t="shared" si="254"/>
        <v>2600.4981118259716</v>
      </c>
      <c r="AA218" s="188">
        <f t="shared" si="254"/>
        <v>2710.8773110580669</v>
      </c>
      <c r="AB218" s="188">
        <f t="shared" si="254"/>
        <v>2715.1939614356493</v>
      </c>
      <c r="AC218" s="188">
        <f t="shared" si="254"/>
        <v>2810.984307943098</v>
      </c>
      <c r="AD218" s="188">
        <f t="shared" si="254"/>
        <v>2842.1847259264532</v>
      </c>
      <c r="AE218" s="188">
        <f t="shared" si="254"/>
        <v>2975.6074868181054</v>
      </c>
      <c r="AF218" s="150"/>
      <c r="AG218" s="183"/>
    </row>
    <row r="219" spans="2:36">
      <c r="B219" t="str">
        <f t="shared" si="234"/>
        <v>IT0</v>
      </c>
      <c r="C219">
        <f t="shared" si="235"/>
        <v>2040</v>
      </c>
      <c r="D219" t="str">
        <f t="shared" si="236"/>
        <v>WAS_ELC</v>
      </c>
      <c r="E219" s="155">
        <f t="shared" si="249"/>
        <v>3534344.2969541019</v>
      </c>
      <c r="F219" t="s">
        <v>31</v>
      </c>
      <c r="G219" t="str">
        <f t="shared" si="237"/>
        <v>waste_mix</v>
      </c>
      <c r="H219">
        <f t="shared" si="238"/>
        <v>2</v>
      </c>
      <c r="I219">
        <f t="shared" si="239"/>
        <v>6</v>
      </c>
      <c r="J219">
        <f t="shared" si="240"/>
        <v>3</v>
      </c>
      <c r="N219">
        <f t="shared" si="199"/>
        <v>8.5000000000000006E-2</v>
      </c>
      <c r="O219" s="155">
        <f t="shared" si="250"/>
        <v>3862671.3627913678</v>
      </c>
      <c r="Q219" s="180"/>
      <c r="R219" s="150" t="s">
        <v>12</v>
      </c>
      <c r="S219" s="150" t="s">
        <v>146</v>
      </c>
      <c r="T219" s="150"/>
      <c r="U219" s="150"/>
      <c r="V219" s="150"/>
      <c r="W219" s="189">
        <f>SUMIFS($AS$4:$AS$69,$AP$4:$AP$69,$S219,$AR$4:$AR$69,$R219)</f>
        <v>0</v>
      </c>
      <c r="X219" s="188">
        <f t="shared" ref="X219:AE219" si="255">SUMIFS(X$256:X$302,$S$256:$S$302,$R219,$R$256:$R$302,$S219)*1000</f>
        <v>3958212.1963833002</v>
      </c>
      <c r="Y219" s="188">
        <f t="shared" si="255"/>
        <v>4442621.1016638996</v>
      </c>
      <c r="Z219" s="188">
        <f t="shared" si="255"/>
        <v>7230646.6035179002</v>
      </c>
      <c r="AA219" s="188">
        <f t="shared" si="255"/>
        <v>10049776.431663901</v>
      </c>
      <c r="AB219" s="188">
        <f t="shared" si="255"/>
        <v>10161064.6620564</v>
      </c>
      <c r="AC219" s="188">
        <f t="shared" si="255"/>
        <v>10914539.3401135</v>
      </c>
      <c r="AD219" s="188">
        <f t="shared" si="255"/>
        <v>13598267.722197799</v>
      </c>
      <c r="AE219" s="188">
        <f t="shared" si="255"/>
        <v>15410272.9472588</v>
      </c>
      <c r="AF219" s="150"/>
      <c r="AG219" s="183"/>
      <c r="AH219" t="str">
        <f>R219&amp;"."&amp;S219</f>
        <v>AT0.WIN_TOT</v>
      </c>
    </row>
    <row r="220" spans="2:36">
      <c r="B220" t="str">
        <f t="shared" si="234"/>
        <v>AT0</v>
      </c>
      <c r="C220">
        <f t="shared" si="235"/>
        <v>2040</v>
      </c>
      <c r="D220" t="str">
        <f t="shared" si="236"/>
        <v>WAS_ELC</v>
      </c>
      <c r="E220" s="155">
        <f t="shared" si="249"/>
        <v>1025678.5276303918</v>
      </c>
      <c r="F220" t="s">
        <v>31</v>
      </c>
      <c r="G220" t="str">
        <f t="shared" si="237"/>
        <v>waste_mix</v>
      </c>
      <c r="H220">
        <f t="shared" si="238"/>
        <v>3</v>
      </c>
      <c r="I220">
        <f t="shared" si="239"/>
        <v>6</v>
      </c>
      <c r="J220">
        <f t="shared" si="240"/>
        <v>3</v>
      </c>
      <c r="N220">
        <f t="shared" si="199"/>
        <v>8.5000000000000006E-2</v>
      </c>
      <c r="O220" s="155">
        <f t="shared" si="250"/>
        <v>1120960.1394867669</v>
      </c>
      <c r="Q220" s="180" t="s">
        <v>404</v>
      </c>
      <c r="R220" s="150" t="s">
        <v>12</v>
      </c>
      <c r="S220" s="150" t="s">
        <v>120</v>
      </c>
      <c r="T220" s="150"/>
      <c r="U220" s="150"/>
      <c r="V220" s="150"/>
      <c r="W220" s="188">
        <f>INDEX(ALL_CAPACITY!$P$6:$X$84,MATCH($R220&amp;"."&amp;$S220,ALL_CAPACITY!$Z$6:$Z$84,0),MATCH(W$67,ALL_CAPACITY!$P$5:$X$5,0))</f>
        <v>2421</v>
      </c>
      <c r="X220" s="188">
        <f>INDEX(ALL_CAPACITY!$P$6:$X$84,MATCH($R220&amp;"."&amp;$S220,ALL_CAPACITY!$Z$6:$Z$84,0),MATCH(X$67,ALL_CAPACITY!$P$5:$X$5,0))</f>
        <v>2411.5</v>
      </c>
      <c r="Y220" s="188">
        <f>INDEX(ALL_CAPACITY!$P$6:$X$84,MATCH($R220&amp;"."&amp;$S220,ALL_CAPACITY!$Z$6:$Z$84,0),MATCH(Y$67,ALL_CAPACITY!$P$5:$X$5,0))</f>
        <v>2582.7889976764</v>
      </c>
      <c r="Z220" s="188">
        <f>INDEX(ALL_CAPACITY!$P$6:$X$84,MATCH($R220&amp;"."&amp;$S220,ALL_CAPACITY!$Z$6:$Z$84,0),MATCH(Z$67,ALL_CAPACITY!$P$5:$X$5,0))</f>
        <v>3663.84</v>
      </c>
      <c r="AA220" s="188">
        <f>INDEX(ALL_CAPACITY!$P$6:$X$84,MATCH($R220&amp;"."&amp;$S220,ALL_CAPACITY!$Z$6:$Z$84,0),MATCH(AA$67,ALL_CAPACITY!$P$5:$X$5,0))</f>
        <v>4544.5888077801101</v>
      </c>
      <c r="AB220" s="188">
        <f>INDEX(ALL_CAPACITY!$P$6:$X$84,MATCH($R220&amp;"."&amp;$S220,ALL_CAPACITY!$Z$6:$Z$84,0),MATCH(AB$67,ALL_CAPACITY!$P$5:$X$5,0))</f>
        <v>4544.5888077801101</v>
      </c>
      <c r="AC220" s="188">
        <f>INDEX(ALL_CAPACITY!$P$6:$X$84,MATCH($R220&amp;"."&amp;$S220,ALL_CAPACITY!$Z$6:$Z$84,0),MATCH(AC$67,ALL_CAPACITY!$P$5:$X$5,0))</f>
        <v>5025.6844286095502</v>
      </c>
      <c r="AD220" s="188">
        <f>INDEX(ALL_CAPACITY!$P$6:$X$84,MATCH($R220&amp;"."&amp;$S220,ALL_CAPACITY!$Z$6:$Z$84,0),MATCH(AD$67,ALL_CAPACITY!$P$5:$X$5,0))</f>
        <v>5986.2263881033696</v>
      </c>
      <c r="AE220" s="188">
        <f>INDEX(ALL_CAPACITY!$P$6:$X$84,MATCH($R220&amp;"."&amp;$S220,ALL_CAPACITY!$Z$6:$Z$84,0),MATCH(AE$67,ALL_CAPACITY!$P$5:$X$5,0))</f>
        <v>6802.6646620974898</v>
      </c>
      <c r="AF220" s="150"/>
      <c r="AG220" s="183"/>
      <c r="AJ220">
        <f>INDEX($AZ$2:$AZ$41,MATCH($S220,$AY$2:$AY$41,0))</f>
        <v>0.01</v>
      </c>
    </row>
    <row r="221" spans="2:36">
      <c r="B221" t="str">
        <f t="shared" si="234"/>
        <v>FR0</v>
      </c>
      <c r="C221">
        <f t="shared" si="235"/>
        <v>2040</v>
      </c>
      <c r="D221" t="str">
        <f t="shared" si="236"/>
        <v>WAS_ELC</v>
      </c>
      <c r="E221" s="155">
        <f t="shared" si="249"/>
        <v>8000035.5462993989</v>
      </c>
      <c r="F221" t="s">
        <v>31</v>
      </c>
      <c r="G221" t="str">
        <f t="shared" si="237"/>
        <v>waste_mix</v>
      </c>
      <c r="H221">
        <f t="shared" si="238"/>
        <v>4</v>
      </c>
      <c r="I221">
        <f t="shared" si="239"/>
        <v>6</v>
      </c>
      <c r="J221">
        <f t="shared" si="240"/>
        <v>3</v>
      </c>
      <c r="N221">
        <f t="shared" si="199"/>
        <v>8.5000000000000006E-2</v>
      </c>
      <c r="O221" s="155">
        <f t="shared" si="250"/>
        <v>8743208.2473217472</v>
      </c>
      <c r="Q221" s="180"/>
      <c r="R221" s="150"/>
      <c r="S221" s="150"/>
      <c r="T221" s="150"/>
      <c r="U221" s="150"/>
      <c r="V221" s="150"/>
      <c r="W221" s="188">
        <f>W218/SUM(W219:W220)</f>
        <v>0</v>
      </c>
      <c r="X221" s="188">
        <f>X219/SUM(X220)</f>
        <v>1641.390087656355</v>
      </c>
      <c r="Y221" s="188">
        <f t="shared" ref="Y221:AE221" si="256">Y219/SUM(Y220)</f>
        <v>1720.086737887103</v>
      </c>
      <c r="Z221" s="188">
        <f t="shared" si="256"/>
        <v>1973.5159296033396</v>
      </c>
      <c r="AA221" s="188">
        <f t="shared" si="256"/>
        <v>2211.3719979372354</v>
      </c>
      <c r="AB221" s="188">
        <f t="shared" si="256"/>
        <v>2235.8600726783384</v>
      </c>
      <c r="AC221" s="188">
        <f t="shared" si="256"/>
        <v>2171.7518270706887</v>
      </c>
      <c r="AD221" s="188">
        <f t="shared" si="256"/>
        <v>2271.5926262364715</v>
      </c>
      <c r="AE221" s="188">
        <f t="shared" si="256"/>
        <v>2265.3289134066026</v>
      </c>
      <c r="AF221" s="150"/>
      <c r="AG221" s="183"/>
    </row>
    <row r="222" spans="2:36">
      <c r="B222" t="str">
        <f t="shared" si="234"/>
        <v>DE0</v>
      </c>
      <c r="C222">
        <f t="shared" si="235"/>
        <v>2045</v>
      </c>
      <c r="D222" t="str">
        <f t="shared" si="236"/>
        <v>WAS_ELC</v>
      </c>
      <c r="E222" s="155">
        <f t="shared" si="249"/>
        <v>10556220.495000001</v>
      </c>
      <c r="F222" t="s">
        <v>31</v>
      </c>
      <c r="G222" t="str">
        <f t="shared" si="237"/>
        <v>waste_mix</v>
      </c>
      <c r="H222">
        <f t="shared" si="238"/>
        <v>1</v>
      </c>
      <c r="I222">
        <f t="shared" si="239"/>
        <v>7</v>
      </c>
      <c r="J222">
        <f t="shared" si="240"/>
        <v>3</v>
      </c>
      <c r="N222">
        <f t="shared" si="199"/>
        <v>8.5000000000000006E-2</v>
      </c>
      <c r="O222" s="155">
        <f t="shared" si="250"/>
        <v>11536853</v>
      </c>
      <c r="Q222" s="180"/>
      <c r="R222" s="150" t="s">
        <v>17</v>
      </c>
      <c r="S222" s="150" t="s">
        <v>146</v>
      </c>
      <c r="T222" s="150"/>
      <c r="U222" s="150"/>
      <c r="V222" s="150"/>
      <c r="W222" s="189">
        <f>SUMIFS($AS$4:$AS$69,$AP$4:$AP$69,$S222,$AR$4:$AR$69,$R222)</f>
        <v>0</v>
      </c>
      <c r="X222" s="188">
        <f t="shared" ref="X222:AE222" si="257">SUMIFS(X$256:X$302,$S$256:$S$302,$R222,$R$256:$R$302,$S222)*1000</f>
        <v>14627998.112011898</v>
      </c>
      <c r="Y222" s="188">
        <f t="shared" si="257"/>
        <v>14645538.091604799</v>
      </c>
      <c r="Z222" s="188">
        <f t="shared" si="257"/>
        <v>25587731.003884699</v>
      </c>
      <c r="AA222" s="188">
        <f t="shared" si="257"/>
        <v>32732246.950413302</v>
      </c>
      <c r="AB222" s="188">
        <f t="shared" si="257"/>
        <v>33760850.351018898</v>
      </c>
      <c r="AC222" s="188">
        <f t="shared" si="257"/>
        <v>39768467.599635303</v>
      </c>
      <c r="AD222" s="188">
        <f t="shared" si="257"/>
        <v>46429276.9184267</v>
      </c>
      <c r="AE222" s="188">
        <f t="shared" si="257"/>
        <v>62046572.211263999</v>
      </c>
      <c r="AF222" s="150"/>
      <c r="AG222" s="183"/>
      <c r="AH222" t="str">
        <f>R222&amp;"."&amp;S222</f>
        <v>IT0.WIN_TOT</v>
      </c>
    </row>
    <row r="223" spans="2:36">
      <c r="B223" t="str">
        <f t="shared" si="234"/>
        <v>IT0</v>
      </c>
      <c r="C223">
        <f t="shared" si="235"/>
        <v>2045</v>
      </c>
      <c r="D223" t="str">
        <f t="shared" si="236"/>
        <v>WAS_ELC</v>
      </c>
      <c r="E223" s="155">
        <f t="shared" si="249"/>
        <v>3540621.7742091478</v>
      </c>
      <c r="F223" t="s">
        <v>31</v>
      </c>
      <c r="G223" t="str">
        <f t="shared" si="237"/>
        <v>waste_mix</v>
      </c>
      <c r="H223">
        <f t="shared" si="238"/>
        <v>2</v>
      </c>
      <c r="I223">
        <f t="shared" si="239"/>
        <v>7</v>
      </c>
      <c r="J223">
        <f t="shared" si="240"/>
        <v>3</v>
      </c>
      <c r="N223">
        <f t="shared" si="199"/>
        <v>8.5000000000000006E-2</v>
      </c>
      <c r="O223" s="155">
        <f t="shared" si="250"/>
        <v>3869531.9936711998</v>
      </c>
      <c r="Q223" s="180" t="s">
        <v>404</v>
      </c>
      <c r="R223" s="150" t="s">
        <v>17</v>
      </c>
      <c r="S223" s="150" t="s">
        <v>120</v>
      </c>
      <c r="T223" s="150"/>
      <c r="U223" s="150"/>
      <c r="V223" s="150"/>
      <c r="W223" s="188">
        <f>INDEX(ALL_CAPACITY!$P$6:$X$84,MATCH($R223&amp;"."&amp;$S223,ALL_CAPACITY!$Z$6:$Z$84,0),MATCH(W$67,ALL_CAPACITY!$P$5:$X$5,0))</f>
        <v>9136.6291141882502</v>
      </c>
      <c r="X223" s="188">
        <f>INDEX(ALL_CAPACITY!$P$6:$X$84,MATCH($R223&amp;"."&amp;$S223,ALL_CAPACITY!$Z$6:$Z$84,0),MATCH(X$67,ALL_CAPACITY!$P$5:$X$5,0))</f>
        <v>8957.7999999999993</v>
      </c>
      <c r="Y223" s="188">
        <f>INDEX(ALL_CAPACITY!$P$6:$X$84,MATCH($R223&amp;"."&amp;$S223,ALL_CAPACITY!$Z$6:$Z$84,0),MATCH(Y$67,ALL_CAPACITY!$P$5:$X$5,0))</f>
        <v>8963.4827562516202</v>
      </c>
      <c r="Z223" s="188">
        <f>INDEX(ALL_CAPACITY!$P$6:$X$84,MATCH($R223&amp;"."&amp;$S223,ALL_CAPACITY!$Z$6:$Z$84,0),MATCH(Z$67,ALL_CAPACITY!$P$5:$X$5,0))</f>
        <v>12569.6664818425</v>
      </c>
      <c r="AA223" s="188">
        <f>INDEX(ALL_CAPACITY!$P$6:$X$84,MATCH($R223&amp;"."&amp;$S223,ALL_CAPACITY!$Z$6:$Z$84,0),MATCH(AA$67,ALL_CAPACITY!$P$5:$X$5,0))</f>
        <v>15577.442076106499</v>
      </c>
      <c r="AB223" s="188">
        <f>INDEX(ALL_CAPACITY!$P$6:$X$84,MATCH($R223&amp;"."&amp;$S223,ALL_CAPACITY!$Z$6:$Z$84,0),MATCH(AB$67,ALL_CAPACITY!$P$5:$X$5,0))</f>
        <v>15846.2694302456</v>
      </c>
      <c r="AC223" s="188">
        <f>INDEX(ALL_CAPACITY!$P$6:$X$84,MATCH($R223&amp;"."&amp;$S223,ALL_CAPACITY!$Z$6:$Z$84,0),MATCH(AC$67,ALL_CAPACITY!$P$5:$X$5,0))</f>
        <v>17735.692239690401</v>
      </c>
      <c r="AD223" s="188">
        <f>INDEX(ALL_CAPACITY!$P$6:$X$84,MATCH($R223&amp;"."&amp;$S223,ALL_CAPACITY!$Z$6:$Z$84,0),MATCH(AD$67,ALL_CAPACITY!$P$5:$X$5,0))</f>
        <v>19793.164398544501</v>
      </c>
      <c r="AE223" s="188">
        <f>INDEX(ALL_CAPACITY!$P$6:$X$84,MATCH($R223&amp;"."&amp;$S223,ALL_CAPACITY!$Z$6:$Z$84,0),MATCH(AE$67,ALL_CAPACITY!$P$5:$X$5,0))</f>
        <v>25957.2787707973</v>
      </c>
      <c r="AF223" s="150"/>
      <c r="AG223" s="183"/>
      <c r="AJ223">
        <f>INDEX($AZ$2:$AZ$41,MATCH($S223,$AY$2:$AY$41,0))</f>
        <v>0.01</v>
      </c>
    </row>
    <row r="224" spans="2:36">
      <c r="B224" t="str">
        <f t="shared" si="234"/>
        <v>AT0</v>
      </c>
      <c r="C224">
        <f t="shared" si="235"/>
        <v>2045</v>
      </c>
      <c r="D224" t="str">
        <f t="shared" si="236"/>
        <v>WAS_ELC</v>
      </c>
      <c r="E224" s="155">
        <f t="shared" si="249"/>
        <v>984358.56237532489</v>
      </c>
      <c r="F224" t="s">
        <v>31</v>
      </c>
      <c r="G224" t="str">
        <f t="shared" si="237"/>
        <v>waste_mix</v>
      </c>
      <c r="H224">
        <f t="shared" si="238"/>
        <v>3</v>
      </c>
      <c r="I224">
        <f t="shared" si="239"/>
        <v>7</v>
      </c>
      <c r="J224">
        <f t="shared" si="240"/>
        <v>3</v>
      </c>
      <c r="N224">
        <f t="shared" si="199"/>
        <v>8.5000000000000006E-2</v>
      </c>
      <c r="O224" s="155">
        <f t="shared" si="250"/>
        <v>1075801.7075140162</v>
      </c>
      <c r="Q224" s="180"/>
      <c r="R224" s="150"/>
      <c r="S224" s="150"/>
      <c r="T224" s="150"/>
      <c r="U224" s="150"/>
      <c r="V224" s="150"/>
      <c r="W224" s="188">
        <f>W221/SUM(W222:W223)</f>
        <v>0</v>
      </c>
      <c r="X224" s="188">
        <f>X222/SUM(X223)</f>
        <v>1632.9900323753488</v>
      </c>
      <c r="Y224" s="188">
        <f t="shared" ref="Y224" si="258">Y222/SUM(Y223)</f>
        <v>1633.9115598108565</v>
      </c>
      <c r="Z224" s="188">
        <f t="shared" ref="Z224" si="259">Z222/SUM(Z223)</f>
        <v>2035.673026078093</v>
      </c>
      <c r="AA224" s="188">
        <f t="shared" ref="AA224" si="260">AA222/SUM(AA223)</f>
        <v>2101.2594231128451</v>
      </c>
      <c r="AB224" s="188">
        <f t="shared" ref="AB224" si="261">AB222/SUM(AB223)</f>
        <v>2130.5235594808159</v>
      </c>
      <c r="AC224" s="188">
        <f t="shared" ref="AC224" si="262">AC222/SUM(AC223)</f>
        <v>2242.284488374135</v>
      </c>
      <c r="AD224" s="188">
        <f t="shared" ref="AD224" si="263">AD222/SUM(AD223)</f>
        <v>2345.7227951807895</v>
      </c>
      <c r="AE224" s="188">
        <f t="shared" ref="AE224" si="264">AE222/SUM(AE223)</f>
        <v>2390.3342395454879</v>
      </c>
      <c r="AF224" s="150"/>
      <c r="AG224" s="183"/>
    </row>
    <row r="225" spans="2:36">
      <c r="B225" t="str">
        <f t="shared" si="234"/>
        <v>FR0</v>
      </c>
      <c r="C225">
        <f t="shared" si="235"/>
        <v>2045</v>
      </c>
      <c r="D225" t="str">
        <f t="shared" si="236"/>
        <v>WAS_ELC</v>
      </c>
      <c r="E225" s="155">
        <f t="shared" si="249"/>
        <v>8205010.3159354748</v>
      </c>
      <c r="F225" t="s">
        <v>31</v>
      </c>
      <c r="G225" t="str">
        <f t="shared" si="237"/>
        <v>waste_mix</v>
      </c>
      <c r="H225">
        <f t="shared" si="238"/>
        <v>4</v>
      </c>
      <c r="I225">
        <f t="shared" si="239"/>
        <v>7</v>
      </c>
      <c r="J225">
        <f t="shared" si="240"/>
        <v>3</v>
      </c>
      <c r="N225">
        <f t="shared" si="199"/>
        <v>8.5000000000000006E-2</v>
      </c>
      <c r="O225" s="155">
        <f t="shared" si="250"/>
        <v>8967224.3890005182</v>
      </c>
      <c r="Q225" s="180"/>
      <c r="R225" s="150" t="s">
        <v>12</v>
      </c>
      <c r="S225" s="150" t="s">
        <v>105</v>
      </c>
      <c r="T225" s="150"/>
      <c r="U225" s="150"/>
      <c r="V225" s="150"/>
      <c r="W225" s="189">
        <f>SUMIFS($AS$4:$AS$69,$AP$4:$AP$69,$S225,$AR$4:$AR$69,$R225)</f>
        <v>937098</v>
      </c>
      <c r="X225" s="188">
        <f t="shared" ref="X225:AE225" si="265">SUMIFS(X$256:X$302,$S$256:$S$302,$R225,$R$256:$R$302,$S225)*1000</f>
        <v>871449.37575079908</v>
      </c>
      <c r="Y225" s="188">
        <f t="shared" si="265"/>
        <v>1174484.9698447098</v>
      </c>
      <c r="Z225" s="188">
        <f t="shared" si="265"/>
        <v>3124583.04888845</v>
      </c>
      <c r="AA225" s="188">
        <f t="shared" si="265"/>
        <v>3312184.8429676001</v>
      </c>
      <c r="AB225" s="188">
        <f t="shared" si="265"/>
        <v>3413766.1591192801</v>
      </c>
      <c r="AC225" s="188">
        <f t="shared" si="265"/>
        <v>3502270.1924624899</v>
      </c>
      <c r="AD225" s="188">
        <f t="shared" si="265"/>
        <v>3889822.0602433598</v>
      </c>
      <c r="AE225" s="188">
        <f t="shared" si="265"/>
        <v>5059820.4301921697</v>
      </c>
      <c r="AF225" s="150"/>
      <c r="AG225" s="183"/>
      <c r="AH225" t="str">
        <f>R225&amp;"."&amp;S225</f>
        <v>AT0.SOL_PHO</v>
      </c>
      <c r="AJ225">
        <f>INDEX($AZ$2:$AZ$41,MATCH($S225,$AY$2:$AY$41,0))</f>
        <v>0</v>
      </c>
    </row>
    <row r="226" spans="2:36">
      <c r="B226" t="str">
        <f t="shared" si="234"/>
        <v>DE0</v>
      </c>
      <c r="C226">
        <f t="shared" si="235"/>
        <v>2050</v>
      </c>
      <c r="D226" t="str">
        <f t="shared" si="236"/>
        <v>WAS_ELC</v>
      </c>
      <c r="E226" s="155">
        <f t="shared" si="249"/>
        <v>10556220.495000001</v>
      </c>
      <c r="F226" t="s">
        <v>31</v>
      </c>
      <c r="G226" t="str">
        <f t="shared" si="237"/>
        <v>waste_mix</v>
      </c>
      <c r="H226">
        <f t="shared" si="238"/>
        <v>1</v>
      </c>
      <c r="I226">
        <f t="shared" si="239"/>
        <v>8</v>
      </c>
      <c r="J226">
        <f t="shared" si="240"/>
        <v>3</v>
      </c>
      <c r="N226">
        <f t="shared" si="199"/>
        <v>8.5000000000000006E-2</v>
      </c>
      <c r="O226" s="155">
        <f t="shared" si="250"/>
        <v>11536853</v>
      </c>
      <c r="Q226" s="180" t="s">
        <v>404</v>
      </c>
      <c r="R226" s="150" t="s">
        <v>12</v>
      </c>
      <c r="S226" s="150" t="s">
        <v>105</v>
      </c>
      <c r="T226" s="150"/>
      <c r="U226" s="150"/>
      <c r="V226" s="150"/>
      <c r="W226" s="188">
        <f>INDEX(ALL_CAPACITY!$P$6:$X$84,MATCH($R226&amp;"."&amp;$S226,ALL_CAPACITY!$Z$6:$Z$84,0),MATCH(W$67,ALL_CAPACITY!$P$5:$X$5,0))</f>
        <v>931.56299999999999</v>
      </c>
      <c r="X226" s="188">
        <f>INDEX(ALL_CAPACITY!$P$6:$X$84,MATCH($R226&amp;"."&amp;$S226,ALL_CAPACITY!$Z$6:$Z$84,0),MATCH(X$67,ALL_CAPACITY!$P$5:$X$5,0))</f>
        <v>876</v>
      </c>
      <c r="Y226" s="188">
        <f>INDEX(ALL_CAPACITY!$P$6:$X$84,MATCH($R226&amp;"."&amp;$S226,ALL_CAPACITY!$Z$6:$Z$84,0),MATCH(Y$67,ALL_CAPACITY!$P$5:$X$5,0))</f>
        <v>1089.65065061156</v>
      </c>
      <c r="Z226" s="188">
        <f>INDEX(ALL_CAPACITY!$P$6:$X$84,MATCH($R226&amp;"."&amp;$S226,ALL_CAPACITY!$Z$6:$Z$84,0),MATCH(Z$67,ALL_CAPACITY!$P$5:$X$5,0))</f>
        <v>2692.0255474526298</v>
      </c>
      <c r="AA226" s="188">
        <f>INDEX(ALL_CAPACITY!$P$6:$X$84,MATCH($R226&amp;"."&amp;$S226,ALL_CAPACITY!$Z$6:$Z$84,0),MATCH(AA$67,ALL_CAPACITY!$P$5:$X$5,0))</f>
        <v>2821.0255474526298</v>
      </c>
      <c r="AB226" s="188">
        <f>INDEX(ALL_CAPACITY!$P$6:$X$84,MATCH($R226&amp;"."&amp;$S226,ALL_CAPACITY!$Z$6:$Z$84,0),MATCH(AB$67,ALL_CAPACITY!$P$5:$X$5,0))</f>
        <v>2888.0255474526298</v>
      </c>
      <c r="AC226" s="188">
        <f>INDEX(ALL_CAPACITY!$P$6:$X$84,MATCH($R226&amp;"."&amp;$S226,ALL_CAPACITY!$Z$6:$Z$84,0),MATCH(AC$67,ALL_CAPACITY!$P$5:$X$5,0))</f>
        <v>2930.0255474526298</v>
      </c>
      <c r="AD226" s="188">
        <f>INDEX(ALL_CAPACITY!$P$6:$X$84,MATCH($R226&amp;"."&amp;$S226,ALL_CAPACITY!$Z$6:$Z$84,0),MATCH(AD$67,ALL_CAPACITY!$P$5:$X$5,0))</f>
        <v>3196.7875074344702</v>
      </c>
      <c r="AE226" s="188">
        <f>INDEX(ALL_CAPACITY!$P$6:$X$84,MATCH($R226&amp;"."&amp;$S226,ALL_CAPACITY!$Z$6:$Z$84,0),MATCH(AE$67,ALL_CAPACITY!$P$5:$X$5,0))</f>
        <v>4008.7875074344702</v>
      </c>
      <c r="AF226" s="150"/>
      <c r="AG226" s="183"/>
      <c r="AJ226">
        <f>INDEX($AZ$2:$AZ$41,MATCH($S226,$AY$2:$AY$41,0))</f>
        <v>0</v>
      </c>
    </row>
    <row r="227" spans="2:36">
      <c r="B227" t="str">
        <f t="shared" si="234"/>
        <v>IT0</v>
      </c>
      <c r="C227">
        <f t="shared" si="235"/>
        <v>2050</v>
      </c>
      <c r="D227" t="str">
        <f t="shared" si="236"/>
        <v>WAS_ELC</v>
      </c>
      <c r="E227" s="155">
        <f t="shared" si="249"/>
        <v>3498475.9849488684</v>
      </c>
      <c r="F227" t="s">
        <v>31</v>
      </c>
      <c r="G227" t="str">
        <f t="shared" si="237"/>
        <v>waste_mix</v>
      </c>
      <c r="H227">
        <f t="shared" si="238"/>
        <v>2</v>
      </c>
      <c r="I227">
        <f t="shared" si="239"/>
        <v>8</v>
      </c>
      <c r="J227">
        <f t="shared" si="240"/>
        <v>3</v>
      </c>
      <c r="N227">
        <f t="shared" si="199"/>
        <v>8.5000000000000006E-2</v>
      </c>
      <c r="O227" s="155">
        <f t="shared" si="250"/>
        <v>3823471.0218020417</v>
      </c>
      <c r="Q227" s="180"/>
      <c r="R227" s="150"/>
      <c r="S227" s="150"/>
      <c r="T227" s="150"/>
      <c r="U227" s="150"/>
      <c r="V227" s="150"/>
      <c r="W227" s="188">
        <f>W224/SUM(W225:W226)</f>
        <v>0</v>
      </c>
      <c r="X227" s="188">
        <f>X225/SUM(X226)</f>
        <v>994.80522345981626</v>
      </c>
      <c r="Y227" s="188">
        <f t="shared" ref="Y227" si="266">Y225/SUM(Y226)</f>
        <v>1077.8546033864498</v>
      </c>
      <c r="Z227" s="188">
        <f t="shared" ref="Z227" si="267">Z225/SUM(Z226)</f>
        <v>1160.68105365684</v>
      </c>
      <c r="AA227" s="188">
        <f t="shared" ref="AA227" si="268">AA225/SUM(AA226)</f>
        <v>1174.1066457049581</v>
      </c>
      <c r="AB227" s="188">
        <f t="shared" ref="AB227" si="269">AB225/SUM(AB226)</f>
        <v>1182.0415377316788</v>
      </c>
      <c r="AC227" s="188">
        <f t="shared" ref="AC227" si="270">AC225/SUM(AC226)</f>
        <v>1195.3036366892331</v>
      </c>
      <c r="AD227" s="188">
        <f t="shared" ref="AD227" si="271">AD225/SUM(AD226)</f>
        <v>1216.7909350237273</v>
      </c>
      <c r="AE227" s="188">
        <f t="shared" ref="AE227" si="272">AE225/SUM(AE226)</f>
        <v>1262.1822485747907</v>
      </c>
      <c r="AF227" s="150"/>
      <c r="AG227" s="183"/>
    </row>
    <row r="228" spans="2:36">
      <c r="B228" t="str">
        <f t="shared" si="234"/>
        <v>AT0</v>
      </c>
      <c r="C228">
        <f t="shared" si="235"/>
        <v>2050</v>
      </c>
      <c r="D228" t="str">
        <f t="shared" si="236"/>
        <v>WAS_ELC</v>
      </c>
      <c r="E228" s="155">
        <f t="shared" si="249"/>
        <v>840029.36283621169</v>
      </c>
      <c r="F228" t="s">
        <v>31</v>
      </c>
      <c r="G228" t="str">
        <f t="shared" si="237"/>
        <v>waste_mix</v>
      </c>
      <c r="H228">
        <f t="shared" si="238"/>
        <v>3</v>
      </c>
      <c r="I228">
        <f t="shared" si="239"/>
        <v>8</v>
      </c>
      <c r="J228">
        <f t="shared" si="240"/>
        <v>3</v>
      </c>
      <c r="N228">
        <f t="shared" si="199"/>
        <v>8.5000000000000006E-2</v>
      </c>
      <c r="O228" s="155">
        <f t="shared" si="250"/>
        <v>918064.8774166248</v>
      </c>
      <c r="Q228" s="180"/>
      <c r="R228" s="150" t="s">
        <v>15</v>
      </c>
      <c r="S228" s="150" t="s">
        <v>105</v>
      </c>
      <c r="T228" s="150"/>
      <c r="U228" s="150"/>
      <c r="V228" s="150"/>
      <c r="W228" s="189">
        <f>SUMIFS($AS$4:$AS$69,$AP$4:$AP$69,$S228,$AR$4:$AR$69,$R228)</f>
        <v>38726000</v>
      </c>
      <c r="X228" s="188">
        <f t="shared" ref="X228:AE228" si="273">SUMIFS(X$256:X$302,$S$256:$S$302,$R228,$R$256:$R$302,$S228)*1000</f>
        <v>34611594.899224199</v>
      </c>
      <c r="Y228" s="188">
        <f t="shared" si="273"/>
        <v>48465362.989064999</v>
      </c>
      <c r="Z228" s="188">
        <f t="shared" si="273"/>
        <v>51777497.313538298</v>
      </c>
      <c r="AA228" s="188">
        <f t="shared" si="273"/>
        <v>60513390.975464202</v>
      </c>
      <c r="AB228" s="188">
        <f t="shared" si="273"/>
        <v>60978532.916030601</v>
      </c>
      <c r="AC228" s="188">
        <f t="shared" si="273"/>
        <v>63857101.641731799</v>
      </c>
      <c r="AD228" s="188">
        <f t="shared" si="273"/>
        <v>68812765.286356091</v>
      </c>
      <c r="AE228" s="188">
        <f t="shared" si="273"/>
        <v>83043860.283039391</v>
      </c>
      <c r="AF228" s="150"/>
      <c r="AG228" s="183"/>
      <c r="AH228" t="str">
        <f>R228&amp;"."&amp;S228</f>
        <v>DE0.SOL_PHO</v>
      </c>
      <c r="AJ228">
        <f>INDEX($AZ$2:$AZ$41,MATCH($S228,$AY$2:$AY$41,0))</f>
        <v>0</v>
      </c>
    </row>
    <row r="229" spans="2:36">
      <c r="B229" t="str">
        <f t="shared" si="234"/>
        <v>FR0</v>
      </c>
      <c r="C229">
        <f t="shared" si="235"/>
        <v>2050</v>
      </c>
      <c r="D229" t="str">
        <f t="shared" si="236"/>
        <v>WAS_ELC</v>
      </c>
      <c r="E229" s="155">
        <f t="shared" si="249"/>
        <v>8291056.0865338165</v>
      </c>
      <c r="F229" t="s">
        <v>31</v>
      </c>
      <c r="G229" t="str">
        <f t="shared" si="237"/>
        <v>waste_mix</v>
      </c>
      <c r="H229">
        <f t="shared" si="238"/>
        <v>4</v>
      </c>
      <c r="I229">
        <f t="shared" si="239"/>
        <v>8</v>
      </c>
      <c r="J229">
        <f t="shared" si="240"/>
        <v>3</v>
      </c>
      <c r="N229">
        <f t="shared" si="199"/>
        <v>8.5000000000000006E-2</v>
      </c>
      <c r="O229" s="155">
        <f t="shared" si="250"/>
        <v>9061263.4825506192</v>
      </c>
      <c r="Q229" s="180" t="s">
        <v>404</v>
      </c>
      <c r="R229" s="150" t="s">
        <v>15</v>
      </c>
      <c r="S229" s="150" t="s">
        <v>105</v>
      </c>
      <c r="T229" s="150"/>
      <c r="U229" s="150"/>
      <c r="V229" s="150"/>
      <c r="W229" s="188">
        <f>INDEX(ALL_CAPACITY!$P$6:$X$84,MATCH($R229&amp;"."&amp;$S229,ALL_CAPACITY!$Z$6:$Z$84,0),MATCH(W$67,ALL_CAPACITY!$P$5:$X$5,0))</f>
        <v>39224</v>
      </c>
      <c r="X229" s="188">
        <f>INDEX(ALL_CAPACITY!$P$6:$X$84,MATCH($R229&amp;"."&amp;$S229,ALL_CAPACITY!$Z$6:$Z$84,0),MATCH(X$67,ALL_CAPACITY!$P$5:$X$5,0))</f>
        <v>39756.639999999999</v>
      </c>
      <c r="Y229" s="188">
        <f>INDEX(ALL_CAPACITY!$P$6:$X$84,MATCH($R229&amp;"."&amp;$S229,ALL_CAPACITY!$Z$6:$Z$84,0),MATCH(Y$67,ALL_CAPACITY!$P$5:$X$5,0))</f>
        <v>52802.867668028601</v>
      </c>
      <c r="Z229" s="188">
        <f>INDEX(ALL_CAPACITY!$P$6:$X$84,MATCH($R229&amp;"."&amp;$S229,ALL_CAPACITY!$Z$6:$Z$84,0),MATCH(Z$67,ALL_CAPACITY!$P$5:$X$5,0))</f>
        <v>55900.764651489801</v>
      </c>
      <c r="AA229" s="188">
        <f>INDEX(ALL_CAPACITY!$P$6:$X$84,MATCH($R229&amp;"."&amp;$S229,ALL_CAPACITY!$Z$6:$Z$84,0),MATCH(AA$67,ALL_CAPACITY!$P$5:$X$5,0))</f>
        <v>63959.325331165601</v>
      </c>
      <c r="AB229" s="188">
        <f>INDEX(ALL_CAPACITY!$P$6:$X$84,MATCH($R229&amp;"."&amp;$S229,ALL_CAPACITY!$Z$6:$Z$84,0),MATCH(AB$67,ALL_CAPACITY!$P$5:$X$5,0))</f>
        <v>63959.325331165601</v>
      </c>
      <c r="AC229" s="188">
        <f>INDEX(ALL_CAPACITY!$P$6:$X$84,MATCH($R229&amp;"."&amp;$S229,ALL_CAPACITY!$Z$6:$Z$84,0),MATCH(AC$67,ALL_CAPACITY!$P$5:$X$5,0))</f>
        <v>65956.280250018506</v>
      </c>
      <c r="AD229" s="188">
        <f>INDEX(ALL_CAPACITY!$P$6:$X$84,MATCH($R229&amp;"."&amp;$S229,ALL_CAPACITY!$Z$6:$Z$84,0),MATCH(AD$67,ALL_CAPACITY!$P$5:$X$5,0))</f>
        <v>70530.792539669201</v>
      </c>
      <c r="AE229" s="188">
        <f>INDEX(ALL_CAPACITY!$P$6:$X$84,MATCH($R229&amp;"."&amp;$S229,ALL_CAPACITY!$Z$6:$Z$84,0),MATCH(AE$67,ALL_CAPACITY!$P$5:$X$5,0))</f>
        <v>86140.792539669201</v>
      </c>
      <c r="AF229" s="150"/>
      <c r="AG229" s="183"/>
      <c r="AJ229">
        <f>INDEX($AZ$2:$AZ$41,MATCH($S229,$AY$2:$AY$41,0))</f>
        <v>0</v>
      </c>
    </row>
    <row r="230" spans="2:36">
      <c r="B230" t="str">
        <f t="shared" ref="B230:B261" si="274">INDEX(H$125:H$132,H230)</f>
        <v>DE0</v>
      </c>
      <c r="C230">
        <f t="shared" ref="C230:C261" si="275">INDEX(I$125:I$132,I230)</f>
        <v>2015</v>
      </c>
      <c r="D230" t="str">
        <f t="shared" ref="D230:D261" si="276">INDEX(J$125:J$132,J230)</f>
        <v>BAL_ELC</v>
      </c>
      <c r="E230" s="155">
        <f t="shared" si="249"/>
        <v>40784295</v>
      </c>
      <c r="F230" t="s">
        <v>31</v>
      </c>
      <c r="G230" t="str">
        <f t="shared" ref="G230:G261" si="277">INDEX(K$125:K$132,J230)</f>
        <v>bio_all</v>
      </c>
      <c r="H230">
        <f t="shared" si="238"/>
        <v>1</v>
      </c>
      <c r="I230">
        <f t="shared" si="239"/>
        <v>1</v>
      </c>
      <c r="J230">
        <f t="shared" si="240"/>
        <v>4</v>
      </c>
      <c r="N230">
        <f t="shared" si="199"/>
        <v>8.5000000000000006E-2</v>
      </c>
      <c r="O230" s="155">
        <f t="shared" si="250"/>
        <v>44573000</v>
      </c>
      <c r="Q230" s="180"/>
      <c r="R230" s="150"/>
      <c r="S230" s="150"/>
      <c r="T230" s="150"/>
      <c r="U230" s="150"/>
      <c r="V230" s="150"/>
      <c r="W230" s="188">
        <f>W227/SUM(W228:W229)</f>
        <v>0</v>
      </c>
      <c r="X230" s="188">
        <f>X228/SUM(X229)</f>
        <v>870.58652087359997</v>
      </c>
      <c r="Y230" s="188">
        <f t="shared" ref="Y230" si="278">Y228/SUM(Y229)</f>
        <v>917.85475163520516</v>
      </c>
      <c r="Z230" s="188">
        <f t="shared" ref="Z230" si="279">Z228/SUM(Z229)</f>
        <v>926.23951812362884</v>
      </c>
      <c r="AA230" s="188">
        <f t="shared" ref="AA230" si="280">AA228/SUM(AA229)</f>
        <v>946.12303463397711</v>
      </c>
      <c r="AB230" s="188">
        <f t="shared" ref="AB230" si="281">AB228/SUM(AB229)</f>
        <v>953.39549940995789</v>
      </c>
      <c r="AC230" s="188">
        <f t="shared" ref="AC230" si="282">AC228/SUM(AC229)</f>
        <v>968.17318077475852</v>
      </c>
      <c r="AD230" s="188">
        <f t="shared" ref="AD230" si="283">AD228/SUM(AD229)</f>
        <v>975.64145827020411</v>
      </c>
      <c r="AE230" s="188">
        <f t="shared" ref="AE230" si="284">AE228/SUM(AE229)</f>
        <v>964.04801760787586</v>
      </c>
      <c r="AF230" s="150"/>
      <c r="AG230" s="183"/>
    </row>
    <row r="231" spans="2:36">
      <c r="B231" t="str">
        <f t="shared" si="274"/>
        <v>IT0</v>
      </c>
      <c r="C231">
        <f t="shared" si="275"/>
        <v>2015</v>
      </c>
      <c r="D231" t="str">
        <f t="shared" si="276"/>
        <v>BAL_ELC</v>
      </c>
      <c r="E231" s="155">
        <f t="shared" si="249"/>
        <v>16630857</v>
      </c>
      <c r="F231" t="s">
        <v>31</v>
      </c>
      <c r="G231" t="str">
        <f t="shared" si="277"/>
        <v>bio_all</v>
      </c>
      <c r="H231">
        <f t="shared" ref="H231:H261" si="285">IF(H230=$H$124,1,H230+1)</f>
        <v>2</v>
      </c>
      <c r="I231">
        <f t="shared" ref="I231:I261" si="286">IF(H231=1,IF(I230=$I$124,1,I230+1),I230)</f>
        <v>1</v>
      </c>
      <c r="J231">
        <f t="shared" ref="J231:J261" si="287">IF(AND(I231=1,I230&gt;1),IF(J230=$J$124,1,J230+1),J230)</f>
        <v>4</v>
      </c>
      <c r="N231">
        <f t="shared" si="199"/>
        <v>8.5000000000000006E-2</v>
      </c>
      <c r="O231" s="155">
        <f t="shared" si="250"/>
        <v>18175800</v>
      </c>
      <c r="Q231" s="180"/>
      <c r="R231" s="150" t="s">
        <v>16</v>
      </c>
      <c r="S231" s="150" t="s">
        <v>105</v>
      </c>
      <c r="T231" s="150"/>
      <c r="U231" s="150"/>
      <c r="V231" s="150"/>
      <c r="W231" s="189">
        <f>SUMIFS($AS$4:$AS$69,$AP$4:$AP$69,$S231,$AR$4:$AR$69,$R231)</f>
        <v>7262000</v>
      </c>
      <c r="X231" s="188">
        <f t="shared" ref="X231:AE231" si="288">SUMIFS(X$256:X$302,$S$256:$S$302,$R231,$R$256:$R$302,$S231)*1000</f>
        <v>8601328.492601661</v>
      </c>
      <c r="Y231" s="188">
        <f t="shared" si="288"/>
        <v>31588710.540029101</v>
      </c>
      <c r="Z231" s="188">
        <f t="shared" si="288"/>
        <v>39234166.1332964</v>
      </c>
      <c r="AA231" s="188">
        <f t="shared" si="288"/>
        <v>41048335.874749295</v>
      </c>
      <c r="AB231" s="188">
        <f t="shared" si="288"/>
        <v>41864978.183142304</v>
      </c>
      <c r="AC231" s="188">
        <f t="shared" si="288"/>
        <v>51256660.7010151</v>
      </c>
      <c r="AD231" s="188">
        <f t="shared" si="288"/>
        <v>58297696.755261004</v>
      </c>
      <c r="AE231" s="188">
        <f t="shared" si="288"/>
        <v>77182068.668514609</v>
      </c>
      <c r="AF231" s="150"/>
      <c r="AG231" s="183"/>
      <c r="AH231" t="str">
        <f>R231&amp;"."&amp;S231</f>
        <v>FR0.SOL_PHO</v>
      </c>
      <c r="AJ231">
        <f>INDEX($AZ$2:$AZ$41,MATCH($S231,$AY$2:$AY$41,0))</f>
        <v>0</v>
      </c>
    </row>
    <row r="232" spans="2:36">
      <c r="B232" t="str">
        <f t="shared" si="274"/>
        <v>AT0</v>
      </c>
      <c r="C232">
        <f t="shared" si="275"/>
        <v>2015</v>
      </c>
      <c r="D232" t="str">
        <f t="shared" si="276"/>
        <v>BAL_ELC</v>
      </c>
      <c r="E232" s="155">
        <f t="shared" si="249"/>
        <v>2423148.9838005793</v>
      </c>
      <c r="F232" t="s">
        <v>31</v>
      </c>
      <c r="G232" t="str">
        <f t="shared" si="277"/>
        <v>bio_all</v>
      </c>
      <c r="H232">
        <f t="shared" si="285"/>
        <v>3</v>
      </c>
      <c r="I232">
        <f t="shared" si="286"/>
        <v>1</v>
      </c>
      <c r="J232">
        <f t="shared" si="287"/>
        <v>4</v>
      </c>
      <c r="N232">
        <f t="shared" si="199"/>
        <v>8.5000000000000006E-2</v>
      </c>
      <c r="O232" s="155">
        <f t="shared" si="250"/>
        <v>2648250.2555197589</v>
      </c>
      <c r="Q232" s="180" t="s">
        <v>404</v>
      </c>
      <c r="R232" s="150" t="s">
        <v>16</v>
      </c>
      <c r="S232" s="150" t="s">
        <v>105</v>
      </c>
      <c r="T232" s="150"/>
      <c r="U232" s="150"/>
      <c r="V232" s="150"/>
      <c r="W232" s="188">
        <f>INDEX(ALL_CAPACITY!$P$6:$X$84,MATCH($R232&amp;"."&amp;$S232,ALL_CAPACITY!$Z$6:$Z$84,0),MATCH(W$67,ALL_CAPACITY!$P$5:$X$5,0))</f>
        <v>6196.2</v>
      </c>
      <c r="X232" s="188">
        <f>INDEX(ALL_CAPACITY!$P$6:$X$84,MATCH($R232&amp;"."&amp;$S232,ALL_CAPACITY!$Z$6:$Z$84,0),MATCH(X$67,ALL_CAPACITY!$P$5:$X$5,0))</f>
        <v>6100.17</v>
      </c>
      <c r="Y232" s="188">
        <f>INDEX(ALL_CAPACITY!$P$6:$X$84,MATCH($R232&amp;"."&amp;$S232,ALL_CAPACITY!$Z$6:$Z$84,0),MATCH(Y$67,ALL_CAPACITY!$P$5:$X$5,0))</f>
        <v>20535.284350296701</v>
      </c>
      <c r="Z232" s="188">
        <f>INDEX(ALL_CAPACITY!$P$6:$X$84,MATCH($R232&amp;"."&amp;$S232,ALL_CAPACITY!$Z$6:$Z$84,0),MATCH(Z$67,ALL_CAPACITY!$P$5:$X$5,0))</f>
        <v>24531.672330268499</v>
      </c>
      <c r="AA232" s="188">
        <f>INDEX(ALL_CAPACITY!$P$6:$X$84,MATCH($R232&amp;"."&amp;$S232,ALL_CAPACITY!$Z$6:$Z$84,0),MATCH(AA$67,ALL_CAPACITY!$P$5:$X$5,0))</f>
        <v>25381.672330268499</v>
      </c>
      <c r="AB232" s="188">
        <f>INDEX(ALL_CAPACITY!$P$6:$X$84,MATCH($R232&amp;"."&amp;$S232,ALL_CAPACITY!$Z$6:$Z$84,0),MATCH(AB$67,ALL_CAPACITY!$P$5:$X$5,0))</f>
        <v>25731.672330268499</v>
      </c>
      <c r="AC232" s="188">
        <f>INDEX(ALL_CAPACITY!$P$6:$X$84,MATCH($R232&amp;"."&amp;$S232,ALL_CAPACITY!$Z$6:$Z$84,0),MATCH(AC$67,ALL_CAPACITY!$P$5:$X$5,0))</f>
        <v>31850.081245220499</v>
      </c>
      <c r="AD232" s="188">
        <f>INDEX(ALL_CAPACITY!$P$6:$X$84,MATCH($R232&amp;"."&amp;$S232,ALL_CAPACITY!$Z$6:$Z$84,0),MATCH(AD$67,ALL_CAPACITY!$P$5:$X$5,0))</f>
        <v>35312.334179876503</v>
      </c>
      <c r="AE232" s="188">
        <f>INDEX(ALL_CAPACITY!$P$6:$X$84,MATCH($R232&amp;"."&amp;$S232,ALL_CAPACITY!$Z$6:$Z$84,0),MATCH(AE$67,ALL_CAPACITY!$P$5:$X$5,0))</f>
        <v>45200.004896947001</v>
      </c>
      <c r="AF232" s="150"/>
      <c r="AG232" s="183"/>
      <c r="AJ232">
        <f>INDEX($AZ$2:$AZ$41,MATCH($S232,$AY$2:$AY$41,0))</f>
        <v>0</v>
      </c>
    </row>
    <row r="233" spans="2:36">
      <c r="B233" t="str">
        <f t="shared" si="274"/>
        <v>FR0</v>
      </c>
      <c r="C233">
        <f t="shared" si="275"/>
        <v>2015</v>
      </c>
      <c r="D233" t="str">
        <f t="shared" si="276"/>
        <v>BAL_ELC</v>
      </c>
      <c r="E233" s="155">
        <f t="shared" si="249"/>
        <v>7287700.4999999991</v>
      </c>
      <c r="F233" t="s">
        <v>31</v>
      </c>
      <c r="G233" t="str">
        <f t="shared" si="277"/>
        <v>bio_all</v>
      </c>
      <c r="H233">
        <f t="shared" si="285"/>
        <v>4</v>
      </c>
      <c r="I233">
        <f t="shared" si="286"/>
        <v>1</v>
      </c>
      <c r="J233">
        <f t="shared" si="287"/>
        <v>4</v>
      </c>
      <c r="N233">
        <f t="shared" si="199"/>
        <v>8.5000000000000006E-2</v>
      </c>
      <c r="O233" s="155">
        <f t="shared" si="250"/>
        <v>7964699.9999999991</v>
      </c>
      <c r="Q233" s="180"/>
      <c r="R233" s="150"/>
      <c r="S233" s="150"/>
      <c r="T233" s="150"/>
      <c r="U233" s="150"/>
      <c r="V233" s="150"/>
      <c r="W233" s="188">
        <f>W230/SUM(W231:W232)</f>
        <v>0</v>
      </c>
      <c r="X233" s="188">
        <f>X231/SUM(X232)</f>
        <v>1410.0145557585545</v>
      </c>
      <c r="Y233" s="188">
        <f t="shared" ref="Y233" si="289">Y231/SUM(Y232)</f>
        <v>1538.2650661748785</v>
      </c>
      <c r="Z233" s="188">
        <f t="shared" ref="Z233" si="290">Z231/SUM(Z232)</f>
        <v>1599.3270089820649</v>
      </c>
      <c r="AA233" s="188">
        <f t="shared" ref="AA233" si="291">AA231/SUM(AA232)</f>
        <v>1617.243156425031</v>
      </c>
      <c r="AB233" s="188">
        <f t="shared" ref="AB233" si="292">AB231/SUM(AB232)</f>
        <v>1626.9824069652866</v>
      </c>
      <c r="AC233" s="188">
        <f t="shared" ref="AC233" si="293">AC231/SUM(AC232)</f>
        <v>1609.3102025825067</v>
      </c>
      <c r="AD233" s="188">
        <f t="shared" ref="AD233" si="294">AD231/SUM(AD232)</f>
        <v>1650.915979054231</v>
      </c>
      <c r="AE233" s="188">
        <f t="shared" ref="AE233" si="295">AE231/SUM(AE232)</f>
        <v>1707.5677058992489</v>
      </c>
      <c r="AF233" s="150"/>
      <c r="AG233" s="183"/>
    </row>
    <row r="234" spans="2:36">
      <c r="B234" t="str">
        <f t="shared" si="274"/>
        <v>DE0</v>
      </c>
      <c r="C234">
        <f t="shared" si="275"/>
        <v>2020</v>
      </c>
      <c r="D234" t="str">
        <f t="shared" si="276"/>
        <v>BAL_ELC</v>
      </c>
      <c r="E234" s="155">
        <f t="shared" si="249"/>
        <v>40784295</v>
      </c>
      <c r="F234" t="s">
        <v>31</v>
      </c>
      <c r="G234" t="str">
        <f t="shared" si="277"/>
        <v>bio_all</v>
      </c>
      <c r="H234">
        <f t="shared" si="285"/>
        <v>1</v>
      </c>
      <c r="I234">
        <f t="shared" si="286"/>
        <v>2</v>
      </c>
      <c r="J234">
        <f t="shared" si="287"/>
        <v>4</v>
      </c>
      <c r="N234">
        <f t="shared" si="199"/>
        <v>8.5000000000000006E-2</v>
      </c>
      <c r="O234" s="155">
        <f t="shared" si="250"/>
        <v>44573000</v>
      </c>
      <c r="Q234" s="180"/>
      <c r="R234" s="150" t="s">
        <v>17</v>
      </c>
      <c r="S234" s="150" t="s">
        <v>105</v>
      </c>
      <c r="T234" s="150"/>
      <c r="U234" s="150"/>
      <c r="V234" s="150"/>
      <c r="W234" s="189">
        <f>SUMIFS($AS$4:$AS$69,$AP$4:$AP$69,$S234,$AR$4:$AR$69,$R234)</f>
        <v>22942200</v>
      </c>
      <c r="X234" s="188">
        <f t="shared" ref="X234:AE234" si="296">SUMIFS(X$256:X$302,$S$256:$S$302,$R234,$R$256:$R$302,$S234)*1000</f>
        <v>23409301.3112133</v>
      </c>
      <c r="Y234" s="188">
        <f t="shared" si="296"/>
        <v>25552393.376553599</v>
      </c>
      <c r="Z234" s="188">
        <f t="shared" si="296"/>
        <v>31473134.609725799</v>
      </c>
      <c r="AA234" s="188">
        <f t="shared" si="296"/>
        <v>34026934.048563898</v>
      </c>
      <c r="AB234" s="188">
        <f t="shared" si="296"/>
        <v>36679053.857585102</v>
      </c>
      <c r="AC234" s="188">
        <f t="shared" si="296"/>
        <v>39891005.236769296</v>
      </c>
      <c r="AD234" s="188">
        <f t="shared" si="296"/>
        <v>74047388.558052108</v>
      </c>
      <c r="AE234" s="188">
        <f t="shared" si="296"/>
        <v>87928339.728152603</v>
      </c>
      <c r="AF234" s="150"/>
      <c r="AG234" s="183"/>
      <c r="AH234" t="str">
        <f>R234&amp;"."&amp;S234</f>
        <v>IT0.SOL_PHO</v>
      </c>
      <c r="AJ234">
        <f>INDEX($AZ$2:$AZ$41,MATCH($S234,$AY$2:$AY$41,0))</f>
        <v>0</v>
      </c>
    </row>
    <row r="235" spans="2:36">
      <c r="B235" t="str">
        <f t="shared" si="274"/>
        <v>IT0</v>
      </c>
      <c r="C235">
        <f t="shared" si="275"/>
        <v>2020</v>
      </c>
      <c r="D235" t="str">
        <f t="shared" si="276"/>
        <v>BAL_ELC</v>
      </c>
      <c r="E235" s="155">
        <f t="shared" si="249"/>
        <v>20810235.48868642</v>
      </c>
      <c r="F235" t="s">
        <v>31</v>
      </c>
      <c r="G235" t="str">
        <f t="shared" si="277"/>
        <v>bio_all</v>
      </c>
      <c r="H235">
        <f t="shared" si="285"/>
        <v>2</v>
      </c>
      <c r="I235">
        <f t="shared" si="286"/>
        <v>2</v>
      </c>
      <c r="J235">
        <f t="shared" si="287"/>
        <v>4</v>
      </c>
      <c r="N235">
        <f t="shared" si="199"/>
        <v>8.5000000000000006E-2</v>
      </c>
      <c r="O235" s="155">
        <f t="shared" si="250"/>
        <v>22743426.763591714</v>
      </c>
      <c r="Q235" s="180" t="s">
        <v>404</v>
      </c>
      <c r="R235" s="150" t="s">
        <v>17</v>
      </c>
      <c r="S235" s="150" t="s">
        <v>105</v>
      </c>
      <c r="T235" s="150"/>
      <c r="U235" s="150"/>
      <c r="V235" s="150"/>
      <c r="W235" s="188">
        <f>INDEX(ALL_CAPACITY!$P$6:$X$84,MATCH($R235&amp;"."&amp;$S235,ALL_CAPACITY!$Z$6:$Z$84,0),MATCH(W$67,ALL_CAPACITY!$P$5:$X$5,0))</f>
        <v>18900.79</v>
      </c>
      <c r="X235" s="188">
        <f>INDEX(ALL_CAPACITY!$P$6:$X$84,MATCH($R235&amp;"."&amp;$S235,ALL_CAPACITY!$Z$6:$Z$84,0),MATCH(X$67,ALL_CAPACITY!$P$5:$X$5,0))</f>
        <v>18904.953000000001</v>
      </c>
      <c r="Y235" s="188">
        <f>INDEX(ALL_CAPACITY!$P$6:$X$84,MATCH($R235&amp;"."&amp;$S235,ALL_CAPACITY!$Z$6:$Z$84,0),MATCH(Y$67,ALL_CAPACITY!$P$5:$X$5,0))</f>
        <v>20056.8173441047</v>
      </c>
      <c r="Z235" s="188">
        <f>INDEX(ALL_CAPACITY!$P$6:$X$84,MATCH($R235&amp;"."&amp;$S235,ALL_CAPACITY!$Z$6:$Z$84,0),MATCH(Z$67,ALL_CAPACITY!$P$5:$X$5,0))</f>
        <v>23014.953000000001</v>
      </c>
      <c r="AA235" s="188">
        <f>INDEX(ALL_CAPACITY!$P$6:$X$84,MATCH($R235&amp;"."&amp;$S235,ALL_CAPACITY!$Z$6:$Z$84,0),MATCH(AA$67,ALL_CAPACITY!$P$5:$X$5,0))</f>
        <v>24562.015301829899</v>
      </c>
      <c r="AB235" s="188">
        <f>INDEX(ALL_CAPACITY!$P$6:$X$84,MATCH($R235&amp;"."&amp;$S235,ALL_CAPACITY!$Z$6:$Z$84,0),MATCH(AB$67,ALL_CAPACITY!$P$5:$X$5,0))</f>
        <v>25711.015301829899</v>
      </c>
      <c r="AC235" s="188">
        <f>INDEX(ALL_CAPACITY!$P$6:$X$84,MATCH($R235&amp;"."&amp;$S235,ALL_CAPACITY!$Z$6:$Z$84,0),MATCH(AC$67,ALL_CAPACITY!$P$5:$X$5,0))</f>
        <v>27050.465516039501</v>
      </c>
      <c r="AD235" s="188">
        <f>INDEX(ALL_CAPACITY!$P$6:$X$84,MATCH($R235&amp;"."&amp;$S235,ALL_CAPACITY!$Z$6:$Z$84,0),MATCH(AD$67,ALL_CAPACITY!$P$5:$X$5,0))</f>
        <v>49227.450865438797</v>
      </c>
      <c r="AE235" s="188">
        <f>INDEX(ALL_CAPACITY!$P$6:$X$84,MATCH($R235&amp;"."&amp;$S235,ALL_CAPACITY!$Z$6:$Z$84,0),MATCH(AE$67,ALL_CAPACITY!$P$5:$X$5,0))</f>
        <v>56764.634816520003</v>
      </c>
      <c r="AF235" s="150"/>
      <c r="AG235" s="183"/>
      <c r="AJ235">
        <f>INDEX($AZ$2:$AZ$41,MATCH($S235,$AY$2:$AY$41,0))</f>
        <v>0</v>
      </c>
    </row>
    <row r="236" spans="2:36">
      <c r="B236" t="str">
        <f t="shared" si="274"/>
        <v>AT0</v>
      </c>
      <c r="C236">
        <f t="shared" si="275"/>
        <v>2020</v>
      </c>
      <c r="D236" t="str">
        <f t="shared" si="276"/>
        <v>BAL_ELC</v>
      </c>
      <c r="E236" s="155">
        <f t="shared" si="249"/>
        <v>2974980.2506999201</v>
      </c>
      <c r="F236" t="s">
        <v>31</v>
      </c>
      <c r="G236" t="str">
        <f t="shared" si="277"/>
        <v>bio_all</v>
      </c>
      <c r="H236">
        <f t="shared" si="285"/>
        <v>3</v>
      </c>
      <c r="I236">
        <f t="shared" si="286"/>
        <v>2</v>
      </c>
      <c r="J236">
        <f t="shared" si="287"/>
        <v>4</v>
      </c>
      <c r="N236">
        <f t="shared" si="199"/>
        <v>8.5000000000000006E-2</v>
      </c>
      <c r="O236" s="155">
        <f t="shared" si="250"/>
        <v>3251344.5362840658</v>
      </c>
      <c r="Q236" s="180"/>
      <c r="R236" s="150"/>
      <c r="S236" s="150"/>
      <c r="T236" s="150"/>
      <c r="U236" s="150"/>
      <c r="V236" s="150"/>
      <c r="W236" s="188">
        <f>W233/SUM(W234:W235)</f>
        <v>0</v>
      </c>
      <c r="X236" s="188">
        <f>X234/SUM(X235)</f>
        <v>1238.2628674725242</v>
      </c>
      <c r="Y236" s="188">
        <f t="shared" ref="Y236" si="297">Y234/SUM(Y235)</f>
        <v>1274.0004028637281</v>
      </c>
      <c r="Z236" s="188">
        <f t="shared" ref="Z236" si="298">Z234/SUM(Z235)</f>
        <v>1367.5080983100768</v>
      </c>
      <c r="AA236" s="188">
        <f t="shared" ref="AA236" si="299">AA234/SUM(AA235)</f>
        <v>1385.3478075974024</v>
      </c>
      <c r="AB236" s="188">
        <f t="shared" ref="AB236" si="300">AB234/SUM(AB235)</f>
        <v>1426.5890874785714</v>
      </c>
      <c r="AC236" s="188">
        <f t="shared" ref="AC236" si="301">AC234/SUM(AC235)</f>
        <v>1474.6883085289617</v>
      </c>
      <c r="AD236" s="188">
        <f t="shared" ref="AD236" si="302">AD234/SUM(AD235)</f>
        <v>1504.1889688835927</v>
      </c>
      <c r="AE236" s="188">
        <f t="shared" ref="AE236" si="303">AE234/SUM(AE235)</f>
        <v>1548.9985976719988</v>
      </c>
      <c r="AF236" s="150"/>
      <c r="AG236" s="183"/>
    </row>
    <row r="237" spans="2:36">
      <c r="B237" t="str">
        <f t="shared" si="274"/>
        <v>FR0</v>
      </c>
      <c r="C237">
        <f t="shared" si="275"/>
        <v>2020</v>
      </c>
      <c r="D237" t="str">
        <f t="shared" si="276"/>
        <v>BAL_ELC</v>
      </c>
      <c r="E237" s="155">
        <f t="shared" si="249"/>
        <v>12384403.606774479</v>
      </c>
      <c r="F237" t="s">
        <v>31</v>
      </c>
      <c r="G237" t="str">
        <f t="shared" si="277"/>
        <v>bio_all</v>
      </c>
      <c r="H237">
        <f t="shared" si="285"/>
        <v>4</v>
      </c>
      <c r="I237">
        <f t="shared" si="286"/>
        <v>2</v>
      </c>
      <c r="J237">
        <f t="shared" si="287"/>
        <v>4</v>
      </c>
      <c r="N237">
        <f t="shared" si="199"/>
        <v>8.5000000000000006E-2</v>
      </c>
      <c r="O237" s="155">
        <f t="shared" si="250"/>
        <v>13534867.329808174</v>
      </c>
      <c r="Q237" s="180"/>
      <c r="R237" s="150"/>
      <c r="S237" s="150"/>
      <c r="T237" s="150"/>
      <c r="U237" s="150"/>
      <c r="V237" s="150"/>
      <c r="W237" s="150"/>
      <c r="X237" s="150"/>
      <c r="Y237" s="150"/>
      <c r="Z237" s="150"/>
      <c r="AA237" s="150"/>
      <c r="AB237" s="150"/>
      <c r="AC237" s="150"/>
      <c r="AD237" s="150"/>
      <c r="AE237" s="150"/>
      <c r="AF237" s="150"/>
      <c r="AG237" s="183"/>
    </row>
    <row r="238" spans="2:36">
      <c r="B238" t="str">
        <f t="shared" si="274"/>
        <v>DE0</v>
      </c>
      <c r="C238">
        <f t="shared" si="275"/>
        <v>2025</v>
      </c>
      <c r="D238" t="str">
        <f t="shared" si="276"/>
        <v>BAL_ELC</v>
      </c>
      <c r="E238" s="155">
        <f t="shared" si="249"/>
        <v>40784295</v>
      </c>
      <c r="F238" t="s">
        <v>31</v>
      </c>
      <c r="G238" t="str">
        <f t="shared" si="277"/>
        <v>bio_all</v>
      </c>
      <c r="H238">
        <f t="shared" si="285"/>
        <v>1</v>
      </c>
      <c r="I238">
        <f t="shared" si="286"/>
        <v>3</v>
      </c>
      <c r="J238">
        <f t="shared" si="287"/>
        <v>4</v>
      </c>
      <c r="N238">
        <f t="shared" si="199"/>
        <v>8.5000000000000006E-2</v>
      </c>
      <c r="O238" s="155">
        <f t="shared" si="250"/>
        <v>44573000</v>
      </c>
      <c r="Q238" s="180"/>
      <c r="R238" s="150" t="s">
        <v>14</v>
      </c>
      <c r="S238" s="150" t="s">
        <v>120</v>
      </c>
      <c r="T238" s="150" t="s">
        <v>142</v>
      </c>
      <c r="U238" s="150"/>
      <c r="V238" s="150"/>
      <c r="W238" s="189">
        <f>SUMIFS($AS$4:$AS$69,$AP$4:$AP$69,$S238,$AR$4:$AR$69,$R238)</f>
        <v>110030</v>
      </c>
      <c r="X238" s="191">
        <f t="shared" ref="X238:AB240" si="304">INDEX($X$317:$AE$356,MATCH($S238&amp;"."&amp;$T238,$S$317:$S$356,0),MATCH(X$20,$X$316:$AE$316,0))*1000000</f>
        <v>90000</v>
      </c>
      <c r="Y238" s="191">
        <f t="shared" si="304"/>
        <v>140000</v>
      </c>
      <c r="Z238" s="191">
        <f t="shared" si="304"/>
        <v>250000</v>
      </c>
      <c r="AA238" s="191">
        <f t="shared" si="304"/>
        <v>570000</v>
      </c>
      <c r="AB238" s="191">
        <f t="shared" si="304"/>
        <v>770000</v>
      </c>
      <c r="AC238" s="191">
        <f t="shared" ref="AC238:AE240" si="305">INDEX($X$317:$AE$356,MATCH($S238&amp;"."&amp;$T238,$S$317:$S$356,0),MATCH(AC$20,$X$316:$AE$316,0))*1000000</f>
        <v>1020000</v>
      </c>
      <c r="AD238" s="191">
        <f t="shared" si="305"/>
        <v>1250000</v>
      </c>
      <c r="AE238" s="191">
        <f t="shared" si="305"/>
        <v>1410000</v>
      </c>
      <c r="AF238" s="150"/>
      <c r="AG238" s="183"/>
      <c r="AH238" t="str">
        <f t="shared" ref="AH238:AH240" si="306">R238&amp;"."&amp;S238&amp;"."&amp;T238</f>
        <v>CH0.WIN_ONS.POM C</v>
      </c>
      <c r="AJ238">
        <f>INDEX($AZ$2:$AZ$41,MATCH($S238,$AY$2:$AY$41,0))</f>
        <v>0.01</v>
      </c>
    </row>
    <row r="239" spans="2:36">
      <c r="B239" t="str">
        <f t="shared" si="274"/>
        <v>IT0</v>
      </c>
      <c r="C239">
        <f t="shared" si="275"/>
        <v>2025</v>
      </c>
      <c r="D239" t="str">
        <f t="shared" si="276"/>
        <v>BAL_ELC</v>
      </c>
      <c r="E239" s="155">
        <f t="shared" si="249"/>
        <v>21208929.307982475</v>
      </c>
      <c r="F239" t="s">
        <v>31</v>
      </c>
      <c r="G239" t="str">
        <f t="shared" si="277"/>
        <v>bio_all</v>
      </c>
      <c r="H239">
        <f t="shared" si="285"/>
        <v>2</v>
      </c>
      <c r="I239">
        <f t="shared" si="286"/>
        <v>3</v>
      </c>
      <c r="J239">
        <f t="shared" si="287"/>
        <v>4</v>
      </c>
      <c r="N239">
        <f t="shared" si="199"/>
        <v>8.5000000000000006E-2</v>
      </c>
      <c r="O239" s="155">
        <f t="shared" si="250"/>
        <v>23179157.71364205</v>
      </c>
      <c r="Q239" s="180"/>
      <c r="R239" s="150" t="s">
        <v>14</v>
      </c>
      <c r="S239" s="150" t="s">
        <v>120</v>
      </c>
      <c r="T239" s="150" t="s">
        <v>143</v>
      </c>
      <c r="U239" s="150"/>
      <c r="V239" s="150"/>
      <c r="W239" s="189">
        <f>SUMIFS($AS$4:$AS$69,$AP$4:$AP$69,$S239,$AR$4:$AR$69,$R239)</f>
        <v>110030</v>
      </c>
      <c r="X239" s="191">
        <f t="shared" si="304"/>
        <v>350000</v>
      </c>
      <c r="Y239" s="191">
        <f t="shared" si="304"/>
        <v>660000</v>
      </c>
      <c r="Z239" s="191">
        <f t="shared" si="304"/>
        <v>990000</v>
      </c>
      <c r="AA239" s="191">
        <f t="shared" si="304"/>
        <v>1460000</v>
      </c>
      <c r="AB239" s="191">
        <f t="shared" si="304"/>
        <v>1760000</v>
      </c>
      <c r="AC239" s="191">
        <f t="shared" si="305"/>
        <v>2590000</v>
      </c>
      <c r="AD239" s="191">
        <f t="shared" si="305"/>
        <v>3430000</v>
      </c>
      <c r="AE239" s="191">
        <f t="shared" si="305"/>
        <v>4260000</v>
      </c>
      <c r="AF239" s="150"/>
      <c r="AG239" s="183"/>
      <c r="AH239" t="str">
        <f t="shared" si="306"/>
        <v>CH0.WIN_ONS.POM E</v>
      </c>
      <c r="AJ239">
        <f>INDEX($AZ$2:$AZ$41,MATCH($S239,$AY$2:$AY$41,0))</f>
        <v>0.01</v>
      </c>
    </row>
    <row r="240" spans="2:36">
      <c r="B240" t="str">
        <f t="shared" si="274"/>
        <v>AT0</v>
      </c>
      <c r="C240">
        <f t="shared" si="275"/>
        <v>2025</v>
      </c>
      <c r="D240" t="str">
        <f t="shared" si="276"/>
        <v>BAL_ELC</v>
      </c>
      <c r="E240" s="155">
        <f t="shared" si="249"/>
        <v>2924886.9137359373</v>
      </c>
      <c r="F240" t="s">
        <v>31</v>
      </c>
      <c r="G240" t="str">
        <f t="shared" si="277"/>
        <v>bio_all</v>
      </c>
      <c r="H240">
        <f t="shared" si="285"/>
        <v>3</v>
      </c>
      <c r="I240">
        <f t="shared" si="286"/>
        <v>3</v>
      </c>
      <c r="J240">
        <f t="shared" si="287"/>
        <v>4</v>
      </c>
      <c r="N240">
        <f t="shared" ref="N240:N303" si="307">INDEX($AJ$21:$AJ$249,MATCH(B240&amp;"."&amp;D240,$AH$21:$AH$249,0))</f>
        <v>8.5000000000000006E-2</v>
      </c>
      <c r="O240" s="155">
        <f t="shared" si="250"/>
        <v>3196597.7199299862</v>
      </c>
      <c r="Q240" s="180"/>
      <c r="R240" s="150" t="s">
        <v>14</v>
      </c>
      <c r="S240" s="150" t="s">
        <v>120</v>
      </c>
      <c r="T240" s="150" t="s">
        <v>296</v>
      </c>
      <c r="U240" s="150"/>
      <c r="V240" s="150"/>
      <c r="W240" s="189">
        <f>SUMIFS($AS$4:$AS$69,$AP$4:$AP$69,$S240,$AR$4:$AR$69,$R240)</f>
        <v>110030</v>
      </c>
      <c r="X240" s="191">
        <f t="shared" si="304"/>
        <v>350000</v>
      </c>
      <c r="Y240" s="191">
        <f t="shared" si="304"/>
        <v>660000</v>
      </c>
      <c r="Z240" s="191">
        <f t="shared" si="304"/>
        <v>990000</v>
      </c>
      <c r="AA240" s="191">
        <f t="shared" si="304"/>
        <v>1460000</v>
      </c>
      <c r="AB240" s="191">
        <f t="shared" si="304"/>
        <v>1760000</v>
      </c>
      <c r="AC240" s="191">
        <f t="shared" si="305"/>
        <v>2590000</v>
      </c>
      <c r="AD240" s="191">
        <f t="shared" si="305"/>
        <v>3430000</v>
      </c>
      <c r="AE240" s="191">
        <f t="shared" si="305"/>
        <v>4260000</v>
      </c>
      <c r="AF240" s="150"/>
      <c r="AG240" s="183"/>
      <c r="AH240" t="str">
        <f t="shared" si="306"/>
        <v>CH0.WIN_ONS.POM C&amp;E</v>
      </c>
      <c r="AJ240">
        <f>INDEX($AZ$2:$AZ$41,MATCH($S240,$AY$2:$AY$41,0))</f>
        <v>0.01</v>
      </c>
    </row>
    <row r="241" spans="2:36">
      <c r="B241" t="str">
        <f t="shared" si="274"/>
        <v>FR0</v>
      </c>
      <c r="C241">
        <f t="shared" si="275"/>
        <v>2025</v>
      </c>
      <c r="D241" t="str">
        <f t="shared" si="276"/>
        <v>BAL_ELC</v>
      </c>
      <c r="E241" s="155">
        <f t="shared" si="249"/>
        <v>14106325.520513967</v>
      </c>
      <c r="F241" t="s">
        <v>31</v>
      </c>
      <c r="G241" t="str">
        <f t="shared" si="277"/>
        <v>bio_all</v>
      </c>
      <c r="H241">
        <f t="shared" si="285"/>
        <v>4</v>
      </c>
      <c r="I241">
        <f t="shared" si="286"/>
        <v>3</v>
      </c>
      <c r="J241">
        <f t="shared" si="287"/>
        <v>4</v>
      </c>
      <c r="N241">
        <f t="shared" si="307"/>
        <v>8.5000000000000006E-2</v>
      </c>
      <c r="O241" s="155">
        <f t="shared" si="250"/>
        <v>15416749.202747503</v>
      </c>
      <c r="Q241" s="180"/>
      <c r="R241" s="150"/>
      <c r="S241" s="150"/>
      <c r="T241" s="150"/>
      <c r="U241" s="150"/>
      <c r="V241" s="150"/>
      <c r="W241" s="150"/>
      <c r="X241" s="150"/>
      <c r="Y241" s="150"/>
      <c r="Z241" s="150"/>
      <c r="AA241" s="150"/>
      <c r="AB241" s="150"/>
      <c r="AC241" s="150"/>
      <c r="AD241" s="150"/>
      <c r="AE241" s="150"/>
      <c r="AF241" s="150"/>
      <c r="AG241" s="183"/>
    </row>
    <row r="242" spans="2:36">
      <c r="B242" t="str">
        <f t="shared" si="274"/>
        <v>DE0</v>
      </c>
      <c r="C242">
        <f t="shared" si="275"/>
        <v>2030</v>
      </c>
      <c r="D242" t="str">
        <f t="shared" si="276"/>
        <v>BAL_ELC</v>
      </c>
      <c r="E242" s="155">
        <f t="shared" si="249"/>
        <v>40784295</v>
      </c>
      <c r="F242" t="s">
        <v>31</v>
      </c>
      <c r="G242" t="str">
        <f t="shared" si="277"/>
        <v>bio_all</v>
      </c>
      <c r="H242">
        <f t="shared" si="285"/>
        <v>1</v>
      </c>
      <c r="I242">
        <f t="shared" si="286"/>
        <v>4</v>
      </c>
      <c r="J242">
        <f t="shared" si="287"/>
        <v>4</v>
      </c>
      <c r="N242">
        <f t="shared" si="307"/>
        <v>8.5000000000000006E-2</v>
      </c>
      <c r="O242" s="155">
        <f t="shared" si="250"/>
        <v>44573000</v>
      </c>
      <c r="Q242" s="180"/>
      <c r="R242" s="150" t="s">
        <v>14</v>
      </c>
      <c r="S242" s="150" t="s">
        <v>105</v>
      </c>
      <c r="T242" s="150" t="s">
        <v>142</v>
      </c>
      <c r="U242" s="150"/>
      <c r="V242" s="150"/>
      <c r="W242" s="189">
        <f>SUMIFS($AS$4:$AS$69,$AP$4:$AP$69,$S242,$AR$4:$AR$69,$R242)</f>
        <v>1118550</v>
      </c>
      <c r="X242" s="191">
        <f t="shared" ref="X242:AB244" si="308">INDEX($X$317:$AE$356,MATCH($S242&amp;"."&amp;$T242,$S$317:$S$356,0),MATCH(X$20,$X$316:$AE$316,0))*1000000</f>
        <v>210000</v>
      </c>
      <c r="Y242" s="191">
        <f t="shared" si="308"/>
        <v>340000</v>
      </c>
      <c r="Z242" s="191">
        <f t="shared" si="308"/>
        <v>550000</v>
      </c>
      <c r="AA242" s="191">
        <f t="shared" si="308"/>
        <v>960000</v>
      </c>
      <c r="AB242" s="191">
        <f t="shared" si="308"/>
        <v>2520000</v>
      </c>
      <c r="AC242" s="191">
        <f t="shared" ref="AC242:AE244" si="309">INDEX($X$317:$AE$356,MATCH($S242&amp;"."&amp;$T242,$S$317:$S$356,0),MATCH(AC$20,$X$316:$AE$316,0))*1000000</f>
        <v>3480000</v>
      </c>
      <c r="AD242" s="191">
        <f t="shared" si="309"/>
        <v>4730000</v>
      </c>
      <c r="AE242" s="191">
        <f t="shared" si="309"/>
        <v>5920000</v>
      </c>
      <c r="AF242" s="150"/>
      <c r="AG242" s="183"/>
      <c r="AH242" t="str">
        <f t="shared" ref="AH242:AH244" si="310">R242&amp;"."&amp;S242&amp;"."&amp;T242</f>
        <v>CH0.SOL_PHO.POM C</v>
      </c>
      <c r="AJ242">
        <f>INDEX($AZ$2:$AZ$41,MATCH($S242,$AY$2:$AY$41,0))</f>
        <v>0</v>
      </c>
    </row>
    <row r="243" spans="2:36">
      <c r="B243" t="str">
        <f t="shared" si="274"/>
        <v>IT0</v>
      </c>
      <c r="C243">
        <f t="shared" si="275"/>
        <v>2030</v>
      </c>
      <c r="D243" t="str">
        <f t="shared" si="276"/>
        <v>BAL_ELC</v>
      </c>
      <c r="E243" s="155">
        <f t="shared" si="249"/>
        <v>20964976.134798937</v>
      </c>
      <c r="F243" t="s">
        <v>31</v>
      </c>
      <c r="G243" t="str">
        <f t="shared" si="277"/>
        <v>bio_all</v>
      </c>
      <c r="H243">
        <f t="shared" si="285"/>
        <v>2</v>
      </c>
      <c r="I243">
        <f t="shared" si="286"/>
        <v>4</v>
      </c>
      <c r="J243">
        <f t="shared" si="287"/>
        <v>4</v>
      </c>
      <c r="N243">
        <f t="shared" si="307"/>
        <v>8.5000000000000006E-2</v>
      </c>
      <c r="O243" s="155">
        <f t="shared" si="250"/>
        <v>22912542.223823972</v>
      </c>
      <c r="Q243" s="180"/>
      <c r="R243" s="150" t="s">
        <v>14</v>
      </c>
      <c r="S243" s="150" t="s">
        <v>105</v>
      </c>
      <c r="T243" s="150" t="s">
        <v>143</v>
      </c>
      <c r="U243" s="150"/>
      <c r="V243" s="150"/>
      <c r="W243" s="189">
        <f>SUMIFS($AS$4:$AS$69,$AP$4:$AP$69,$S243,$AR$4:$AR$69,$R243)</f>
        <v>1118550</v>
      </c>
      <c r="X243" s="191">
        <f t="shared" si="308"/>
        <v>280000</v>
      </c>
      <c r="Y243" s="191">
        <f t="shared" si="308"/>
        <v>520000</v>
      </c>
      <c r="Z243" s="191">
        <f t="shared" si="308"/>
        <v>980000</v>
      </c>
      <c r="AA243" s="191">
        <f t="shared" si="308"/>
        <v>1910000</v>
      </c>
      <c r="AB243" s="191">
        <f t="shared" si="308"/>
        <v>4440000</v>
      </c>
      <c r="AC243" s="191">
        <f t="shared" si="309"/>
        <v>6740000</v>
      </c>
      <c r="AD243" s="191">
        <f t="shared" si="309"/>
        <v>9230000</v>
      </c>
      <c r="AE243" s="191">
        <f t="shared" si="309"/>
        <v>11120000</v>
      </c>
      <c r="AF243" s="150"/>
      <c r="AG243" s="183"/>
      <c r="AH243" t="str">
        <f t="shared" si="310"/>
        <v>CH0.SOL_PHO.POM E</v>
      </c>
      <c r="AJ243">
        <f>INDEX($AZ$2:$AZ$41,MATCH($S243,$AY$2:$AY$41,0))</f>
        <v>0</v>
      </c>
    </row>
    <row r="244" spans="2:36">
      <c r="B244" t="str">
        <f t="shared" si="274"/>
        <v>AT0</v>
      </c>
      <c r="C244">
        <f t="shared" si="275"/>
        <v>2030</v>
      </c>
      <c r="D244" t="str">
        <f t="shared" si="276"/>
        <v>BAL_ELC</v>
      </c>
      <c r="E244" s="155">
        <f t="shared" si="249"/>
        <v>3111586.357228654</v>
      </c>
      <c r="F244" t="s">
        <v>31</v>
      </c>
      <c r="G244" t="str">
        <f t="shared" si="277"/>
        <v>bio_all</v>
      </c>
      <c r="H244">
        <f t="shared" si="285"/>
        <v>3</v>
      </c>
      <c r="I244">
        <f t="shared" si="286"/>
        <v>4</v>
      </c>
      <c r="J244">
        <f t="shared" si="287"/>
        <v>4</v>
      </c>
      <c r="N244">
        <f t="shared" si="307"/>
        <v>8.5000000000000006E-2</v>
      </c>
      <c r="O244" s="155">
        <f t="shared" si="250"/>
        <v>3400640.8275722992</v>
      </c>
      <c r="Q244" s="180"/>
      <c r="R244" s="150" t="s">
        <v>14</v>
      </c>
      <c r="S244" s="150" t="s">
        <v>105</v>
      </c>
      <c r="T244" s="150" t="s">
        <v>296</v>
      </c>
      <c r="U244" s="150"/>
      <c r="V244" s="150"/>
      <c r="W244" s="189">
        <f>SUMIFS($AS$4:$AS$69,$AP$4:$AP$69,$S244,$AR$4:$AR$69,$R244)</f>
        <v>1118550</v>
      </c>
      <c r="X244" s="191">
        <f t="shared" si="308"/>
        <v>280000</v>
      </c>
      <c r="Y244" s="191">
        <f t="shared" si="308"/>
        <v>520000</v>
      </c>
      <c r="Z244" s="191">
        <f t="shared" si="308"/>
        <v>980000</v>
      </c>
      <c r="AA244" s="191">
        <f t="shared" si="308"/>
        <v>1910000</v>
      </c>
      <c r="AB244" s="191">
        <f t="shared" si="308"/>
        <v>4440000</v>
      </c>
      <c r="AC244" s="191">
        <f t="shared" si="309"/>
        <v>6740000</v>
      </c>
      <c r="AD244" s="191">
        <f t="shared" si="309"/>
        <v>9230000</v>
      </c>
      <c r="AE244" s="191">
        <f t="shared" si="309"/>
        <v>11120000</v>
      </c>
      <c r="AF244" s="150"/>
      <c r="AG244" s="183"/>
      <c r="AH244" t="str">
        <f t="shared" si="310"/>
        <v>CH0.SOL_PHO.POM C&amp;E</v>
      </c>
      <c r="AJ244">
        <f>INDEX($AZ$2:$AZ$41,MATCH($S244,$AY$2:$AY$41,0))</f>
        <v>0</v>
      </c>
    </row>
    <row r="245" spans="2:36">
      <c r="B245" t="str">
        <f t="shared" si="274"/>
        <v>FR0</v>
      </c>
      <c r="C245">
        <f t="shared" si="275"/>
        <v>2030</v>
      </c>
      <c r="D245" t="str">
        <f t="shared" si="276"/>
        <v>BAL_ELC</v>
      </c>
      <c r="E245" s="155">
        <f t="shared" si="249"/>
        <v>14684311.769805266</v>
      </c>
      <c r="F245" t="s">
        <v>31</v>
      </c>
      <c r="G245" t="str">
        <f t="shared" si="277"/>
        <v>bio_all</v>
      </c>
      <c r="H245">
        <f t="shared" si="285"/>
        <v>4</v>
      </c>
      <c r="I245">
        <f t="shared" si="286"/>
        <v>4</v>
      </c>
      <c r="J245">
        <f t="shared" si="287"/>
        <v>4</v>
      </c>
      <c r="N245">
        <f t="shared" si="307"/>
        <v>8.5000000000000006E-2</v>
      </c>
      <c r="O245" s="155">
        <f t="shared" si="250"/>
        <v>16048428.163721601</v>
      </c>
      <c r="Q245" s="180"/>
      <c r="R245" s="150"/>
      <c r="S245" s="150"/>
      <c r="T245" s="150"/>
      <c r="U245" s="150"/>
      <c r="V245" s="150"/>
      <c r="W245" s="150"/>
      <c r="X245" s="150"/>
      <c r="Y245" s="150"/>
      <c r="Z245" s="150"/>
      <c r="AA245" s="150"/>
      <c r="AB245" s="150"/>
      <c r="AC245" s="150"/>
      <c r="AD245" s="150"/>
      <c r="AE245" s="150"/>
      <c r="AF245" s="150"/>
      <c r="AG245" s="183"/>
    </row>
    <row r="246" spans="2:36">
      <c r="B246" t="str">
        <f t="shared" si="274"/>
        <v>DE0</v>
      </c>
      <c r="C246">
        <f t="shared" si="275"/>
        <v>2035</v>
      </c>
      <c r="D246" t="str">
        <f t="shared" si="276"/>
        <v>BAL_ELC</v>
      </c>
      <c r="E246" s="155">
        <f t="shared" si="249"/>
        <v>40784295</v>
      </c>
      <c r="F246" t="s">
        <v>31</v>
      </c>
      <c r="G246" t="str">
        <f t="shared" si="277"/>
        <v>bio_all</v>
      </c>
      <c r="H246">
        <f t="shared" si="285"/>
        <v>1</v>
      </c>
      <c r="I246">
        <f t="shared" si="286"/>
        <v>5</v>
      </c>
      <c r="J246">
        <f t="shared" si="287"/>
        <v>4</v>
      </c>
      <c r="N246">
        <f t="shared" si="307"/>
        <v>8.5000000000000006E-2</v>
      </c>
      <c r="O246" s="155">
        <f t="shared" si="250"/>
        <v>44573000</v>
      </c>
      <c r="Q246" s="180"/>
      <c r="R246" s="150"/>
      <c r="S246" s="150"/>
      <c r="T246" s="150"/>
      <c r="U246" s="150"/>
      <c r="V246" s="150"/>
      <c r="W246" s="150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83"/>
    </row>
    <row r="247" spans="2:36">
      <c r="B247" t="str">
        <f t="shared" si="274"/>
        <v>IT0</v>
      </c>
      <c r="C247">
        <f t="shared" si="275"/>
        <v>2035</v>
      </c>
      <c r="D247" t="str">
        <f t="shared" si="276"/>
        <v>BAL_ELC</v>
      </c>
      <c r="E247" s="155">
        <f t="shared" si="249"/>
        <v>21515322.289735507</v>
      </c>
      <c r="F247" t="s">
        <v>31</v>
      </c>
      <c r="G247" t="str">
        <f t="shared" si="277"/>
        <v>bio_all</v>
      </c>
      <c r="H247">
        <f t="shared" si="285"/>
        <v>2</v>
      </c>
      <c r="I247">
        <f t="shared" si="286"/>
        <v>5</v>
      </c>
      <c r="J247">
        <f t="shared" si="287"/>
        <v>4</v>
      </c>
      <c r="N247">
        <f t="shared" si="307"/>
        <v>8.5000000000000006E-2</v>
      </c>
      <c r="O247" s="155">
        <f t="shared" si="250"/>
        <v>23514013.431404926</v>
      </c>
      <c r="Q247" s="185"/>
      <c r="R247" s="186"/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7"/>
    </row>
    <row r="248" spans="2:36">
      <c r="B248" t="str">
        <f t="shared" si="274"/>
        <v>AT0</v>
      </c>
      <c r="C248">
        <f t="shared" si="275"/>
        <v>2035</v>
      </c>
      <c r="D248" t="str">
        <f t="shared" si="276"/>
        <v>BAL_ELC</v>
      </c>
      <c r="E248" s="155">
        <f t="shared" si="249"/>
        <v>3085255.2703492199</v>
      </c>
      <c r="F248" t="s">
        <v>31</v>
      </c>
      <c r="G248" t="str">
        <f t="shared" si="277"/>
        <v>bio_all</v>
      </c>
      <c r="H248">
        <f t="shared" si="285"/>
        <v>3</v>
      </c>
      <c r="I248">
        <f t="shared" si="286"/>
        <v>5</v>
      </c>
      <c r="J248">
        <f t="shared" si="287"/>
        <v>4</v>
      </c>
      <c r="N248">
        <f t="shared" si="307"/>
        <v>8.5000000000000006E-2</v>
      </c>
      <c r="O248" s="155">
        <f t="shared" si="250"/>
        <v>3371863.6834417703</v>
      </c>
    </row>
    <row r="249" spans="2:36">
      <c r="B249" t="str">
        <f t="shared" si="274"/>
        <v>FR0</v>
      </c>
      <c r="C249">
        <f t="shared" si="275"/>
        <v>2035</v>
      </c>
      <c r="D249" t="str">
        <f t="shared" si="276"/>
        <v>BAL_ELC</v>
      </c>
      <c r="E249" s="155">
        <f t="shared" si="249"/>
        <v>14810066.383091416</v>
      </c>
      <c r="F249" t="s">
        <v>31</v>
      </c>
      <c r="G249" t="str">
        <f t="shared" si="277"/>
        <v>bio_all</v>
      </c>
      <c r="H249">
        <f t="shared" si="285"/>
        <v>4</v>
      </c>
      <c r="I249">
        <f t="shared" si="286"/>
        <v>5</v>
      </c>
      <c r="J249">
        <f t="shared" si="287"/>
        <v>4</v>
      </c>
      <c r="N249">
        <f t="shared" si="307"/>
        <v>8.5000000000000006E-2</v>
      </c>
      <c r="O249" s="155">
        <f t="shared" si="250"/>
        <v>16185864.899553459</v>
      </c>
    </row>
    <row r="250" spans="2:36">
      <c r="B250" t="str">
        <f t="shared" si="274"/>
        <v>DE0</v>
      </c>
      <c r="C250">
        <f t="shared" si="275"/>
        <v>2040</v>
      </c>
      <c r="D250" t="str">
        <f t="shared" si="276"/>
        <v>BAL_ELC</v>
      </c>
      <c r="E250" s="155">
        <f t="shared" si="249"/>
        <v>40784295</v>
      </c>
      <c r="F250" t="s">
        <v>31</v>
      </c>
      <c r="G250" t="str">
        <f t="shared" si="277"/>
        <v>bio_all</v>
      </c>
      <c r="H250">
        <f t="shared" si="285"/>
        <v>1</v>
      </c>
      <c r="I250">
        <f t="shared" si="286"/>
        <v>6</v>
      </c>
      <c r="J250">
        <f t="shared" si="287"/>
        <v>4</v>
      </c>
      <c r="N250">
        <f t="shared" si="307"/>
        <v>8.5000000000000006E-2</v>
      </c>
      <c r="O250" s="155">
        <f t="shared" si="250"/>
        <v>44573000</v>
      </c>
    </row>
    <row r="251" spans="2:36">
      <c r="B251" t="str">
        <f t="shared" si="274"/>
        <v>IT0</v>
      </c>
      <c r="C251">
        <f t="shared" si="275"/>
        <v>2040</v>
      </c>
      <c r="D251" t="str">
        <f t="shared" si="276"/>
        <v>BAL_ELC</v>
      </c>
      <c r="E251" s="155">
        <f t="shared" si="249"/>
        <v>26329836.491752755</v>
      </c>
      <c r="F251" t="s">
        <v>31</v>
      </c>
      <c r="G251" t="str">
        <f t="shared" si="277"/>
        <v>bio_all</v>
      </c>
      <c r="H251">
        <f t="shared" si="285"/>
        <v>2</v>
      </c>
      <c r="I251">
        <f t="shared" si="286"/>
        <v>6</v>
      </c>
      <c r="J251">
        <f t="shared" si="287"/>
        <v>4</v>
      </c>
      <c r="N251">
        <f t="shared" si="307"/>
        <v>8.5000000000000006E-2</v>
      </c>
      <c r="O251" s="155">
        <f t="shared" si="250"/>
        <v>28775777.58661503</v>
      </c>
    </row>
    <row r="252" spans="2:36">
      <c r="B252" t="str">
        <f t="shared" si="274"/>
        <v>AT0</v>
      </c>
      <c r="C252">
        <f t="shared" si="275"/>
        <v>2040</v>
      </c>
      <c r="D252" t="str">
        <f t="shared" si="276"/>
        <v>BAL_ELC</v>
      </c>
      <c r="E252" s="155">
        <f t="shared" si="249"/>
        <v>3952287.9510068707</v>
      </c>
      <c r="F252" t="s">
        <v>31</v>
      </c>
      <c r="G252" t="str">
        <f t="shared" si="277"/>
        <v>bio_all</v>
      </c>
      <c r="H252">
        <f t="shared" si="285"/>
        <v>3</v>
      </c>
      <c r="I252">
        <f t="shared" si="286"/>
        <v>6</v>
      </c>
      <c r="J252">
        <f t="shared" si="287"/>
        <v>4</v>
      </c>
      <c r="N252">
        <f t="shared" si="307"/>
        <v>8.5000000000000006E-2</v>
      </c>
      <c r="O252" s="155">
        <f t="shared" si="250"/>
        <v>4319440.3836140661</v>
      </c>
    </row>
    <row r="253" spans="2:36">
      <c r="B253" t="str">
        <f t="shared" si="274"/>
        <v>FR0</v>
      </c>
      <c r="C253">
        <f t="shared" si="275"/>
        <v>2040</v>
      </c>
      <c r="D253" t="str">
        <f t="shared" si="276"/>
        <v>BAL_ELC</v>
      </c>
      <c r="E253" s="155">
        <f t="shared" si="249"/>
        <v>15013638.811406884</v>
      </c>
      <c r="F253" t="s">
        <v>31</v>
      </c>
      <c r="G253" t="str">
        <f t="shared" si="277"/>
        <v>bio_all</v>
      </c>
      <c r="H253">
        <f t="shared" si="285"/>
        <v>4</v>
      </c>
      <c r="I253">
        <f t="shared" si="286"/>
        <v>6</v>
      </c>
      <c r="J253">
        <f t="shared" si="287"/>
        <v>4</v>
      </c>
      <c r="N253">
        <f t="shared" si="307"/>
        <v>8.5000000000000006E-2</v>
      </c>
      <c r="O253" s="155">
        <f t="shared" si="250"/>
        <v>16408348.427767087</v>
      </c>
    </row>
    <row r="254" spans="2:36">
      <c r="B254" t="str">
        <f t="shared" si="274"/>
        <v>DE0</v>
      </c>
      <c r="C254">
        <f t="shared" si="275"/>
        <v>2045</v>
      </c>
      <c r="D254" t="str">
        <f t="shared" si="276"/>
        <v>BAL_ELC</v>
      </c>
      <c r="E254" s="155">
        <f t="shared" si="249"/>
        <v>40784295</v>
      </c>
      <c r="F254" t="s">
        <v>31</v>
      </c>
      <c r="G254" t="str">
        <f t="shared" si="277"/>
        <v>bio_all</v>
      </c>
      <c r="H254">
        <f t="shared" si="285"/>
        <v>1</v>
      </c>
      <c r="I254">
        <f t="shared" si="286"/>
        <v>7</v>
      </c>
      <c r="J254">
        <f t="shared" si="287"/>
        <v>4</v>
      </c>
      <c r="N254">
        <f t="shared" si="307"/>
        <v>8.5000000000000006E-2</v>
      </c>
      <c r="O254" s="155">
        <f t="shared" si="250"/>
        <v>44573000</v>
      </c>
    </row>
    <row r="255" spans="2:36">
      <c r="B255" t="str">
        <f t="shared" si="274"/>
        <v>IT0</v>
      </c>
      <c r="C255">
        <f t="shared" si="275"/>
        <v>2045</v>
      </c>
      <c r="D255" t="str">
        <f t="shared" si="276"/>
        <v>BAL_ELC</v>
      </c>
      <c r="E255" s="155">
        <f t="shared" si="249"/>
        <v>26376601.870510131</v>
      </c>
      <c r="F255" t="s">
        <v>31</v>
      </c>
      <c r="G255" t="str">
        <f t="shared" si="277"/>
        <v>bio_all</v>
      </c>
      <c r="H255">
        <f t="shared" si="285"/>
        <v>2</v>
      </c>
      <c r="I255">
        <f t="shared" si="286"/>
        <v>7</v>
      </c>
      <c r="J255">
        <f t="shared" si="287"/>
        <v>4</v>
      </c>
      <c r="N255">
        <f t="shared" si="307"/>
        <v>8.5000000000000006E-2</v>
      </c>
      <c r="O255" s="155">
        <f t="shared" si="250"/>
        <v>28826887.290175006</v>
      </c>
      <c r="T255" s="68"/>
      <c r="U255" s="80">
        <v>2000</v>
      </c>
      <c r="V255" s="80">
        <v>2005</v>
      </c>
      <c r="W255" s="80">
        <v>2010</v>
      </c>
      <c r="X255" s="80">
        <v>2015</v>
      </c>
      <c r="Y255" s="80">
        <v>2020</v>
      </c>
      <c r="Z255" s="80">
        <v>2025</v>
      </c>
      <c r="AA255" s="80">
        <v>2030</v>
      </c>
      <c r="AB255" s="80">
        <v>2035</v>
      </c>
      <c r="AC255" s="80">
        <v>2040</v>
      </c>
      <c r="AD255" s="80">
        <v>2045</v>
      </c>
      <c r="AE255" s="80">
        <v>2050</v>
      </c>
      <c r="AF255" s="25"/>
      <c r="AG255" s="25"/>
      <c r="AH255" s="25"/>
      <c r="AI255" s="25"/>
    </row>
    <row r="256" spans="2:36">
      <c r="B256" t="str">
        <f t="shared" si="274"/>
        <v>AT0</v>
      </c>
      <c r="C256">
        <f t="shared" si="275"/>
        <v>2045</v>
      </c>
      <c r="D256" t="str">
        <f t="shared" si="276"/>
        <v>BAL_ELC</v>
      </c>
      <c r="E256" s="155">
        <f t="shared" si="249"/>
        <v>3793068.0819988763</v>
      </c>
      <c r="F256" t="s">
        <v>31</v>
      </c>
      <c r="G256" t="str">
        <f t="shared" si="277"/>
        <v>bio_all</v>
      </c>
      <c r="H256">
        <f t="shared" si="285"/>
        <v>3</v>
      </c>
      <c r="I256">
        <f t="shared" si="286"/>
        <v>7</v>
      </c>
      <c r="J256">
        <f t="shared" si="287"/>
        <v>4</v>
      </c>
      <c r="N256">
        <f t="shared" si="307"/>
        <v>8.5000000000000006E-2</v>
      </c>
      <c r="O256" s="155">
        <f t="shared" si="250"/>
        <v>4145429.5978129795</v>
      </c>
      <c r="S256" t="s">
        <v>15</v>
      </c>
      <c r="T256" s="49" t="s">
        <v>231</v>
      </c>
      <c r="U256" s="50">
        <v>572313</v>
      </c>
      <c r="V256" s="50">
        <v>615800</v>
      </c>
      <c r="W256" s="50">
        <v>626583</v>
      </c>
      <c r="X256" s="50">
        <v>645694.18850004894</v>
      </c>
      <c r="Y256" s="50">
        <v>599220.42808016797</v>
      </c>
      <c r="Z256" s="50">
        <v>603814.508393856</v>
      </c>
      <c r="AA256" s="50">
        <v>610832.02121444198</v>
      </c>
      <c r="AB256" s="50">
        <v>611628.85561283201</v>
      </c>
      <c r="AC256" s="50">
        <v>617685.57124143594</v>
      </c>
      <c r="AD256" s="50">
        <v>623183.70759602997</v>
      </c>
      <c r="AE256" s="50">
        <v>647216.40025216097</v>
      </c>
      <c r="AF256" s="25">
        <v>0.91006819706611597</v>
      </c>
      <c r="AG256" s="25">
        <v>-0.44552183114600102</v>
      </c>
      <c r="AH256" s="25">
        <v>0.19210902471358299</v>
      </c>
      <c r="AI256" s="25">
        <v>0.28971240122550601</v>
      </c>
    </row>
    <row r="257" spans="2:35">
      <c r="B257" t="str">
        <f t="shared" si="274"/>
        <v>FR0</v>
      </c>
      <c r="C257">
        <f t="shared" si="275"/>
        <v>2045</v>
      </c>
      <c r="D257" t="str">
        <f t="shared" si="276"/>
        <v>BAL_ELC</v>
      </c>
      <c r="E257" s="155">
        <f t="shared" si="249"/>
        <v>15398314.246779284</v>
      </c>
      <c r="F257" t="s">
        <v>31</v>
      </c>
      <c r="G257" t="str">
        <f t="shared" si="277"/>
        <v>bio_all</v>
      </c>
      <c r="H257">
        <f t="shared" si="285"/>
        <v>4</v>
      </c>
      <c r="I257">
        <f t="shared" si="286"/>
        <v>7</v>
      </c>
      <c r="J257">
        <f t="shared" si="287"/>
        <v>4</v>
      </c>
      <c r="N257">
        <f t="shared" si="307"/>
        <v>8.5000000000000006E-2</v>
      </c>
      <c r="O257" s="155">
        <f t="shared" si="250"/>
        <v>16828758.73964949</v>
      </c>
      <c r="R257" t="s">
        <v>95</v>
      </c>
      <c r="S257" t="s">
        <v>15</v>
      </c>
      <c r="T257" s="23" t="s">
        <v>233</v>
      </c>
      <c r="U257" s="24">
        <v>169606</v>
      </c>
      <c r="V257" s="24">
        <v>163055</v>
      </c>
      <c r="W257" s="24">
        <v>140556</v>
      </c>
      <c r="X257" s="24">
        <v>96915.889928257806</v>
      </c>
      <c r="Y257" s="24">
        <v>34469.117375592999</v>
      </c>
      <c r="Z257" s="24">
        <v>0</v>
      </c>
      <c r="AA257" s="24">
        <v>0</v>
      </c>
      <c r="AB257" s="24">
        <v>0</v>
      </c>
      <c r="AC257" s="24">
        <v>0</v>
      </c>
      <c r="AD257" s="24">
        <v>0</v>
      </c>
      <c r="AE257" s="24">
        <v>0</v>
      </c>
      <c r="AF257" s="25">
        <v>-1.8611831780452801</v>
      </c>
      <c r="AG257" s="25">
        <v>-13.112344780919001</v>
      </c>
      <c r="AH257" s="25">
        <v>-100</v>
      </c>
      <c r="AI257" s="25">
        <v>0</v>
      </c>
    </row>
    <row r="258" spans="2:35">
      <c r="B258" t="str">
        <f t="shared" si="274"/>
        <v>DE0</v>
      </c>
      <c r="C258">
        <f t="shared" si="275"/>
        <v>2050</v>
      </c>
      <c r="D258" t="str">
        <f t="shared" si="276"/>
        <v>BAL_ELC</v>
      </c>
      <c r="E258" s="155">
        <f t="shared" si="249"/>
        <v>40784295</v>
      </c>
      <c r="F258" t="s">
        <v>31</v>
      </c>
      <c r="G258" t="str">
        <f t="shared" si="277"/>
        <v>bio_all</v>
      </c>
      <c r="H258">
        <f t="shared" si="285"/>
        <v>1</v>
      </c>
      <c r="I258">
        <f t="shared" si="286"/>
        <v>8</v>
      </c>
      <c r="J258">
        <f t="shared" si="287"/>
        <v>4</v>
      </c>
      <c r="N258">
        <f t="shared" si="307"/>
        <v>8.5000000000000006E-2</v>
      </c>
      <c r="O258" s="155">
        <f t="shared" si="250"/>
        <v>44573000</v>
      </c>
      <c r="R258" t="s">
        <v>465</v>
      </c>
      <c r="S258" t="s">
        <v>15</v>
      </c>
      <c r="T258" s="23" t="s">
        <v>181</v>
      </c>
      <c r="U258" s="24">
        <v>296687</v>
      </c>
      <c r="V258" s="24">
        <v>288142</v>
      </c>
      <c r="W258" s="24">
        <v>262896</v>
      </c>
      <c r="X258" s="24">
        <v>272894.90182842402</v>
      </c>
      <c r="Y258" s="24">
        <v>273819.94652970397</v>
      </c>
      <c r="Z258" s="24">
        <v>267176.18036108703</v>
      </c>
      <c r="AA258" s="24">
        <v>231938.84803359301</v>
      </c>
      <c r="AB258" s="24">
        <v>182946.66010443101</v>
      </c>
      <c r="AC258" s="24">
        <v>160405.561627641</v>
      </c>
      <c r="AD258" s="24">
        <v>114515.837929696</v>
      </c>
      <c r="AE258" s="24">
        <v>136854.400709726</v>
      </c>
      <c r="AF258" s="25">
        <v>-1.20191059551863</v>
      </c>
      <c r="AG258" s="25">
        <v>0.40795231143486699</v>
      </c>
      <c r="AH258" s="25">
        <v>-1.64626851586184</v>
      </c>
      <c r="AI258" s="25">
        <v>-2.6032952391078701</v>
      </c>
    </row>
    <row r="259" spans="2:35">
      <c r="B259" t="str">
        <f t="shared" si="274"/>
        <v>IT0</v>
      </c>
      <c r="C259">
        <f t="shared" si="275"/>
        <v>2050</v>
      </c>
      <c r="D259" t="str">
        <f t="shared" si="276"/>
        <v>BAL_ELC</v>
      </c>
      <c r="E259" s="155">
        <f t="shared" si="249"/>
        <v>26062628.005260117</v>
      </c>
      <c r="F259" t="s">
        <v>31</v>
      </c>
      <c r="G259" t="str">
        <f t="shared" si="277"/>
        <v>bio_all</v>
      </c>
      <c r="H259">
        <f t="shared" si="285"/>
        <v>2</v>
      </c>
      <c r="I259">
        <f t="shared" si="286"/>
        <v>8</v>
      </c>
      <c r="J259">
        <f t="shared" si="287"/>
        <v>4</v>
      </c>
      <c r="N259">
        <f t="shared" si="307"/>
        <v>8.5000000000000006E-2</v>
      </c>
      <c r="O259" s="155">
        <f t="shared" si="250"/>
        <v>28483746.453836191</v>
      </c>
      <c r="R259" t="s">
        <v>100</v>
      </c>
      <c r="S259" t="s">
        <v>15</v>
      </c>
      <c r="T259" s="23" t="s">
        <v>236</v>
      </c>
      <c r="U259" s="24">
        <v>4785</v>
      </c>
      <c r="V259" s="24">
        <v>11997</v>
      </c>
      <c r="W259" s="24">
        <v>8741</v>
      </c>
      <c r="X259" s="24">
        <v>1078.8698144792299</v>
      </c>
      <c r="Y259" s="24">
        <v>941.08521130463396</v>
      </c>
      <c r="Z259" s="24">
        <v>1997.4666099261699</v>
      </c>
      <c r="AA259" s="24">
        <v>3056.1603480066201</v>
      </c>
      <c r="AB259" s="24">
        <v>3356.9465201070102</v>
      </c>
      <c r="AC259" s="24">
        <v>3620.5877530863399</v>
      </c>
      <c r="AD259" s="24">
        <v>3536.0774859586199</v>
      </c>
      <c r="AE259" s="24">
        <v>552.36317860096995</v>
      </c>
      <c r="AF259" s="25">
        <v>6.2106135901109898</v>
      </c>
      <c r="AG259" s="25">
        <v>-19.978482514456999</v>
      </c>
      <c r="AH259" s="25">
        <v>12.5005689450772</v>
      </c>
      <c r="AI259" s="25">
        <v>-8.1979394771834109</v>
      </c>
    </row>
    <row r="260" spans="2:35">
      <c r="B260" t="str">
        <f t="shared" si="274"/>
        <v>AT0</v>
      </c>
      <c r="C260">
        <f t="shared" si="275"/>
        <v>2050</v>
      </c>
      <c r="D260" t="str">
        <f t="shared" si="276"/>
        <v>BAL_ELC</v>
      </c>
      <c r="E260" s="155">
        <f t="shared" si="249"/>
        <v>3236918.6248831465</v>
      </c>
      <c r="F260" t="s">
        <v>31</v>
      </c>
      <c r="G260" t="str">
        <f t="shared" si="277"/>
        <v>bio_all</v>
      </c>
      <c r="H260">
        <f t="shared" si="285"/>
        <v>3</v>
      </c>
      <c r="I260">
        <f t="shared" si="286"/>
        <v>8</v>
      </c>
      <c r="J260">
        <f t="shared" si="287"/>
        <v>4</v>
      </c>
      <c r="N260">
        <f t="shared" si="307"/>
        <v>8.5000000000000006E-2</v>
      </c>
      <c r="O260" s="155">
        <f t="shared" si="250"/>
        <v>3537615.9834788484</v>
      </c>
      <c r="R260" t="s">
        <v>468</v>
      </c>
      <c r="S260" t="s">
        <v>15</v>
      </c>
      <c r="T260" s="23" t="s">
        <v>239</v>
      </c>
      <c r="U260" s="24">
        <v>59970</v>
      </c>
      <c r="V260" s="24">
        <v>83608</v>
      </c>
      <c r="W260" s="24">
        <v>100912</v>
      </c>
      <c r="X260" s="24">
        <v>92807.723337183299</v>
      </c>
      <c r="Y260" s="24">
        <v>74716.593978035293</v>
      </c>
      <c r="Z260" s="24">
        <v>102227.870333542</v>
      </c>
      <c r="AA260" s="24">
        <v>108810.332939459</v>
      </c>
      <c r="AB260" s="24">
        <v>150109.98108222199</v>
      </c>
      <c r="AC260" s="24">
        <v>154615.823066724</v>
      </c>
      <c r="AD260" s="24">
        <v>152777.89601358899</v>
      </c>
      <c r="AE260" s="24">
        <v>124671.201813726</v>
      </c>
      <c r="AF260" s="25">
        <v>5.34183432318929</v>
      </c>
      <c r="AG260" s="25">
        <v>-2.9607513518283199</v>
      </c>
      <c r="AH260" s="25">
        <v>3.8305865314471701</v>
      </c>
      <c r="AI260" s="25">
        <v>0.68268768297101701</v>
      </c>
    </row>
    <row r="261" spans="2:35">
      <c r="B261" t="str">
        <f t="shared" si="274"/>
        <v>FR0</v>
      </c>
      <c r="C261">
        <f t="shared" si="275"/>
        <v>2050</v>
      </c>
      <c r="D261" t="str">
        <f t="shared" si="276"/>
        <v>BAL_ELC</v>
      </c>
      <c r="E261" s="155">
        <f t="shared" si="249"/>
        <v>15559796.044395829</v>
      </c>
      <c r="F261" t="s">
        <v>31</v>
      </c>
      <c r="G261" t="str">
        <f t="shared" si="277"/>
        <v>bio_all</v>
      </c>
      <c r="H261">
        <f t="shared" si="285"/>
        <v>4</v>
      </c>
      <c r="I261">
        <f t="shared" si="286"/>
        <v>8</v>
      </c>
      <c r="J261">
        <f t="shared" si="287"/>
        <v>4</v>
      </c>
      <c r="N261">
        <f t="shared" si="307"/>
        <v>8.5000000000000006E-2</v>
      </c>
      <c r="O261" s="155">
        <f t="shared" si="250"/>
        <v>17005241.578574676</v>
      </c>
      <c r="R261" t="s">
        <v>150</v>
      </c>
      <c r="S261" t="s">
        <v>15</v>
      </c>
      <c r="T261" s="23" t="s">
        <v>240</v>
      </c>
      <c r="U261" s="24">
        <v>10121</v>
      </c>
      <c r="V261" s="24">
        <v>20849</v>
      </c>
      <c r="W261" s="24">
        <v>42975</v>
      </c>
      <c r="X261" s="24">
        <v>58714.632148678102</v>
      </c>
      <c r="Y261" s="24">
        <v>33884.396520401497</v>
      </c>
      <c r="Z261" s="24">
        <v>43429.409695041802</v>
      </c>
      <c r="AA261" s="24">
        <v>53399.955020007998</v>
      </c>
      <c r="AB261" s="24">
        <v>57464.285754116798</v>
      </c>
      <c r="AC261" s="24">
        <v>67808.481030889103</v>
      </c>
      <c r="AD261" s="24">
        <v>73975.4613661068</v>
      </c>
      <c r="AE261" s="24">
        <v>74800.909672725305</v>
      </c>
      <c r="AF261" s="25">
        <v>15.5577949277996</v>
      </c>
      <c r="AG261" s="25">
        <v>-2.3486195690625999</v>
      </c>
      <c r="AH261" s="25">
        <v>4.6535858498731004</v>
      </c>
      <c r="AI261" s="25">
        <v>1.6993786216829501</v>
      </c>
    </row>
    <row r="262" spans="2:35">
      <c r="B262" t="str">
        <f t="shared" ref="B262:B282" si="311">INDEX(H$125:H$132,H262)</f>
        <v>DE0</v>
      </c>
      <c r="C262">
        <f t="shared" ref="C262:C282" si="312">INDEX(I$125:I$132,I262)</f>
        <v>2015</v>
      </c>
      <c r="D262" t="str">
        <f t="shared" ref="D262:D282" si="313">INDEX(J$125:J$132,J262)</f>
        <v>WIN_TOT</v>
      </c>
      <c r="E262" s="155">
        <f t="shared" si="249"/>
        <v>66153320.47039751</v>
      </c>
      <c r="F262" t="s">
        <v>31</v>
      </c>
      <c r="G262" t="str">
        <f t="shared" ref="G262:G282" si="314">INDEX(K$125:K$132,J262)</f>
        <v>wind_total</v>
      </c>
      <c r="H262">
        <f t="shared" ref="H262:H282" si="315">IF(H261=$H$124,1,H261+1)</f>
        <v>1</v>
      </c>
      <c r="I262">
        <f t="shared" ref="I262:I282" si="316">IF(H262=1,IF(I261=$I$124,1,I261+1),I261)</f>
        <v>1</v>
      </c>
      <c r="J262">
        <f t="shared" ref="J262:J282" si="317">IF(AND(I262=1,I261&gt;1),IF(J261=$J$124,1,J261+1),J261)</f>
        <v>5</v>
      </c>
      <c r="N262">
        <f t="shared" si="307"/>
        <v>0</v>
      </c>
      <c r="O262" s="155">
        <f t="shared" si="250"/>
        <v>66153320.47039751</v>
      </c>
      <c r="R262" t="s">
        <v>145</v>
      </c>
      <c r="S262" t="s">
        <v>15</v>
      </c>
      <c r="T262" s="23" t="s">
        <v>242</v>
      </c>
      <c r="U262" s="24">
        <v>21732</v>
      </c>
      <c r="V262" s="24">
        <v>19638</v>
      </c>
      <c r="W262" s="24">
        <v>20953</v>
      </c>
      <c r="X262" s="24">
        <v>22380.600073404901</v>
      </c>
      <c r="Y262" s="24">
        <v>22504.7083384094</v>
      </c>
      <c r="Z262" s="24">
        <v>23007.947075712102</v>
      </c>
      <c r="AA262" s="24">
        <v>23819.686404963701</v>
      </c>
      <c r="AB262" s="24">
        <v>25746.079915050799</v>
      </c>
      <c r="AC262" s="24">
        <v>27375.0955325004</v>
      </c>
      <c r="AD262" s="24">
        <v>29371.569897385602</v>
      </c>
      <c r="AE262" s="24">
        <v>30665.145320735999</v>
      </c>
      <c r="AF262" s="25">
        <v>-0.364374483995344</v>
      </c>
      <c r="AG262" s="25">
        <v>0.71698524489367499</v>
      </c>
      <c r="AH262" s="25">
        <v>0.56949400499228797</v>
      </c>
      <c r="AI262" s="25">
        <v>1.27108183409932</v>
      </c>
    </row>
    <row r="263" spans="2:35">
      <c r="B263" t="str">
        <f t="shared" si="311"/>
        <v>IT0</v>
      </c>
      <c r="C263">
        <f t="shared" si="312"/>
        <v>2015</v>
      </c>
      <c r="D263" t="str">
        <f t="shared" si="313"/>
        <v>WIN_TOT</v>
      </c>
      <c r="E263" s="155">
        <f t="shared" si="249"/>
        <v>14627998.112011898</v>
      </c>
      <c r="F263" t="s">
        <v>31</v>
      </c>
      <c r="G263" t="str">
        <f t="shared" si="314"/>
        <v>wind_total</v>
      </c>
      <c r="H263">
        <f t="shared" si="315"/>
        <v>2</v>
      </c>
      <c r="I263">
        <f t="shared" si="316"/>
        <v>1</v>
      </c>
      <c r="J263">
        <f t="shared" si="317"/>
        <v>5</v>
      </c>
      <c r="N263">
        <f t="shared" si="307"/>
        <v>0</v>
      </c>
      <c r="O263" s="155">
        <f t="shared" si="250"/>
        <v>14627998.112011898</v>
      </c>
      <c r="R263" t="s">
        <v>146</v>
      </c>
      <c r="S263" t="s">
        <v>15</v>
      </c>
      <c r="T263" s="23" t="s">
        <v>207</v>
      </c>
      <c r="U263" s="24">
        <v>9352</v>
      </c>
      <c r="V263" s="24">
        <v>27229</v>
      </c>
      <c r="W263" s="24">
        <v>37793</v>
      </c>
      <c r="X263" s="24">
        <v>66153.320470397506</v>
      </c>
      <c r="Y263" s="24">
        <v>109449.743805814</v>
      </c>
      <c r="Z263" s="24">
        <v>113228.663673167</v>
      </c>
      <c r="AA263" s="24">
        <v>128324.174161107</v>
      </c>
      <c r="AB263" s="24">
        <v>130056.895989032</v>
      </c>
      <c r="AC263" s="24">
        <v>139033.44725702101</v>
      </c>
      <c r="AD263" s="24">
        <v>179224.626285095</v>
      </c>
      <c r="AE263" s="24">
        <v>195659.045941766</v>
      </c>
      <c r="AF263" s="25">
        <v>14.9875145800693</v>
      </c>
      <c r="AG263" s="25">
        <v>11.2193463088139</v>
      </c>
      <c r="AH263" s="25">
        <v>1.60366475891354</v>
      </c>
      <c r="AI263" s="25">
        <v>2.1314676083140398</v>
      </c>
    </row>
    <row r="264" spans="2:35">
      <c r="B264" t="str">
        <f t="shared" si="311"/>
        <v>AT0</v>
      </c>
      <c r="C264">
        <f t="shared" si="312"/>
        <v>2015</v>
      </c>
      <c r="D264" t="str">
        <f t="shared" si="313"/>
        <v>WIN_TOT</v>
      </c>
      <c r="E264" s="155">
        <f t="shared" si="249"/>
        <v>3958212.1963833002</v>
      </c>
      <c r="F264" t="s">
        <v>31</v>
      </c>
      <c r="G264" t="str">
        <f t="shared" si="314"/>
        <v>wind_total</v>
      </c>
      <c r="H264">
        <f t="shared" si="315"/>
        <v>3</v>
      </c>
      <c r="I264">
        <f t="shared" si="316"/>
        <v>1</v>
      </c>
      <c r="J264">
        <f t="shared" si="317"/>
        <v>5</v>
      </c>
      <c r="N264">
        <f t="shared" si="307"/>
        <v>0</v>
      </c>
      <c r="O264" s="155">
        <f t="shared" si="250"/>
        <v>3958212.1963833002</v>
      </c>
      <c r="R264" t="s">
        <v>105</v>
      </c>
      <c r="S264" t="s">
        <v>15</v>
      </c>
      <c r="T264" s="23" t="s">
        <v>245</v>
      </c>
      <c r="U264" s="24">
        <v>60.465116279069797</v>
      </c>
      <c r="V264" s="24">
        <v>1282.55813953488</v>
      </c>
      <c r="W264" s="24">
        <v>11726.744186046501</v>
      </c>
      <c r="X264" s="24">
        <v>34611.594899224197</v>
      </c>
      <c r="Y264" s="24">
        <v>48465.362989064997</v>
      </c>
      <c r="Z264" s="24">
        <v>51777.497313538297</v>
      </c>
      <c r="AA264" s="24">
        <v>60513.390975464201</v>
      </c>
      <c r="AB264" s="24">
        <v>60978.532916030599</v>
      </c>
      <c r="AC264" s="24">
        <v>63857.101641731802</v>
      </c>
      <c r="AD264" s="24">
        <v>68812.765286356094</v>
      </c>
      <c r="AE264" s="24">
        <v>83043.860283039394</v>
      </c>
      <c r="AF264" s="25">
        <v>69.3430025864795</v>
      </c>
      <c r="AG264" s="25">
        <v>15.2458782451</v>
      </c>
      <c r="AH264" s="25">
        <v>2.2449818158666499</v>
      </c>
      <c r="AI264" s="25">
        <v>1.59510931347338</v>
      </c>
    </row>
    <row r="265" spans="2:35">
      <c r="B265" t="str">
        <f t="shared" si="311"/>
        <v>FR0</v>
      </c>
      <c r="C265">
        <f t="shared" si="312"/>
        <v>2015</v>
      </c>
      <c r="D265" t="str">
        <f t="shared" si="313"/>
        <v>WIN_TOT</v>
      </c>
      <c r="E265" s="155">
        <f t="shared" si="249"/>
        <v>21516549.318470199</v>
      </c>
      <c r="F265" t="s">
        <v>31</v>
      </c>
      <c r="G265" t="str">
        <f t="shared" si="314"/>
        <v>wind_total</v>
      </c>
      <c r="H265">
        <f t="shared" si="315"/>
        <v>4</v>
      </c>
      <c r="I265">
        <f t="shared" si="316"/>
        <v>1</v>
      </c>
      <c r="J265">
        <f t="shared" si="317"/>
        <v>5</v>
      </c>
      <c r="N265">
        <f t="shared" si="307"/>
        <v>0</v>
      </c>
      <c r="O265" s="155">
        <f t="shared" si="250"/>
        <v>21516549.318470199</v>
      </c>
      <c r="R265" t="s">
        <v>65</v>
      </c>
      <c r="S265" t="s">
        <v>15</v>
      </c>
      <c r="T265" s="23" t="s">
        <v>246</v>
      </c>
      <c r="U265" s="24">
        <v>-0.46511627906977498</v>
      </c>
      <c r="V265" s="24">
        <v>-0.55813953488382095</v>
      </c>
      <c r="W265" s="24">
        <v>30.255813953486701</v>
      </c>
      <c r="X265" s="24">
        <v>136.65600000000299</v>
      </c>
      <c r="Y265" s="24">
        <v>969.47333184156696</v>
      </c>
      <c r="Z265" s="24">
        <v>969.47333184158197</v>
      </c>
      <c r="AA265" s="24">
        <v>969.47333184157503</v>
      </c>
      <c r="AB265" s="24">
        <v>969.47333184158197</v>
      </c>
      <c r="AC265" s="24">
        <v>969.47333184158902</v>
      </c>
      <c r="AD265" s="24">
        <v>969.47333184158197</v>
      </c>
      <c r="AE265" s="24">
        <v>969.47333184158197</v>
      </c>
      <c r="AF265" s="25">
        <v>0</v>
      </c>
      <c r="AG265" s="25">
        <v>41.4401481633899</v>
      </c>
      <c r="AH265" s="25">
        <v>6.6613381477509405E-14</v>
      </c>
      <c r="AI265" s="25">
        <v>4.4408920985006299E-14</v>
      </c>
    </row>
    <row r="266" spans="2:35">
      <c r="B266" t="str">
        <f t="shared" si="311"/>
        <v>DE0</v>
      </c>
      <c r="C266">
        <f t="shared" si="312"/>
        <v>2020</v>
      </c>
      <c r="D266" t="str">
        <f t="shared" si="313"/>
        <v>WIN_TOT</v>
      </c>
      <c r="E266" s="155">
        <f t="shared" si="249"/>
        <v>109449743.805814</v>
      </c>
      <c r="F266" t="s">
        <v>31</v>
      </c>
      <c r="G266" t="str">
        <f t="shared" si="314"/>
        <v>wind_total</v>
      </c>
      <c r="H266">
        <f t="shared" si="315"/>
        <v>1</v>
      </c>
      <c r="I266">
        <f t="shared" si="316"/>
        <v>2</v>
      </c>
      <c r="J266">
        <f t="shared" si="317"/>
        <v>5</v>
      </c>
      <c r="N266">
        <f t="shared" si="307"/>
        <v>0</v>
      </c>
      <c r="O266" s="155">
        <f t="shared" si="250"/>
        <v>109449743.805814</v>
      </c>
      <c r="S266" t="s">
        <v>15</v>
      </c>
      <c r="T266" s="63" t="s">
        <v>247</v>
      </c>
      <c r="U266" s="64">
        <v>0</v>
      </c>
      <c r="V266" s="64">
        <v>0</v>
      </c>
      <c r="W266" s="64">
        <v>0</v>
      </c>
      <c r="X266" s="64">
        <v>0</v>
      </c>
      <c r="Y266" s="64">
        <v>0</v>
      </c>
      <c r="Z266" s="64">
        <v>0</v>
      </c>
      <c r="AA266" s="64">
        <v>0</v>
      </c>
      <c r="AB266" s="64">
        <v>0</v>
      </c>
      <c r="AC266" s="64">
        <v>0</v>
      </c>
      <c r="AD266" s="64">
        <v>0</v>
      </c>
      <c r="AE266" s="64">
        <v>0</v>
      </c>
      <c r="AF266" s="25">
        <v>0</v>
      </c>
      <c r="AG266" s="25">
        <v>0</v>
      </c>
      <c r="AH266" s="25">
        <v>0</v>
      </c>
      <c r="AI266" s="25">
        <v>0</v>
      </c>
    </row>
    <row r="267" spans="2:35">
      <c r="B267" t="str">
        <f t="shared" si="311"/>
        <v>IT0</v>
      </c>
      <c r="C267">
        <f t="shared" si="312"/>
        <v>2020</v>
      </c>
      <c r="D267" t="str">
        <f t="shared" si="313"/>
        <v>WIN_TOT</v>
      </c>
      <c r="E267" s="155">
        <f t="shared" si="249"/>
        <v>14645538.091604799</v>
      </c>
      <c r="F267" t="s">
        <v>31</v>
      </c>
      <c r="G267" t="str">
        <f t="shared" si="314"/>
        <v>wind_total</v>
      </c>
      <c r="H267">
        <f t="shared" si="315"/>
        <v>2</v>
      </c>
      <c r="I267">
        <f t="shared" si="316"/>
        <v>2</v>
      </c>
      <c r="J267">
        <f t="shared" si="317"/>
        <v>5</v>
      </c>
      <c r="N267">
        <f t="shared" si="307"/>
        <v>0</v>
      </c>
      <c r="O267" s="155">
        <f t="shared" si="250"/>
        <v>14645538.091604799</v>
      </c>
    </row>
    <row r="268" spans="2:35">
      <c r="B268" t="str">
        <f t="shared" si="311"/>
        <v>AT0</v>
      </c>
      <c r="C268">
        <f t="shared" si="312"/>
        <v>2020</v>
      </c>
      <c r="D268" t="str">
        <f t="shared" si="313"/>
        <v>WIN_TOT</v>
      </c>
      <c r="E268" s="155">
        <f t="shared" ref="E268:E331" si="318">O268*(1-N268)</f>
        <v>4442621.1016638996</v>
      </c>
      <c r="F268" t="s">
        <v>31</v>
      </c>
      <c r="G268" t="str">
        <f t="shared" si="314"/>
        <v>wind_total</v>
      </c>
      <c r="H268">
        <f t="shared" si="315"/>
        <v>3</v>
      </c>
      <c r="I268">
        <f t="shared" si="316"/>
        <v>2</v>
      </c>
      <c r="J268">
        <f t="shared" si="317"/>
        <v>5</v>
      </c>
      <c r="N268">
        <f t="shared" si="307"/>
        <v>0</v>
      </c>
      <c r="O268" s="155">
        <f t="shared" ref="O268:O331" si="319">INDEX($W$21:$AE$249,MATCH(B268&amp;"."&amp;D268,$AH$21:$AH$249,0),MATCH(C268,$W$20:$AE$20,0))</f>
        <v>4442621.1016638996</v>
      </c>
      <c r="S268" t="s">
        <v>16</v>
      </c>
      <c r="T268" s="49" t="s">
        <v>231</v>
      </c>
      <c r="U268" s="50">
        <v>535964.88138954702</v>
      </c>
      <c r="V268" s="50">
        <v>571352.75322503201</v>
      </c>
      <c r="W268" s="50">
        <v>563930.65555227303</v>
      </c>
      <c r="X268" s="50">
        <v>584203.82613881305</v>
      </c>
      <c r="Y268" s="50">
        <v>596131.22703056003</v>
      </c>
      <c r="Z268" s="50">
        <v>599538.69586694497</v>
      </c>
      <c r="AA268" s="50">
        <v>608390.66431872</v>
      </c>
      <c r="AB268" s="50">
        <v>603936.16450018401</v>
      </c>
      <c r="AC268" s="50">
        <v>609180.06277703505</v>
      </c>
      <c r="AD268" s="50">
        <v>628568.217998915</v>
      </c>
      <c r="AE268" s="50">
        <v>647491.90661156399</v>
      </c>
      <c r="AF268" s="25">
        <v>0.50992223721464403</v>
      </c>
      <c r="AG268" s="25">
        <v>0.55683991828132695</v>
      </c>
      <c r="AH268" s="25">
        <v>0.20377126416046801</v>
      </c>
      <c r="AI268" s="25">
        <v>0.31193088719971801</v>
      </c>
    </row>
    <row r="269" spans="2:35">
      <c r="B269" t="str">
        <f t="shared" si="311"/>
        <v>FR0</v>
      </c>
      <c r="C269">
        <f t="shared" si="312"/>
        <v>2020</v>
      </c>
      <c r="D269" t="str">
        <f t="shared" si="313"/>
        <v>WIN_TOT</v>
      </c>
      <c r="E269" s="155">
        <f t="shared" si="318"/>
        <v>55128602.239687301</v>
      </c>
      <c r="F269" t="s">
        <v>31</v>
      </c>
      <c r="G269" t="str">
        <f t="shared" si="314"/>
        <v>wind_total</v>
      </c>
      <c r="H269">
        <f t="shared" si="315"/>
        <v>4</v>
      </c>
      <c r="I269">
        <f t="shared" si="316"/>
        <v>2</v>
      </c>
      <c r="J269">
        <f t="shared" si="317"/>
        <v>5</v>
      </c>
      <c r="N269">
        <f t="shared" si="307"/>
        <v>0</v>
      </c>
      <c r="O269" s="155">
        <f t="shared" si="319"/>
        <v>55128602.239687301</v>
      </c>
      <c r="R269" t="s">
        <v>95</v>
      </c>
      <c r="S269" t="s">
        <v>16</v>
      </c>
      <c r="T269" s="23" t="s">
        <v>233</v>
      </c>
      <c r="U269" s="24">
        <v>415162</v>
      </c>
      <c r="V269" s="24">
        <v>451529</v>
      </c>
      <c r="W269" s="24">
        <v>428521</v>
      </c>
      <c r="X269" s="24">
        <v>444338.430351416</v>
      </c>
      <c r="Y269" s="24">
        <v>396167.069122135</v>
      </c>
      <c r="Z269" s="24">
        <v>385196.11962613702</v>
      </c>
      <c r="AA269" s="24">
        <v>385061.72573392099</v>
      </c>
      <c r="AB269" s="24">
        <v>378941.286334656</v>
      </c>
      <c r="AC269" s="24">
        <v>299262.36641861103</v>
      </c>
      <c r="AD269" s="24">
        <v>283442.831050754</v>
      </c>
      <c r="AE269" s="24">
        <v>246065.63866318</v>
      </c>
      <c r="AF269" s="25">
        <v>0.31721144907923499</v>
      </c>
      <c r="AG269" s="25">
        <v>-0.78196393972836997</v>
      </c>
      <c r="AH269" s="25">
        <v>-0.28391984296139999</v>
      </c>
      <c r="AI269" s="25">
        <v>-2.21414645532702</v>
      </c>
    </row>
    <row r="270" spans="2:35">
      <c r="B270" t="str">
        <f t="shared" si="311"/>
        <v>DE0</v>
      </c>
      <c r="C270">
        <f t="shared" si="312"/>
        <v>2025</v>
      </c>
      <c r="D270" t="str">
        <f t="shared" si="313"/>
        <v>WIN_TOT</v>
      </c>
      <c r="E270" s="155">
        <f t="shared" si="318"/>
        <v>113228663.67316701</v>
      </c>
      <c r="F270" t="s">
        <v>31</v>
      </c>
      <c r="G270" t="str">
        <f t="shared" si="314"/>
        <v>wind_total</v>
      </c>
      <c r="H270">
        <f t="shared" si="315"/>
        <v>1</v>
      </c>
      <c r="I270">
        <f t="shared" si="316"/>
        <v>3</v>
      </c>
      <c r="J270">
        <f t="shared" si="317"/>
        <v>5</v>
      </c>
      <c r="N270">
        <f t="shared" si="307"/>
        <v>0</v>
      </c>
      <c r="O270" s="155">
        <f t="shared" si="319"/>
        <v>113228663.67316701</v>
      </c>
      <c r="R270" t="s">
        <v>465</v>
      </c>
      <c r="S270" t="s">
        <v>16</v>
      </c>
      <c r="T270" s="23" t="s">
        <v>181</v>
      </c>
      <c r="U270" s="24">
        <v>27004</v>
      </c>
      <c r="V270" s="24">
        <v>27515</v>
      </c>
      <c r="W270" s="24">
        <v>23359</v>
      </c>
      <c r="X270" s="24">
        <v>8820.3738605892995</v>
      </c>
      <c r="Y270" s="24">
        <v>9108.9147449581305</v>
      </c>
      <c r="Z270" s="24">
        <v>361.31197196128898</v>
      </c>
      <c r="AA270" s="24">
        <v>68.630942373560998</v>
      </c>
      <c r="AB270" s="24">
        <v>0</v>
      </c>
      <c r="AC270" s="24">
        <v>0</v>
      </c>
      <c r="AD270" s="24">
        <v>0</v>
      </c>
      <c r="AE270" s="24">
        <v>0</v>
      </c>
      <c r="AF270" s="25">
        <v>-1.4395642882045001</v>
      </c>
      <c r="AG270" s="25">
        <v>-8.9874591341260004</v>
      </c>
      <c r="AH270" s="25">
        <v>-38.6654289276036</v>
      </c>
      <c r="AI270" s="25">
        <v>-100</v>
      </c>
    </row>
    <row r="271" spans="2:35">
      <c r="B271" t="str">
        <f t="shared" si="311"/>
        <v>IT0</v>
      </c>
      <c r="C271">
        <f t="shared" si="312"/>
        <v>2025</v>
      </c>
      <c r="D271" t="str">
        <f t="shared" si="313"/>
        <v>WIN_TOT</v>
      </c>
      <c r="E271" s="155">
        <f t="shared" si="318"/>
        <v>25587731.003884699</v>
      </c>
      <c r="F271" t="s">
        <v>31</v>
      </c>
      <c r="G271" t="str">
        <f t="shared" si="314"/>
        <v>wind_total</v>
      </c>
      <c r="H271">
        <f t="shared" si="315"/>
        <v>2</v>
      </c>
      <c r="I271">
        <f t="shared" si="316"/>
        <v>3</v>
      </c>
      <c r="J271">
        <f t="shared" si="317"/>
        <v>5</v>
      </c>
      <c r="N271">
        <f t="shared" si="307"/>
        <v>0</v>
      </c>
      <c r="O271" s="155">
        <f t="shared" si="319"/>
        <v>25587731.003884699</v>
      </c>
      <c r="R271" t="s">
        <v>100</v>
      </c>
      <c r="S271" t="s">
        <v>16</v>
      </c>
      <c r="T271" s="23" t="s">
        <v>236</v>
      </c>
      <c r="U271" s="24">
        <v>7165</v>
      </c>
      <c r="V271" s="24">
        <v>7925</v>
      </c>
      <c r="W271" s="24">
        <v>5565</v>
      </c>
      <c r="X271" s="24">
        <v>515.79300401007004</v>
      </c>
      <c r="Y271" s="24">
        <v>0</v>
      </c>
      <c r="Z271" s="24">
        <v>336.92955975447899</v>
      </c>
      <c r="AA271" s="24">
        <v>340.579650215475</v>
      </c>
      <c r="AB271" s="24">
        <v>242.99595669940501</v>
      </c>
      <c r="AC271" s="24">
        <v>93.248878055774597</v>
      </c>
      <c r="AD271" s="24">
        <v>117.3808987076</v>
      </c>
      <c r="AE271" s="24">
        <v>19.5685425478529</v>
      </c>
      <c r="AF271" s="25">
        <v>-2.49544661159831</v>
      </c>
      <c r="AG271" s="25">
        <v>-100</v>
      </c>
      <c r="AH271" s="25">
        <v>0</v>
      </c>
      <c r="AI271" s="25">
        <v>-13.3104019484375</v>
      </c>
    </row>
    <row r="272" spans="2:35">
      <c r="B272" t="str">
        <f t="shared" si="311"/>
        <v>AT0</v>
      </c>
      <c r="C272">
        <f t="shared" si="312"/>
        <v>2025</v>
      </c>
      <c r="D272" t="str">
        <f t="shared" si="313"/>
        <v>WIN_TOT</v>
      </c>
      <c r="E272" s="155">
        <f t="shared" si="318"/>
        <v>7230646.6035179002</v>
      </c>
      <c r="F272" t="s">
        <v>31</v>
      </c>
      <c r="G272" t="str">
        <f t="shared" si="314"/>
        <v>wind_total</v>
      </c>
      <c r="H272">
        <f t="shared" si="315"/>
        <v>3</v>
      </c>
      <c r="I272">
        <f t="shared" si="316"/>
        <v>3</v>
      </c>
      <c r="J272">
        <f t="shared" si="317"/>
        <v>5</v>
      </c>
      <c r="N272">
        <f t="shared" si="307"/>
        <v>0</v>
      </c>
      <c r="O272" s="155">
        <f t="shared" si="319"/>
        <v>7230646.6035179002</v>
      </c>
      <c r="R272" t="s">
        <v>468</v>
      </c>
      <c r="S272" t="s">
        <v>16</v>
      </c>
      <c r="T272" s="23" t="s">
        <v>239</v>
      </c>
      <c r="U272" s="24">
        <v>15364.562939916999</v>
      </c>
      <c r="V272" s="24">
        <v>26253.869085959301</v>
      </c>
      <c r="W272" s="24">
        <v>26384.527159920599</v>
      </c>
      <c r="X272" s="24">
        <v>25752.510087823001</v>
      </c>
      <c r="Y272" s="24">
        <v>22325.7614289107</v>
      </c>
      <c r="Z272" s="24">
        <v>23670.4886836923</v>
      </c>
      <c r="AA272" s="24">
        <v>12047.482358744201</v>
      </c>
      <c r="AB272" s="24">
        <v>10042.3493253837</v>
      </c>
      <c r="AC272" s="24">
        <v>53974.8642864129</v>
      </c>
      <c r="AD272" s="24">
        <v>55879.379236047302</v>
      </c>
      <c r="AE272" s="24">
        <v>39282.512439587001</v>
      </c>
      <c r="AF272" s="25">
        <v>5.5559966013455604</v>
      </c>
      <c r="AG272" s="25">
        <v>-1.65649188532631</v>
      </c>
      <c r="AH272" s="25">
        <v>-5.9824343681259302</v>
      </c>
      <c r="AI272" s="25">
        <v>6.08772783574938</v>
      </c>
    </row>
    <row r="273" spans="2:35">
      <c r="B273" t="str">
        <f t="shared" si="311"/>
        <v>FR0</v>
      </c>
      <c r="C273">
        <f t="shared" si="312"/>
        <v>2025</v>
      </c>
      <c r="D273" t="str">
        <f t="shared" si="313"/>
        <v>WIN_TOT</v>
      </c>
      <c r="E273" s="155">
        <f t="shared" si="318"/>
        <v>65349711.600884199</v>
      </c>
      <c r="F273" t="s">
        <v>31</v>
      </c>
      <c r="G273" t="str">
        <f t="shared" si="314"/>
        <v>wind_total</v>
      </c>
      <c r="H273">
        <f t="shared" si="315"/>
        <v>4</v>
      </c>
      <c r="I273">
        <f t="shared" si="316"/>
        <v>3</v>
      </c>
      <c r="J273">
        <f t="shared" si="317"/>
        <v>5</v>
      </c>
      <c r="N273">
        <f t="shared" si="307"/>
        <v>0</v>
      </c>
      <c r="O273" s="155">
        <f t="shared" si="319"/>
        <v>65349711.600884199</v>
      </c>
      <c r="R273" t="s">
        <v>150</v>
      </c>
      <c r="S273" t="s">
        <v>16</v>
      </c>
      <c r="T273" s="23" t="s">
        <v>240</v>
      </c>
      <c r="U273" s="24">
        <v>3559.3184496303902</v>
      </c>
      <c r="V273" s="24">
        <v>5015.88413907226</v>
      </c>
      <c r="W273" s="24">
        <v>6675.1283923521696</v>
      </c>
      <c r="X273" s="24">
        <v>10512.311793148499</v>
      </c>
      <c r="Y273" s="24">
        <v>14130.560334059201</v>
      </c>
      <c r="Z273" s="24">
        <v>20068.457361309502</v>
      </c>
      <c r="AA273" s="24">
        <v>20255.93219467</v>
      </c>
      <c r="AB273" s="24">
        <v>20473.5518634701</v>
      </c>
      <c r="AC273" s="24">
        <v>26253.4768322286</v>
      </c>
      <c r="AD273" s="24">
        <v>28898.3552836075</v>
      </c>
      <c r="AE273" s="24">
        <v>28904.813716988599</v>
      </c>
      <c r="AF273" s="25">
        <v>6.4901105230039704</v>
      </c>
      <c r="AG273" s="25">
        <v>7.7878913741754197</v>
      </c>
      <c r="AH273" s="25">
        <v>3.6667026573097901</v>
      </c>
      <c r="AI273" s="25">
        <v>1.7936992063577699</v>
      </c>
    </row>
    <row r="274" spans="2:35">
      <c r="B274" t="str">
        <f t="shared" si="311"/>
        <v>DE0</v>
      </c>
      <c r="C274">
        <f t="shared" si="312"/>
        <v>2030</v>
      </c>
      <c r="D274" t="str">
        <f t="shared" si="313"/>
        <v>WIN_TOT</v>
      </c>
      <c r="E274" s="155">
        <f t="shared" si="318"/>
        <v>128324174.161107</v>
      </c>
      <c r="F274" t="s">
        <v>31</v>
      </c>
      <c r="G274" t="str">
        <f t="shared" si="314"/>
        <v>wind_total</v>
      </c>
      <c r="H274">
        <f t="shared" si="315"/>
        <v>1</v>
      </c>
      <c r="I274">
        <f t="shared" si="316"/>
        <v>4</v>
      </c>
      <c r="J274">
        <f t="shared" si="317"/>
        <v>5</v>
      </c>
      <c r="N274">
        <f t="shared" si="307"/>
        <v>0</v>
      </c>
      <c r="O274" s="155">
        <f t="shared" si="319"/>
        <v>128324174.161107</v>
      </c>
      <c r="R274" t="s">
        <v>145</v>
      </c>
      <c r="S274" t="s">
        <v>16</v>
      </c>
      <c r="T274" s="23" t="s">
        <v>242</v>
      </c>
      <c r="U274" s="24">
        <v>67121</v>
      </c>
      <c r="V274" s="24">
        <v>51658</v>
      </c>
      <c r="W274" s="24">
        <v>62388</v>
      </c>
      <c r="X274" s="24">
        <v>63672.613230754498</v>
      </c>
      <c r="Y274" s="24">
        <v>66899.279071880504</v>
      </c>
      <c r="Z274" s="24">
        <v>64123.060081086303</v>
      </c>
      <c r="AA274" s="24">
        <v>64139.308437833701</v>
      </c>
      <c r="AB274" s="24">
        <v>65517.7126837537</v>
      </c>
      <c r="AC274" s="24">
        <v>69504.476385689806</v>
      </c>
      <c r="AD274" s="24">
        <v>73566.3751582861</v>
      </c>
      <c r="AE274" s="24">
        <v>77814.514212059701</v>
      </c>
      <c r="AF274" s="25">
        <v>-0.72857305976053999</v>
      </c>
      <c r="AG274" s="25">
        <v>0.70059518223322104</v>
      </c>
      <c r="AH274" s="25">
        <v>-0.420421531172743</v>
      </c>
      <c r="AI274" s="25">
        <v>0.971037063569402</v>
      </c>
    </row>
    <row r="275" spans="2:35">
      <c r="B275" t="str">
        <f t="shared" si="311"/>
        <v>IT0</v>
      </c>
      <c r="C275">
        <f t="shared" si="312"/>
        <v>2030</v>
      </c>
      <c r="D275" t="str">
        <f t="shared" si="313"/>
        <v>WIN_TOT</v>
      </c>
      <c r="E275" s="155">
        <f t="shared" si="318"/>
        <v>32732246.950413302</v>
      </c>
      <c r="F275" t="s">
        <v>31</v>
      </c>
      <c r="G275" t="str">
        <f t="shared" si="314"/>
        <v>wind_total</v>
      </c>
      <c r="H275">
        <f t="shared" si="315"/>
        <v>2</v>
      </c>
      <c r="I275">
        <f t="shared" si="316"/>
        <v>4</v>
      </c>
      <c r="J275">
        <f t="shared" si="317"/>
        <v>5</v>
      </c>
      <c r="N275">
        <f t="shared" si="307"/>
        <v>0</v>
      </c>
      <c r="O275" s="155">
        <f t="shared" si="319"/>
        <v>32732246.950413302</v>
      </c>
      <c r="R275" t="s">
        <v>146</v>
      </c>
      <c r="S275" t="s">
        <v>16</v>
      </c>
      <c r="T275" s="23" t="s">
        <v>207</v>
      </c>
      <c r="U275" s="24">
        <v>77</v>
      </c>
      <c r="V275" s="24">
        <v>964</v>
      </c>
      <c r="W275" s="24">
        <v>9942</v>
      </c>
      <c r="X275" s="24">
        <v>21516.549318470199</v>
      </c>
      <c r="Y275" s="24">
        <v>55128.602239687301</v>
      </c>
      <c r="Z275" s="24">
        <v>65349.711600884199</v>
      </c>
      <c r="AA275" s="24">
        <v>83417.634058887794</v>
      </c>
      <c r="AB275" s="24">
        <v>83550.463663565402</v>
      </c>
      <c r="AC275" s="24">
        <v>103668.02194797</v>
      </c>
      <c r="AD275" s="24">
        <v>121762.989960372</v>
      </c>
      <c r="AE275" s="24">
        <v>171302.31382977299</v>
      </c>
      <c r="AF275" s="25">
        <v>62.591674337795702</v>
      </c>
      <c r="AG275" s="25">
        <v>18.683493710133799</v>
      </c>
      <c r="AH275" s="25">
        <v>4.2288842296008804</v>
      </c>
      <c r="AI275" s="25">
        <v>3.6633568277782498</v>
      </c>
    </row>
    <row r="276" spans="2:35">
      <c r="B276" t="str">
        <f t="shared" si="311"/>
        <v>AT0</v>
      </c>
      <c r="C276">
        <f t="shared" si="312"/>
        <v>2030</v>
      </c>
      <c r="D276" t="str">
        <f t="shared" si="313"/>
        <v>WIN_TOT</v>
      </c>
      <c r="E276" s="155">
        <f t="shared" si="318"/>
        <v>10049776.431663901</v>
      </c>
      <c r="F276" t="s">
        <v>31</v>
      </c>
      <c r="G276" t="str">
        <f t="shared" si="314"/>
        <v>wind_total</v>
      </c>
      <c r="H276">
        <f t="shared" si="315"/>
        <v>3</v>
      </c>
      <c r="I276">
        <f t="shared" si="316"/>
        <v>4</v>
      </c>
      <c r="J276">
        <f t="shared" si="317"/>
        <v>5</v>
      </c>
      <c r="N276">
        <f t="shared" si="307"/>
        <v>0</v>
      </c>
      <c r="O276" s="155">
        <f t="shared" si="319"/>
        <v>10049776.431663901</v>
      </c>
      <c r="R276" t="s">
        <v>105</v>
      </c>
      <c r="S276" t="s">
        <v>16</v>
      </c>
      <c r="T276" s="23" t="s">
        <v>245</v>
      </c>
      <c r="U276" s="24">
        <v>4.65116279069768</v>
      </c>
      <c r="V276" s="24">
        <v>10.4651162790698</v>
      </c>
      <c r="W276" s="24">
        <v>619.76744186046506</v>
      </c>
      <c r="X276" s="24">
        <v>8601.3284926016604</v>
      </c>
      <c r="Y276" s="24">
        <v>31588.7105400291</v>
      </c>
      <c r="Z276" s="24">
        <v>39234.166133296399</v>
      </c>
      <c r="AA276" s="24">
        <v>41048.335874749297</v>
      </c>
      <c r="AB276" s="24">
        <v>41864.978183142302</v>
      </c>
      <c r="AC276" s="24">
        <v>51256.660701015098</v>
      </c>
      <c r="AD276" s="24">
        <v>58297.696755261</v>
      </c>
      <c r="AE276" s="24">
        <v>77182.068668514607</v>
      </c>
      <c r="AF276" s="25">
        <v>63.1047923831849</v>
      </c>
      <c r="AG276" s="25">
        <v>48.159776446763701</v>
      </c>
      <c r="AH276" s="25">
        <v>2.65411558744939</v>
      </c>
      <c r="AI276" s="25">
        <v>3.2074488404588699</v>
      </c>
    </row>
    <row r="277" spans="2:35">
      <c r="B277" t="str">
        <f t="shared" si="311"/>
        <v>FR0</v>
      </c>
      <c r="C277">
        <f t="shared" si="312"/>
        <v>2030</v>
      </c>
      <c r="D277" t="str">
        <f t="shared" si="313"/>
        <v>WIN_TOT</v>
      </c>
      <c r="E277" s="155">
        <f t="shared" si="318"/>
        <v>83417634.058887795</v>
      </c>
      <c r="F277" t="s">
        <v>31</v>
      </c>
      <c r="G277" t="str">
        <f t="shared" si="314"/>
        <v>wind_total</v>
      </c>
      <c r="H277">
        <f t="shared" si="315"/>
        <v>4</v>
      </c>
      <c r="I277">
        <f t="shared" si="316"/>
        <v>4</v>
      </c>
      <c r="J277">
        <f t="shared" si="317"/>
        <v>5</v>
      </c>
      <c r="N277">
        <f t="shared" si="307"/>
        <v>0</v>
      </c>
      <c r="O277" s="155">
        <f t="shared" si="319"/>
        <v>83417634.058887795</v>
      </c>
      <c r="R277" t="s">
        <v>65</v>
      </c>
      <c r="S277" t="s">
        <v>16</v>
      </c>
      <c r="T277" s="23" t="s">
        <v>246</v>
      </c>
      <c r="U277" s="24">
        <v>507.34883720930202</v>
      </c>
      <c r="V277" s="24">
        <v>481.53488372093</v>
      </c>
      <c r="W277" s="24">
        <v>476.232558139535</v>
      </c>
      <c r="X277" s="24">
        <v>473.91600000000102</v>
      </c>
      <c r="Y277" s="24">
        <v>782.32954890050303</v>
      </c>
      <c r="Z277" s="24">
        <v>1198.4508488241199</v>
      </c>
      <c r="AA277" s="24">
        <v>2011.03506732438</v>
      </c>
      <c r="AB277" s="24">
        <v>3302.8264895136299</v>
      </c>
      <c r="AC277" s="24">
        <v>5166.9473270519702</v>
      </c>
      <c r="AD277" s="24">
        <v>6603.2096558797903</v>
      </c>
      <c r="AE277" s="24">
        <v>6920.4765389133399</v>
      </c>
      <c r="AF277" s="25">
        <v>-0.63092631231381802</v>
      </c>
      <c r="AG277" s="25">
        <v>5.0889529774635696</v>
      </c>
      <c r="AH277" s="25">
        <v>9.9013408250540706</v>
      </c>
      <c r="AI277" s="25">
        <v>6.3740802046764502</v>
      </c>
    </row>
    <row r="278" spans="2:35">
      <c r="B278" t="str">
        <f t="shared" si="311"/>
        <v>DE0</v>
      </c>
      <c r="C278">
        <f t="shared" si="312"/>
        <v>2035</v>
      </c>
      <c r="D278" t="str">
        <f t="shared" si="313"/>
        <v>WIN_TOT</v>
      </c>
      <c r="E278" s="155">
        <f t="shared" si="318"/>
        <v>130056895.989032</v>
      </c>
      <c r="F278" t="s">
        <v>31</v>
      </c>
      <c r="G278" t="str">
        <f t="shared" si="314"/>
        <v>wind_total</v>
      </c>
      <c r="H278">
        <f t="shared" si="315"/>
        <v>1</v>
      </c>
      <c r="I278">
        <f t="shared" si="316"/>
        <v>5</v>
      </c>
      <c r="J278">
        <f t="shared" si="317"/>
        <v>5</v>
      </c>
      <c r="N278">
        <f t="shared" si="307"/>
        <v>0</v>
      </c>
      <c r="O278" s="155">
        <f t="shared" si="319"/>
        <v>130056895.989032</v>
      </c>
      <c r="S278" t="s">
        <v>16</v>
      </c>
      <c r="T278" s="63" t="s">
        <v>247</v>
      </c>
      <c r="U278" s="64">
        <v>0</v>
      </c>
      <c r="V278" s="64">
        <v>0</v>
      </c>
      <c r="W278" s="64">
        <v>0</v>
      </c>
      <c r="X278" s="64">
        <v>0</v>
      </c>
      <c r="Y278" s="64">
        <v>0</v>
      </c>
      <c r="Z278" s="64">
        <v>0</v>
      </c>
      <c r="AA278" s="64">
        <v>0</v>
      </c>
      <c r="AB278" s="64">
        <v>0</v>
      </c>
      <c r="AC278" s="64">
        <v>0</v>
      </c>
      <c r="AD278" s="64">
        <v>0</v>
      </c>
      <c r="AE278" s="64">
        <v>0</v>
      </c>
      <c r="AF278" s="25">
        <v>0</v>
      </c>
      <c r="AG278" s="25">
        <v>0</v>
      </c>
      <c r="AH278" s="25">
        <v>0</v>
      </c>
      <c r="AI278" s="25">
        <v>0</v>
      </c>
    </row>
    <row r="279" spans="2:35">
      <c r="B279" t="str">
        <f t="shared" si="311"/>
        <v>IT0</v>
      </c>
      <c r="C279">
        <f t="shared" si="312"/>
        <v>2035</v>
      </c>
      <c r="D279" t="str">
        <f t="shared" si="313"/>
        <v>WIN_TOT</v>
      </c>
      <c r="E279" s="155">
        <f t="shared" si="318"/>
        <v>33760850.351018898</v>
      </c>
      <c r="F279" t="s">
        <v>31</v>
      </c>
      <c r="G279" t="str">
        <f t="shared" si="314"/>
        <v>wind_total</v>
      </c>
      <c r="H279">
        <f t="shared" si="315"/>
        <v>2</v>
      </c>
      <c r="I279">
        <f t="shared" si="316"/>
        <v>5</v>
      </c>
      <c r="J279">
        <f t="shared" si="317"/>
        <v>5</v>
      </c>
      <c r="N279">
        <f t="shared" si="307"/>
        <v>0</v>
      </c>
      <c r="O279" s="155">
        <f t="shared" si="319"/>
        <v>33760850.351018898</v>
      </c>
    </row>
    <row r="280" spans="2:35">
      <c r="B280" t="str">
        <f t="shared" si="311"/>
        <v>AT0</v>
      </c>
      <c r="C280">
        <f t="shared" si="312"/>
        <v>2035</v>
      </c>
      <c r="D280" t="str">
        <f t="shared" si="313"/>
        <v>WIN_TOT</v>
      </c>
      <c r="E280" s="155">
        <f t="shared" si="318"/>
        <v>10161064.6620564</v>
      </c>
      <c r="F280" t="s">
        <v>31</v>
      </c>
      <c r="G280" t="str">
        <f t="shared" si="314"/>
        <v>wind_total</v>
      </c>
      <c r="H280">
        <f t="shared" si="315"/>
        <v>3</v>
      </c>
      <c r="I280">
        <f t="shared" si="316"/>
        <v>5</v>
      </c>
      <c r="J280">
        <f t="shared" si="317"/>
        <v>5</v>
      </c>
      <c r="N280">
        <f t="shared" si="307"/>
        <v>0</v>
      </c>
      <c r="O280" s="155">
        <f t="shared" si="319"/>
        <v>10161064.6620564</v>
      </c>
      <c r="S280" t="s">
        <v>17</v>
      </c>
      <c r="T280" s="49" t="s">
        <v>231</v>
      </c>
      <c r="U280" s="50">
        <v>269941</v>
      </c>
      <c r="V280" s="50">
        <v>296840</v>
      </c>
      <c r="W280" s="50">
        <v>298773</v>
      </c>
      <c r="X280" s="50">
        <v>288972.39521615102</v>
      </c>
      <c r="Y280" s="50">
        <v>316523.41603749298</v>
      </c>
      <c r="Z280" s="50">
        <v>313784.29578664101</v>
      </c>
      <c r="AA280" s="50">
        <v>323148.87243115902</v>
      </c>
      <c r="AB280" s="50">
        <v>351614.37797753199</v>
      </c>
      <c r="AC280" s="50">
        <v>378763.34244987101</v>
      </c>
      <c r="AD280" s="50">
        <v>399987.57554224198</v>
      </c>
      <c r="AE280" s="50">
        <v>417852.53109947499</v>
      </c>
      <c r="AF280" s="25">
        <v>1.01997333689261</v>
      </c>
      <c r="AG280" s="25">
        <v>0.57879996586489602</v>
      </c>
      <c r="AH280" s="25">
        <v>0.20737371478549699</v>
      </c>
      <c r="AI280" s="25">
        <v>1.29336985916029</v>
      </c>
    </row>
    <row r="281" spans="2:35">
      <c r="B281" t="str">
        <f t="shared" si="311"/>
        <v>FR0</v>
      </c>
      <c r="C281">
        <f t="shared" si="312"/>
        <v>2035</v>
      </c>
      <c r="D281" t="str">
        <f t="shared" si="313"/>
        <v>WIN_TOT</v>
      </c>
      <c r="E281" s="155">
        <f t="shared" si="318"/>
        <v>83550463.663565397</v>
      </c>
      <c r="F281" t="s">
        <v>31</v>
      </c>
      <c r="G281" t="str">
        <f t="shared" si="314"/>
        <v>wind_total</v>
      </c>
      <c r="H281">
        <f t="shared" si="315"/>
        <v>4</v>
      </c>
      <c r="I281">
        <f t="shared" si="316"/>
        <v>5</v>
      </c>
      <c r="J281">
        <f t="shared" si="317"/>
        <v>5</v>
      </c>
      <c r="N281">
        <f t="shared" si="307"/>
        <v>0</v>
      </c>
      <c r="O281" s="155">
        <f t="shared" si="319"/>
        <v>83550463.663565397</v>
      </c>
      <c r="R281" t="s">
        <v>95</v>
      </c>
      <c r="S281" t="s">
        <v>17</v>
      </c>
      <c r="T281" s="23" t="s">
        <v>233</v>
      </c>
      <c r="U281" s="24">
        <v>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4">
        <v>0</v>
      </c>
      <c r="AB281" s="24">
        <v>0</v>
      </c>
      <c r="AC281" s="24">
        <v>0</v>
      </c>
      <c r="AD281" s="24">
        <v>0</v>
      </c>
      <c r="AE281" s="24">
        <v>0</v>
      </c>
      <c r="AF281" s="25">
        <v>0</v>
      </c>
      <c r="AG281" s="25">
        <v>0</v>
      </c>
      <c r="AH281" s="25">
        <v>0</v>
      </c>
      <c r="AI281" s="25">
        <v>0</v>
      </c>
    </row>
    <row r="282" spans="2:35">
      <c r="B282" t="str">
        <f t="shared" si="311"/>
        <v>DE0</v>
      </c>
      <c r="C282">
        <f t="shared" si="312"/>
        <v>2040</v>
      </c>
      <c r="D282" t="str">
        <f t="shared" si="313"/>
        <v>WIN_TOT</v>
      </c>
      <c r="E282" s="155">
        <f t="shared" si="318"/>
        <v>139033447.25702101</v>
      </c>
      <c r="F282" t="s">
        <v>31</v>
      </c>
      <c r="G282" t="str">
        <f t="shared" si="314"/>
        <v>wind_total</v>
      </c>
      <c r="H282">
        <f t="shared" si="315"/>
        <v>1</v>
      </c>
      <c r="I282">
        <f t="shared" si="316"/>
        <v>6</v>
      </c>
      <c r="J282">
        <f t="shared" si="317"/>
        <v>5</v>
      </c>
      <c r="N282">
        <f t="shared" si="307"/>
        <v>0</v>
      </c>
      <c r="O282" s="155">
        <f t="shared" si="319"/>
        <v>139033447.25702101</v>
      </c>
      <c r="R282" t="s">
        <v>465</v>
      </c>
      <c r="S282" t="s">
        <v>17</v>
      </c>
      <c r="T282" s="23" t="s">
        <v>181</v>
      </c>
      <c r="U282" s="24">
        <v>26272</v>
      </c>
      <c r="V282" s="24">
        <v>43606</v>
      </c>
      <c r="W282" s="24">
        <v>39734</v>
      </c>
      <c r="X282" s="24">
        <v>58855.803237411303</v>
      </c>
      <c r="Y282" s="24">
        <v>67162.826428955101</v>
      </c>
      <c r="Z282" s="24">
        <v>45093.273648298702</v>
      </c>
      <c r="AA282" s="24">
        <v>44667.6530477216</v>
      </c>
      <c r="AB282" s="24">
        <v>38750.780303287902</v>
      </c>
      <c r="AC282" s="24">
        <v>9867.4614237767892</v>
      </c>
      <c r="AD282" s="24">
        <v>9203.7542295982203</v>
      </c>
      <c r="AE282" s="24">
        <v>0</v>
      </c>
      <c r="AF282" s="25">
        <v>4.2238028085717501</v>
      </c>
      <c r="AG282" s="25">
        <v>5.3893358596659402</v>
      </c>
      <c r="AH282" s="25">
        <v>-3.99664355985013</v>
      </c>
      <c r="AI282" s="25">
        <v>-100</v>
      </c>
    </row>
    <row r="283" spans="2:35">
      <c r="B283" t="str">
        <f t="shared" ref="B283:B302" si="320">INDEX(H$125:H$132,H283)</f>
        <v>IT0</v>
      </c>
      <c r="C283">
        <f t="shared" ref="C283:C302" si="321">INDEX(I$125:I$132,I283)</f>
        <v>2040</v>
      </c>
      <c r="D283" t="str">
        <f t="shared" ref="D283:D302" si="322">INDEX(J$125:J$132,J283)</f>
        <v>WIN_TOT</v>
      </c>
      <c r="E283" s="155">
        <f t="shared" si="318"/>
        <v>39768467.599635303</v>
      </c>
      <c r="F283" t="s">
        <v>31</v>
      </c>
      <c r="G283" t="str">
        <f t="shared" ref="G283:G302" si="323">INDEX(K$125:K$132,J283)</f>
        <v>wind_total</v>
      </c>
      <c r="H283">
        <f t="shared" ref="H283:H302" si="324">IF(H282=$H$124,1,H282+1)</f>
        <v>2</v>
      </c>
      <c r="I283">
        <f t="shared" ref="I283:I302" si="325">IF(H283=1,IF(I282=$I$124,1,I282+1),I282)</f>
        <v>6</v>
      </c>
      <c r="J283">
        <f t="shared" ref="J283:J302" si="326">IF(AND(I283=1,I282&gt;1),IF(J282=$J$124,1,J282+1),J282)</f>
        <v>5</v>
      </c>
      <c r="N283">
        <f t="shared" si="307"/>
        <v>0</v>
      </c>
      <c r="O283" s="155">
        <f t="shared" si="319"/>
        <v>39768467.599635303</v>
      </c>
      <c r="R283" t="s">
        <v>100</v>
      </c>
      <c r="S283" t="s">
        <v>17</v>
      </c>
      <c r="T283" s="23" t="s">
        <v>236</v>
      </c>
      <c r="U283" s="24">
        <v>85878</v>
      </c>
      <c r="V283" s="24">
        <v>47124</v>
      </c>
      <c r="W283" s="24">
        <v>21714</v>
      </c>
      <c r="X283" s="24">
        <v>8781.4612180416407</v>
      </c>
      <c r="Y283" s="24">
        <v>7791.3199957498</v>
      </c>
      <c r="Z283" s="24">
        <v>8009.0519923489801</v>
      </c>
      <c r="AA283" s="24">
        <v>7759.9231945264901</v>
      </c>
      <c r="AB283" s="24">
        <v>5066.9810470132197</v>
      </c>
      <c r="AC283" s="24">
        <v>4492.0049892798997</v>
      </c>
      <c r="AD283" s="24">
        <v>2811.1992184372898</v>
      </c>
      <c r="AE283" s="24">
        <v>864.43166316100996</v>
      </c>
      <c r="AF283" s="25">
        <v>-12.846307641218299</v>
      </c>
      <c r="AG283" s="25">
        <v>-9.7417059423275294</v>
      </c>
      <c r="AH283" s="25">
        <v>-4.0370413546242399E-2</v>
      </c>
      <c r="AI283" s="25">
        <v>-10.3926441706093</v>
      </c>
    </row>
    <row r="284" spans="2:35">
      <c r="B284" t="str">
        <f t="shared" si="320"/>
        <v>AT0</v>
      </c>
      <c r="C284">
        <f t="shared" si="321"/>
        <v>2040</v>
      </c>
      <c r="D284" t="str">
        <f t="shared" si="322"/>
        <v>WIN_TOT</v>
      </c>
      <c r="E284" s="155">
        <f t="shared" si="318"/>
        <v>10914539.3401135</v>
      </c>
      <c r="F284" t="s">
        <v>31</v>
      </c>
      <c r="G284" t="str">
        <f t="shared" si="323"/>
        <v>wind_total</v>
      </c>
      <c r="H284">
        <f t="shared" si="324"/>
        <v>3</v>
      </c>
      <c r="I284">
        <f t="shared" si="325"/>
        <v>6</v>
      </c>
      <c r="J284">
        <f t="shared" si="326"/>
        <v>5</v>
      </c>
      <c r="N284">
        <f t="shared" si="307"/>
        <v>0</v>
      </c>
      <c r="O284" s="155">
        <f t="shared" si="319"/>
        <v>10914539.3401135</v>
      </c>
      <c r="R284" t="s">
        <v>468</v>
      </c>
      <c r="S284" t="s">
        <v>17</v>
      </c>
      <c r="T284" s="23" t="s">
        <v>239</v>
      </c>
      <c r="U284" s="24">
        <v>106398</v>
      </c>
      <c r="V284" s="24">
        <v>156191</v>
      </c>
      <c r="W284" s="24">
        <v>158215</v>
      </c>
      <c r="X284" s="24">
        <v>110292.936807472</v>
      </c>
      <c r="Y284" s="24">
        <v>126166.109688055</v>
      </c>
      <c r="Z284" s="24">
        <v>124245.647080262</v>
      </c>
      <c r="AA284" s="24">
        <v>122447.148971496</v>
      </c>
      <c r="AB284" s="24">
        <v>136376.71087450499</v>
      </c>
      <c r="AC284" s="24">
        <v>167625.92175917301</v>
      </c>
      <c r="AD284" s="24">
        <v>146745.221236054</v>
      </c>
      <c r="AE284" s="24">
        <v>143733.52292275999</v>
      </c>
      <c r="AF284" s="25">
        <v>4.0474447639069</v>
      </c>
      <c r="AG284" s="25">
        <v>-2.2381287804604</v>
      </c>
      <c r="AH284" s="25">
        <v>-0.29875154329236397</v>
      </c>
      <c r="AI284" s="25">
        <v>0.80462761778581404</v>
      </c>
    </row>
    <row r="285" spans="2:35">
      <c r="B285" t="str">
        <f t="shared" si="320"/>
        <v>FR0</v>
      </c>
      <c r="C285">
        <f t="shared" si="321"/>
        <v>2040</v>
      </c>
      <c r="D285" t="str">
        <f t="shared" si="322"/>
        <v>WIN_TOT</v>
      </c>
      <c r="E285" s="155">
        <f t="shared" si="318"/>
        <v>103668021.94797</v>
      </c>
      <c r="F285" t="s">
        <v>31</v>
      </c>
      <c r="G285" t="str">
        <f t="shared" si="323"/>
        <v>wind_total</v>
      </c>
      <c r="H285">
        <f t="shared" si="324"/>
        <v>4</v>
      </c>
      <c r="I285">
        <f t="shared" si="325"/>
        <v>6</v>
      </c>
      <c r="J285">
        <f t="shared" si="326"/>
        <v>5</v>
      </c>
      <c r="N285">
        <f t="shared" si="307"/>
        <v>0</v>
      </c>
      <c r="O285" s="155">
        <f t="shared" si="319"/>
        <v>103668021.94797</v>
      </c>
      <c r="R285" t="s">
        <v>150</v>
      </c>
      <c r="S285" t="s">
        <v>17</v>
      </c>
      <c r="T285" s="23" t="s">
        <v>240</v>
      </c>
      <c r="U285" s="24">
        <v>1908</v>
      </c>
      <c r="V285" s="24">
        <v>6153</v>
      </c>
      <c r="W285" s="24">
        <v>11586</v>
      </c>
      <c r="X285" s="24">
        <v>18671.3872968367</v>
      </c>
      <c r="Y285" s="24">
        <v>21446.056838126398</v>
      </c>
      <c r="Z285" s="24">
        <v>24171.263047906501</v>
      </c>
      <c r="AA285" s="24">
        <v>25555.705360331202</v>
      </c>
      <c r="AB285" s="24">
        <v>43427.1546208293</v>
      </c>
      <c r="AC285" s="24">
        <v>58282.0391980938</v>
      </c>
      <c r="AD285" s="24">
        <v>61677.272929686602</v>
      </c>
      <c r="AE285" s="24">
        <v>63655.093008614902</v>
      </c>
      <c r="AF285" s="25">
        <v>19.766543367133899</v>
      </c>
      <c r="AG285" s="25">
        <v>6.3509546957792899</v>
      </c>
      <c r="AH285" s="25">
        <v>1.7686566779769901</v>
      </c>
      <c r="AI285" s="25">
        <v>4.6688046051860796</v>
      </c>
    </row>
    <row r="286" spans="2:35">
      <c r="B286" t="str">
        <f t="shared" si="320"/>
        <v>DE0</v>
      </c>
      <c r="C286">
        <f t="shared" si="321"/>
        <v>2045</v>
      </c>
      <c r="D286" t="str">
        <f t="shared" si="322"/>
        <v>WIN_TOT</v>
      </c>
      <c r="E286" s="155">
        <f t="shared" si="318"/>
        <v>179224626.28509501</v>
      </c>
      <c r="F286" t="s">
        <v>31</v>
      </c>
      <c r="G286" t="str">
        <f t="shared" si="323"/>
        <v>wind_total</v>
      </c>
      <c r="H286">
        <f t="shared" si="324"/>
        <v>1</v>
      </c>
      <c r="I286">
        <f t="shared" si="325"/>
        <v>7</v>
      </c>
      <c r="J286">
        <f t="shared" si="326"/>
        <v>5</v>
      </c>
      <c r="N286">
        <f t="shared" si="307"/>
        <v>0</v>
      </c>
      <c r="O286" s="155">
        <f t="shared" si="319"/>
        <v>179224626.28509501</v>
      </c>
      <c r="R286" t="s">
        <v>145</v>
      </c>
      <c r="S286" t="s">
        <v>17</v>
      </c>
      <c r="T286" s="23" t="s">
        <v>242</v>
      </c>
      <c r="U286" s="24">
        <v>44199</v>
      </c>
      <c r="V286" s="24">
        <v>36067</v>
      </c>
      <c r="W286" s="24">
        <v>51116</v>
      </c>
      <c r="X286" s="24">
        <v>48123.105233164497</v>
      </c>
      <c r="Y286" s="24">
        <v>47548.769618448299</v>
      </c>
      <c r="Z286" s="24">
        <v>48993.792404213797</v>
      </c>
      <c r="AA286" s="24">
        <v>49748.858858106403</v>
      </c>
      <c r="AB286" s="24">
        <v>51342.444923292896</v>
      </c>
      <c r="AC286" s="24">
        <v>52626.040243142597</v>
      </c>
      <c r="AD286" s="24">
        <v>53324.274451986501</v>
      </c>
      <c r="AE286" s="24">
        <v>53875.383565522498</v>
      </c>
      <c r="AF286" s="25">
        <v>1.46457527798456</v>
      </c>
      <c r="AG286" s="25">
        <v>-0.72080610768211495</v>
      </c>
      <c r="AH286" s="25">
        <v>0.45334062037585299</v>
      </c>
      <c r="AI286" s="25">
        <v>0.399225501009282</v>
      </c>
    </row>
    <row r="287" spans="2:35">
      <c r="B287" t="str">
        <f t="shared" si="320"/>
        <v>IT0</v>
      </c>
      <c r="C287">
        <f t="shared" si="321"/>
        <v>2045</v>
      </c>
      <c r="D287" t="str">
        <f t="shared" si="322"/>
        <v>WIN_TOT</v>
      </c>
      <c r="E287" s="155">
        <f t="shared" si="318"/>
        <v>46429276.9184267</v>
      </c>
      <c r="F287" t="s">
        <v>31</v>
      </c>
      <c r="G287" t="str">
        <f t="shared" si="323"/>
        <v>wind_total</v>
      </c>
      <c r="H287">
        <f t="shared" si="324"/>
        <v>2</v>
      </c>
      <c r="I287">
        <f t="shared" si="325"/>
        <v>7</v>
      </c>
      <c r="J287">
        <f t="shared" si="326"/>
        <v>5</v>
      </c>
      <c r="N287">
        <f t="shared" si="307"/>
        <v>0</v>
      </c>
      <c r="O287" s="155">
        <f t="shared" si="319"/>
        <v>46429276.9184267</v>
      </c>
      <c r="R287" t="s">
        <v>146</v>
      </c>
      <c r="S287" t="s">
        <v>17</v>
      </c>
      <c r="T287" s="23" t="s">
        <v>207</v>
      </c>
      <c r="U287" s="24">
        <v>563</v>
      </c>
      <c r="V287" s="24">
        <v>2344</v>
      </c>
      <c r="W287" s="24">
        <v>9126</v>
      </c>
      <c r="X287" s="24">
        <v>14627.998112011899</v>
      </c>
      <c r="Y287" s="24">
        <v>14645.5380916048</v>
      </c>
      <c r="Z287" s="24">
        <v>25587.731003884699</v>
      </c>
      <c r="AA287" s="24">
        <v>32732.246950413301</v>
      </c>
      <c r="AB287" s="24">
        <v>33760.850351018897</v>
      </c>
      <c r="AC287" s="24">
        <v>39768.467599635303</v>
      </c>
      <c r="AD287" s="24">
        <v>46429.276918426702</v>
      </c>
      <c r="AE287" s="24">
        <v>62046.572211264</v>
      </c>
      <c r="AF287" s="25">
        <v>32.1226290556489</v>
      </c>
      <c r="AG287" s="25">
        <v>4.8437356706102497</v>
      </c>
      <c r="AH287" s="25">
        <v>8.3744854820295505</v>
      </c>
      <c r="AI287" s="25">
        <v>3.2492959068100902</v>
      </c>
    </row>
    <row r="288" spans="2:35">
      <c r="B288" t="str">
        <f t="shared" si="320"/>
        <v>AT0</v>
      </c>
      <c r="C288">
        <f t="shared" si="321"/>
        <v>2045</v>
      </c>
      <c r="D288" t="str">
        <f t="shared" si="322"/>
        <v>WIN_TOT</v>
      </c>
      <c r="E288" s="155">
        <f t="shared" si="318"/>
        <v>13598267.722197799</v>
      </c>
      <c r="F288" t="s">
        <v>31</v>
      </c>
      <c r="G288" t="str">
        <f t="shared" si="323"/>
        <v>wind_total</v>
      </c>
      <c r="H288">
        <f t="shared" si="324"/>
        <v>3</v>
      </c>
      <c r="I288">
        <f t="shared" si="325"/>
        <v>7</v>
      </c>
      <c r="J288">
        <f t="shared" si="326"/>
        <v>5</v>
      </c>
      <c r="N288">
        <f t="shared" si="307"/>
        <v>0</v>
      </c>
      <c r="O288" s="155">
        <f t="shared" si="319"/>
        <v>13598267.722197799</v>
      </c>
      <c r="R288" t="s">
        <v>105</v>
      </c>
      <c r="S288" t="s">
        <v>17</v>
      </c>
      <c r="T288" s="23" t="s">
        <v>245</v>
      </c>
      <c r="U288" s="24">
        <v>17.441860465116299</v>
      </c>
      <c r="V288" s="24">
        <v>31.395348837209301</v>
      </c>
      <c r="W288" s="24">
        <v>1905.8139534883701</v>
      </c>
      <c r="X288" s="24">
        <v>23409.301311213301</v>
      </c>
      <c r="Y288" s="24">
        <v>25552.393376553599</v>
      </c>
      <c r="Z288" s="24">
        <v>31473.134609725799</v>
      </c>
      <c r="AA288" s="24">
        <v>34026.934048563897</v>
      </c>
      <c r="AB288" s="24">
        <v>36679.053857585102</v>
      </c>
      <c r="AC288" s="24">
        <v>39891.005236769299</v>
      </c>
      <c r="AD288" s="24">
        <v>74047.388558052102</v>
      </c>
      <c r="AE288" s="24">
        <v>87928.339728152598</v>
      </c>
      <c r="AF288" s="25">
        <v>59.9001125556236</v>
      </c>
      <c r="AG288" s="25">
        <v>29.638831613652702</v>
      </c>
      <c r="AH288" s="25">
        <v>2.9056270746526298</v>
      </c>
      <c r="AI288" s="25">
        <v>4.8613157361361496</v>
      </c>
    </row>
    <row r="289" spans="2:35">
      <c r="B289" t="str">
        <f t="shared" si="320"/>
        <v>FR0</v>
      </c>
      <c r="C289">
        <f t="shared" si="321"/>
        <v>2045</v>
      </c>
      <c r="D289" t="str">
        <f t="shared" si="322"/>
        <v>WIN_TOT</v>
      </c>
      <c r="E289" s="155">
        <f t="shared" si="318"/>
        <v>121762989.960372</v>
      </c>
      <c r="F289" t="s">
        <v>31</v>
      </c>
      <c r="G289" t="str">
        <f t="shared" si="323"/>
        <v>wind_total</v>
      </c>
      <c r="H289">
        <f t="shared" si="324"/>
        <v>4</v>
      </c>
      <c r="I289">
        <f t="shared" si="325"/>
        <v>7</v>
      </c>
      <c r="J289">
        <f t="shared" si="326"/>
        <v>5</v>
      </c>
      <c r="N289">
        <f t="shared" si="307"/>
        <v>0</v>
      </c>
      <c r="O289" s="155">
        <f t="shared" si="319"/>
        <v>121762989.960372</v>
      </c>
      <c r="R289" t="s">
        <v>65</v>
      </c>
      <c r="S289" t="s">
        <v>17</v>
      </c>
      <c r="T289" s="23" t="s">
        <v>246</v>
      </c>
      <c r="U289" s="24">
        <v>4705.55813953488</v>
      </c>
      <c r="V289" s="24">
        <v>5323.6046511627901</v>
      </c>
      <c r="W289" s="24">
        <v>5376.1860465116297</v>
      </c>
      <c r="X289" s="24">
        <v>6210.40200000001</v>
      </c>
      <c r="Y289" s="24">
        <v>6210.402</v>
      </c>
      <c r="Z289" s="24">
        <v>6210.402</v>
      </c>
      <c r="AA289" s="24">
        <v>6210.402</v>
      </c>
      <c r="AB289" s="24">
        <v>6210.402</v>
      </c>
      <c r="AC289" s="24">
        <v>6210.402</v>
      </c>
      <c r="AD289" s="24">
        <v>5749.1880000000001</v>
      </c>
      <c r="AE289" s="24">
        <v>5749.1880000000101</v>
      </c>
      <c r="AF289" s="25">
        <v>1.3412634744185601</v>
      </c>
      <c r="AG289" s="25">
        <v>1.45291790449971</v>
      </c>
      <c r="AH289" s="25">
        <v>0</v>
      </c>
      <c r="AI289" s="25">
        <v>-0.38509161665930502</v>
      </c>
    </row>
    <row r="290" spans="2:35">
      <c r="B290" t="str">
        <f t="shared" si="320"/>
        <v>DE0</v>
      </c>
      <c r="C290">
        <f t="shared" si="321"/>
        <v>2050</v>
      </c>
      <c r="D290" t="str">
        <f t="shared" si="322"/>
        <v>WIN_TOT</v>
      </c>
      <c r="E290" s="155">
        <f t="shared" si="318"/>
        <v>195659045.94176599</v>
      </c>
      <c r="F290" t="s">
        <v>31</v>
      </c>
      <c r="G290" t="str">
        <f t="shared" si="323"/>
        <v>wind_total</v>
      </c>
      <c r="H290">
        <f t="shared" si="324"/>
        <v>1</v>
      </c>
      <c r="I290">
        <f t="shared" si="325"/>
        <v>8</v>
      </c>
      <c r="J290">
        <f t="shared" si="326"/>
        <v>5</v>
      </c>
      <c r="N290">
        <f t="shared" si="307"/>
        <v>0</v>
      </c>
      <c r="O290" s="155">
        <f t="shared" si="319"/>
        <v>195659045.94176599</v>
      </c>
      <c r="S290" t="s">
        <v>17</v>
      </c>
      <c r="T290" s="63" t="s">
        <v>247</v>
      </c>
      <c r="U290" s="64">
        <v>0</v>
      </c>
      <c r="V290" s="64">
        <v>0</v>
      </c>
      <c r="W290" s="64">
        <v>0</v>
      </c>
      <c r="X290" s="64">
        <v>0</v>
      </c>
      <c r="Y290" s="64">
        <v>0</v>
      </c>
      <c r="Z290" s="64">
        <v>0</v>
      </c>
      <c r="AA290" s="64">
        <v>0</v>
      </c>
      <c r="AB290" s="64">
        <v>0</v>
      </c>
      <c r="AC290" s="64">
        <v>0</v>
      </c>
      <c r="AD290" s="64">
        <v>0</v>
      </c>
      <c r="AE290" s="64">
        <v>0</v>
      </c>
      <c r="AF290" s="25">
        <v>0</v>
      </c>
      <c r="AG290" s="25">
        <v>0</v>
      </c>
      <c r="AH290" s="25">
        <v>0</v>
      </c>
      <c r="AI290" s="25">
        <v>0</v>
      </c>
    </row>
    <row r="291" spans="2:35">
      <c r="B291" t="str">
        <f t="shared" si="320"/>
        <v>IT0</v>
      </c>
      <c r="C291">
        <f t="shared" si="321"/>
        <v>2050</v>
      </c>
      <c r="D291" t="str">
        <f t="shared" si="322"/>
        <v>WIN_TOT</v>
      </c>
      <c r="E291" s="155">
        <f t="shared" si="318"/>
        <v>62046572.211263999</v>
      </c>
      <c r="F291" t="s">
        <v>31</v>
      </c>
      <c r="G291" t="str">
        <f t="shared" si="323"/>
        <v>wind_total</v>
      </c>
      <c r="H291">
        <f t="shared" si="324"/>
        <v>2</v>
      </c>
      <c r="I291">
        <f t="shared" si="325"/>
        <v>8</v>
      </c>
      <c r="J291">
        <f t="shared" si="326"/>
        <v>5</v>
      </c>
      <c r="N291">
        <f t="shared" si="307"/>
        <v>0</v>
      </c>
      <c r="O291" s="155">
        <f t="shared" si="319"/>
        <v>62046572.211263999</v>
      </c>
    </row>
    <row r="292" spans="2:35">
      <c r="B292" t="str">
        <f t="shared" si="320"/>
        <v>AT0</v>
      </c>
      <c r="C292">
        <f t="shared" si="321"/>
        <v>2050</v>
      </c>
      <c r="D292" t="str">
        <f t="shared" si="322"/>
        <v>WIN_TOT</v>
      </c>
      <c r="E292" s="155">
        <f t="shared" si="318"/>
        <v>15410272.9472588</v>
      </c>
      <c r="F292" t="s">
        <v>31</v>
      </c>
      <c r="G292" t="str">
        <f t="shared" si="323"/>
        <v>wind_total</v>
      </c>
      <c r="H292">
        <f t="shared" si="324"/>
        <v>3</v>
      </c>
      <c r="I292">
        <f t="shared" si="325"/>
        <v>8</v>
      </c>
      <c r="J292">
        <f t="shared" si="326"/>
        <v>5</v>
      </c>
      <c r="N292">
        <f t="shared" si="307"/>
        <v>0</v>
      </c>
      <c r="O292" s="155">
        <f t="shared" si="319"/>
        <v>15410272.9472588</v>
      </c>
      <c r="S292" t="s">
        <v>12</v>
      </c>
      <c r="T292" s="49" t="s">
        <v>231</v>
      </c>
      <c r="U292" s="50">
        <v>59873.999980020002</v>
      </c>
      <c r="V292" s="50">
        <v>64065.999980020002</v>
      </c>
      <c r="W292" s="50">
        <v>67933</v>
      </c>
      <c r="X292" s="50">
        <v>59617.646095812903</v>
      </c>
      <c r="Y292" s="50">
        <v>71620.630572723094</v>
      </c>
      <c r="Z292" s="50">
        <v>75843.922842815606</v>
      </c>
      <c r="AA292" s="50">
        <v>79932.757305083607</v>
      </c>
      <c r="AB292" s="50">
        <v>81673.692576675006</v>
      </c>
      <c r="AC292" s="50">
        <v>85747.261273415803</v>
      </c>
      <c r="AD292" s="50">
        <v>89063.562333388894</v>
      </c>
      <c r="AE292" s="50">
        <v>90574.548171903603</v>
      </c>
      <c r="AF292" s="25">
        <v>1.2708026487400199</v>
      </c>
      <c r="AG292" s="25">
        <v>0.53001205680784902</v>
      </c>
      <c r="AH292" s="25">
        <v>1.10407621381163</v>
      </c>
      <c r="AI292" s="25">
        <v>0.62689431250322303</v>
      </c>
    </row>
    <row r="293" spans="2:35">
      <c r="B293" t="str">
        <f t="shared" si="320"/>
        <v>FR0</v>
      </c>
      <c r="C293">
        <f t="shared" si="321"/>
        <v>2050</v>
      </c>
      <c r="D293" t="str">
        <f t="shared" si="322"/>
        <v>WIN_TOT</v>
      </c>
      <c r="E293" s="155">
        <f t="shared" si="318"/>
        <v>171302313.82977298</v>
      </c>
      <c r="F293" t="s">
        <v>31</v>
      </c>
      <c r="G293" t="str">
        <f t="shared" si="323"/>
        <v>wind_total</v>
      </c>
      <c r="H293">
        <f t="shared" si="324"/>
        <v>4</v>
      </c>
      <c r="I293">
        <f t="shared" si="325"/>
        <v>8</v>
      </c>
      <c r="J293">
        <f t="shared" si="326"/>
        <v>5</v>
      </c>
      <c r="N293">
        <f t="shared" si="307"/>
        <v>0</v>
      </c>
      <c r="O293" s="155">
        <f t="shared" si="319"/>
        <v>171302313.82977298</v>
      </c>
      <c r="R293" t="s">
        <v>95</v>
      </c>
      <c r="S293" t="s">
        <v>12</v>
      </c>
      <c r="T293" s="23" t="s">
        <v>233</v>
      </c>
      <c r="U293" s="24">
        <v>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4">
        <v>0</v>
      </c>
      <c r="AB293" s="24">
        <v>0</v>
      </c>
      <c r="AC293" s="24">
        <v>0</v>
      </c>
      <c r="AD293" s="24">
        <v>0</v>
      </c>
      <c r="AE293" s="24">
        <v>0</v>
      </c>
      <c r="AF293" s="25">
        <v>0</v>
      </c>
      <c r="AG293" s="25">
        <v>0</v>
      </c>
      <c r="AH293" s="25">
        <v>0</v>
      </c>
      <c r="AI293" s="25">
        <v>0</v>
      </c>
    </row>
    <row r="294" spans="2:35">
      <c r="B294" t="str">
        <f t="shared" si="320"/>
        <v>DE0</v>
      </c>
      <c r="C294">
        <f t="shared" si="321"/>
        <v>2015</v>
      </c>
      <c r="D294" t="str">
        <f t="shared" si="322"/>
        <v>SOL_PHO</v>
      </c>
      <c r="E294" s="155">
        <f t="shared" si="318"/>
        <v>34611594.899224199</v>
      </c>
      <c r="F294" t="s">
        <v>31</v>
      </c>
      <c r="G294" t="str">
        <f t="shared" si="323"/>
        <v>photovoltaics</v>
      </c>
      <c r="H294">
        <f t="shared" si="324"/>
        <v>1</v>
      </c>
      <c r="I294">
        <f t="shared" si="325"/>
        <v>1</v>
      </c>
      <c r="J294">
        <f t="shared" si="326"/>
        <v>6</v>
      </c>
      <c r="N294">
        <f t="shared" si="307"/>
        <v>0</v>
      </c>
      <c r="O294" s="155">
        <f t="shared" si="319"/>
        <v>34611594.899224199</v>
      </c>
      <c r="R294" t="s">
        <v>465</v>
      </c>
      <c r="S294" t="s">
        <v>12</v>
      </c>
      <c r="T294" s="23" t="s">
        <v>181</v>
      </c>
      <c r="U294" s="24">
        <v>5727</v>
      </c>
      <c r="V294" s="24">
        <v>7165</v>
      </c>
      <c r="W294" s="24">
        <v>4918</v>
      </c>
      <c r="X294" s="24">
        <v>4193.8964184914403</v>
      </c>
      <c r="Y294" s="24">
        <v>4939.5315773277198</v>
      </c>
      <c r="Z294" s="24">
        <v>3318.8755322349002</v>
      </c>
      <c r="AA294" s="24">
        <v>3289.83400329082</v>
      </c>
      <c r="AB294" s="24">
        <v>89.655202153400495</v>
      </c>
      <c r="AC294" s="24">
        <v>82.428328573959604</v>
      </c>
      <c r="AD294" s="24">
        <v>30.141512620885301</v>
      </c>
      <c r="AE294" s="24">
        <v>29.541836407857001</v>
      </c>
      <c r="AF294" s="25">
        <v>-1.5113614331549901</v>
      </c>
      <c r="AG294" s="25">
        <v>4.3695148616174101E-2</v>
      </c>
      <c r="AH294" s="25">
        <v>-3.9828475928609399</v>
      </c>
      <c r="AI294" s="25">
        <v>-20.993435914144001</v>
      </c>
    </row>
    <row r="295" spans="2:35">
      <c r="B295" t="str">
        <f t="shared" si="320"/>
        <v>IT0</v>
      </c>
      <c r="C295">
        <f t="shared" si="321"/>
        <v>2015</v>
      </c>
      <c r="D295" t="str">
        <f t="shared" si="322"/>
        <v>SOL_PHO</v>
      </c>
      <c r="E295" s="155">
        <f t="shared" si="318"/>
        <v>23409301.3112133</v>
      </c>
      <c r="F295" t="s">
        <v>31</v>
      </c>
      <c r="G295" t="str">
        <f t="shared" si="323"/>
        <v>photovoltaics</v>
      </c>
      <c r="H295">
        <f t="shared" si="324"/>
        <v>2</v>
      </c>
      <c r="I295">
        <f t="shared" si="325"/>
        <v>1</v>
      </c>
      <c r="J295">
        <f t="shared" si="326"/>
        <v>6</v>
      </c>
      <c r="N295">
        <f t="shared" si="307"/>
        <v>0</v>
      </c>
      <c r="O295" s="155">
        <f t="shared" si="319"/>
        <v>23409301.3112133</v>
      </c>
      <c r="R295" t="s">
        <v>100</v>
      </c>
      <c r="S295" t="s">
        <v>12</v>
      </c>
      <c r="T295" s="23" t="s">
        <v>236</v>
      </c>
      <c r="U295" s="24">
        <v>1701.9999800200001</v>
      </c>
      <c r="V295" s="24">
        <v>1640.9999800200001</v>
      </c>
      <c r="W295" s="24">
        <v>1273</v>
      </c>
      <c r="X295" s="24">
        <v>208.076353233047</v>
      </c>
      <c r="Y295" s="24">
        <v>215.40096285487601</v>
      </c>
      <c r="Z295" s="24">
        <v>77.029533325009496</v>
      </c>
      <c r="AA295" s="24">
        <v>67.414650426081394</v>
      </c>
      <c r="AB295" s="24">
        <v>63.660709629165297</v>
      </c>
      <c r="AC295" s="24">
        <v>0.293694992329604</v>
      </c>
      <c r="AD295" s="24">
        <v>0.293694992329604</v>
      </c>
      <c r="AE295" s="24">
        <v>0</v>
      </c>
      <c r="AF295" s="25">
        <v>-2.8625082014108201</v>
      </c>
      <c r="AG295" s="25">
        <v>-16.277550983926499</v>
      </c>
      <c r="AH295" s="25">
        <v>-10.967070251339701</v>
      </c>
      <c r="AI295" s="25">
        <v>-100</v>
      </c>
    </row>
    <row r="296" spans="2:35">
      <c r="B296" t="str">
        <f t="shared" si="320"/>
        <v>AT0</v>
      </c>
      <c r="C296">
        <f t="shared" si="321"/>
        <v>2015</v>
      </c>
      <c r="D296" t="str">
        <f t="shared" si="322"/>
        <v>SOL_PHO</v>
      </c>
      <c r="E296" s="155">
        <f t="shared" si="318"/>
        <v>871449.37575079908</v>
      </c>
      <c r="F296" t="s">
        <v>31</v>
      </c>
      <c r="G296" t="str">
        <f t="shared" si="323"/>
        <v>photovoltaics</v>
      </c>
      <c r="H296">
        <f t="shared" si="324"/>
        <v>3</v>
      </c>
      <c r="I296">
        <f t="shared" si="325"/>
        <v>1</v>
      </c>
      <c r="J296">
        <f t="shared" si="326"/>
        <v>6</v>
      </c>
      <c r="N296">
        <f t="shared" si="307"/>
        <v>0</v>
      </c>
      <c r="O296" s="155">
        <f t="shared" si="319"/>
        <v>871449.37575079908</v>
      </c>
      <c r="R296" t="s">
        <v>468</v>
      </c>
      <c r="S296" t="s">
        <v>12</v>
      </c>
      <c r="T296" s="23" t="s">
        <v>239</v>
      </c>
      <c r="U296" s="24">
        <v>8864</v>
      </c>
      <c r="V296" s="24">
        <v>14347</v>
      </c>
      <c r="W296" s="24">
        <v>16137</v>
      </c>
      <c r="X296" s="24">
        <v>6773.8910056218801</v>
      </c>
      <c r="Y296" s="24">
        <v>14077.578124885</v>
      </c>
      <c r="Z296" s="24">
        <v>13564.9691687249</v>
      </c>
      <c r="AA296" s="24">
        <v>14589.336481603699</v>
      </c>
      <c r="AB296" s="24">
        <v>19402.5962730717</v>
      </c>
      <c r="AC296" s="24">
        <v>19936.604597157901</v>
      </c>
      <c r="AD296" s="24">
        <v>19782.744635283299</v>
      </c>
      <c r="AE296" s="24">
        <v>17463.7816549991</v>
      </c>
      <c r="AF296" s="25">
        <v>6.1742752502444498</v>
      </c>
      <c r="AG296" s="25">
        <v>-1.35603629765443</v>
      </c>
      <c r="AH296" s="25">
        <v>0.357713835533224</v>
      </c>
      <c r="AI296" s="25">
        <v>0.90324603183635799</v>
      </c>
    </row>
    <row r="297" spans="2:35">
      <c r="B297" t="str">
        <f t="shared" si="320"/>
        <v>FR0</v>
      </c>
      <c r="C297">
        <f t="shared" si="321"/>
        <v>2015</v>
      </c>
      <c r="D297" t="str">
        <f t="shared" si="322"/>
        <v>SOL_PHO</v>
      </c>
      <c r="E297" s="155">
        <f t="shared" si="318"/>
        <v>8601328.492601661</v>
      </c>
      <c r="F297" t="s">
        <v>31</v>
      </c>
      <c r="G297" t="str">
        <f t="shared" si="323"/>
        <v>photovoltaics</v>
      </c>
      <c r="H297">
        <f t="shared" si="324"/>
        <v>4</v>
      </c>
      <c r="I297">
        <f t="shared" si="325"/>
        <v>1</v>
      </c>
      <c r="J297">
        <f t="shared" si="326"/>
        <v>6</v>
      </c>
      <c r="N297">
        <f t="shared" si="307"/>
        <v>0</v>
      </c>
      <c r="O297" s="155">
        <f t="shared" si="319"/>
        <v>8601328.492601661</v>
      </c>
      <c r="R297" t="s">
        <v>150</v>
      </c>
      <c r="S297" t="s">
        <v>12</v>
      </c>
      <c r="T297" s="23" t="s">
        <v>240</v>
      </c>
      <c r="U297" s="24">
        <v>1675</v>
      </c>
      <c r="V297" s="24">
        <v>2882</v>
      </c>
      <c r="W297" s="24">
        <v>5088</v>
      </c>
      <c r="X297" s="24">
        <v>2591.5291228024698</v>
      </c>
      <c r="Y297" s="24">
        <v>3543.9075675797199</v>
      </c>
      <c r="Z297" s="24">
        <v>3982.9992025598899</v>
      </c>
      <c r="AA297" s="24">
        <v>4060.2141588221498</v>
      </c>
      <c r="AB297" s="24">
        <v>3580.5438463436499</v>
      </c>
      <c r="AC297" s="24">
        <v>6204.8177155616004</v>
      </c>
      <c r="AD297" s="24">
        <v>6646.1773876076604</v>
      </c>
      <c r="AE297" s="24">
        <v>6823.8505731282003</v>
      </c>
      <c r="AF297" s="25">
        <v>11.7514660098685</v>
      </c>
      <c r="AG297" s="25">
        <v>-3.55193292210173</v>
      </c>
      <c r="AH297" s="25">
        <v>1.3693485540596999</v>
      </c>
      <c r="AI297" s="25">
        <v>2.62992897289385</v>
      </c>
    </row>
    <row r="298" spans="2:35">
      <c r="B298" t="str">
        <f t="shared" si="320"/>
        <v>DE0</v>
      </c>
      <c r="C298">
        <f t="shared" si="321"/>
        <v>2020</v>
      </c>
      <c r="D298" t="str">
        <f t="shared" si="322"/>
        <v>SOL_PHO</v>
      </c>
      <c r="E298" s="155">
        <f t="shared" si="318"/>
        <v>48465362.989064999</v>
      </c>
      <c r="F298" t="s">
        <v>31</v>
      </c>
      <c r="G298" t="str">
        <f t="shared" si="323"/>
        <v>photovoltaics</v>
      </c>
      <c r="H298">
        <f t="shared" si="324"/>
        <v>1</v>
      </c>
      <c r="I298">
        <f t="shared" si="325"/>
        <v>2</v>
      </c>
      <c r="J298">
        <f t="shared" si="326"/>
        <v>6</v>
      </c>
      <c r="N298">
        <f t="shared" si="307"/>
        <v>0</v>
      </c>
      <c r="O298" s="155">
        <f t="shared" si="319"/>
        <v>48465362.989064999</v>
      </c>
      <c r="R298" t="s">
        <v>145</v>
      </c>
      <c r="S298" t="s">
        <v>12</v>
      </c>
      <c r="T298" s="23" t="s">
        <v>242</v>
      </c>
      <c r="U298" s="24">
        <v>41836</v>
      </c>
      <c r="V298" s="24">
        <v>36677</v>
      </c>
      <c r="W298" s="24">
        <v>38363</v>
      </c>
      <c r="X298" s="24">
        <v>41009.203623529902</v>
      </c>
      <c r="Y298" s="24">
        <v>43215.7182685671</v>
      </c>
      <c r="Z298" s="24">
        <v>44533.431753564502</v>
      </c>
      <c r="AA298" s="24">
        <v>44552.608736309303</v>
      </c>
      <c r="AB298" s="24">
        <v>44951.017724301397</v>
      </c>
      <c r="AC298" s="24">
        <v>45094.919404553999</v>
      </c>
      <c r="AD298" s="24">
        <v>45104.727320443497</v>
      </c>
      <c r="AE298" s="24">
        <v>45775.892729917497</v>
      </c>
      <c r="AF298" s="25">
        <v>-0.862893115921892</v>
      </c>
      <c r="AG298" s="25">
        <v>1.1982301874474</v>
      </c>
      <c r="AH298" s="25">
        <v>0.30512889153782002</v>
      </c>
      <c r="AI298" s="25">
        <v>0.13552617002383599</v>
      </c>
    </row>
    <row r="299" spans="2:35">
      <c r="B299" t="str">
        <f t="shared" si="320"/>
        <v>IT0</v>
      </c>
      <c r="C299">
        <f t="shared" si="321"/>
        <v>2020</v>
      </c>
      <c r="D299" t="str">
        <f t="shared" si="322"/>
        <v>SOL_PHO</v>
      </c>
      <c r="E299" s="155">
        <f t="shared" si="318"/>
        <v>25552393.376553599</v>
      </c>
      <c r="F299" t="s">
        <v>31</v>
      </c>
      <c r="G299" t="str">
        <f t="shared" si="323"/>
        <v>photovoltaics</v>
      </c>
      <c r="H299">
        <f t="shared" si="324"/>
        <v>2</v>
      </c>
      <c r="I299">
        <f t="shared" si="325"/>
        <v>2</v>
      </c>
      <c r="J299">
        <f t="shared" si="326"/>
        <v>6</v>
      </c>
      <c r="N299">
        <f t="shared" si="307"/>
        <v>0</v>
      </c>
      <c r="O299" s="155">
        <f t="shared" si="319"/>
        <v>25552393.376553599</v>
      </c>
      <c r="R299" t="s">
        <v>146</v>
      </c>
      <c r="S299" t="s">
        <v>12</v>
      </c>
      <c r="T299" s="23" t="s">
        <v>207</v>
      </c>
      <c r="U299" s="24">
        <v>67</v>
      </c>
      <c r="V299" s="24">
        <v>1331</v>
      </c>
      <c r="W299" s="24">
        <v>2064</v>
      </c>
      <c r="X299" s="24">
        <v>3958.2121963833001</v>
      </c>
      <c r="Y299" s="24">
        <v>4442.6211016638999</v>
      </c>
      <c r="Z299" s="24">
        <v>7230.6466035179001</v>
      </c>
      <c r="AA299" s="24">
        <v>10049.7764316639</v>
      </c>
      <c r="AB299" s="24">
        <v>10161.0646620564</v>
      </c>
      <c r="AC299" s="24">
        <v>10914.539340113501</v>
      </c>
      <c r="AD299" s="24">
        <v>13598.267722197799</v>
      </c>
      <c r="AE299" s="24">
        <v>15410.2729472588</v>
      </c>
      <c r="AF299" s="25">
        <v>40.8845888915206</v>
      </c>
      <c r="AG299" s="25">
        <v>7.9674783376971803</v>
      </c>
      <c r="AH299" s="25">
        <v>8.5054900029260203</v>
      </c>
      <c r="AI299" s="25">
        <v>2.16042630509765</v>
      </c>
    </row>
    <row r="300" spans="2:35">
      <c r="B300" t="str">
        <f t="shared" si="320"/>
        <v>AT0</v>
      </c>
      <c r="C300">
        <f t="shared" si="321"/>
        <v>2020</v>
      </c>
      <c r="D300" t="str">
        <f t="shared" si="322"/>
        <v>SOL_PHO</v>
      </c>
      <c r="E300" s="155">
        <f t="shared" si="318"/>
        <v>1174484.9698447098</v>
      </c>
      <c r="F300" t="s">
        <v>31</v>
      </c>
      <c r="G300" t="str">
        <f t="shared" si="323"/>
        <v>photovoltaics</v>
      </c>
      <c r="H300">
        <f t="shared" si="324"/>
        <v>3</v>
      </c>
      <c r="I300">
        <f t="shared" si="325"/>
        <v>2</v>
      </c>
      <c r="J300">
        <f t="shared" si="326"/>
        <v>6</v>
      </c>
      <c r="N300">
        <f t="shared" si="307"/>
        <v>0</v>
      </c>
      <c r="O300" s="155">
        <f t="shared" si="319"/>
        <v>1174484.9698447098</v>
      </c>
      <c r="R300" t="s">
        <v>105</v>
      </c>
      <c r="S300" t="s">
        <v>12</v>
      </c>
      <c r="T300" s="23" t="s">
        <v>245</v>
      </c>
      <c r="U300" s="24">
        <v>3.4883720930232598</v>
      </c>
      <c r="V300" s="24">
        <v>20.930232558139501</v>
      </c>
      <c r="W300" s="24">
        <v>88.3720930232558</v>
      </c>
      <c r="X300" s="24">
        <v>871.44937575079905</v>
      </c>
      <c r="Y300" s="24">
        <v>1174.4849698447099</v>
      </c>
      <c r="Z300" s="24">
        <v>3124.5830488884499</v>
      </c>
      <c r="AA300" s="24">
        <v>3312.1848429676002</v>
      </c>
      <c r="AB300" s="24">
        <v>3413.76615911928</v>
      </c>
      <c r="AC300" s="24">
        <v>3502.2701924624898</v>
      </c>
      <c r="AD300" s="24">
        <v>3889.8220602433598</v>
      </c>
      <c r="AE300" s="24">
        <v>5059.8204301921696</v>
      </c>
      <c r="AF300" s="25">
        <v>38.155835548919697</v>
      </c>
      <c r="AG300" s="25">
        <v>29.524890030750299</v>
      </c>
      <c r="AH300" s="25">
        <v>10.9243034409266</v>
      </c>
      <c r="AI300" s="25">
        <v>2.1412167239347202</v>
      </c>
    </row>
    <row r="301" spans="2:35">
      <c r="B301" t="str">
        <f t="shared" si="320"/>
        <v>FR0</v>
      </c>
      <c r="C301">
        <f t="shared" si="321"/>
        <v>2020</v>
      </c>
      <c r="D301" t="str">
        <f t="shared" si="322"/>
        <v>SOL_PHO</v>
      </c>
      <c r="E301" s="155">
        <f t="shared" si="318"/>
        <v>31588710.540029101</v>
      </c>
      <c r="F301" t="s">
        <v>31</v>
      </c>
      <c r="G301" t="str">
        <f t="shared" si="323"/>
        <v>photovoltaics</v>
      </c>
      <c r="H301">
        <f t="shared" si="324"/>
        <v>4</v>
      </c>
      <c r="I301">
        <f t="shared" si="325"/>
        <v>2</v>
      </c>
      <c r="J301">
        <f t="shared" si="326"/>
        <v>6</v>
      </c>
      <c r="N301">
        <f t="shared" si="307"/>
        <v>0</v>
      </c>
      <c r="O301" s="155">
        <f t="shared" si="319"/>
        <v>31588710.540029101</v>
      </c>
      <c r="R301" t="s">
        <v>65</v>
      </c>
      <c r="S301" t="s">
        <v>12</v>
      </c>
      <c r="T301" s="23" t="s">
        <v>246</v>
      </c>
      <c r="U301" s="24">
        <v>-0.48837209302325602</v>
      </c>
      <c r="V301" s="24">
        <v>2.0697674418604599</v>
      </c>
      <c r="W301" s="24">
        <v>1.62790697674419</v>
      </c>
      <c r="X301" s="24">
        <v>11.388000000000099</v>
      </c>
      <c r="Y301" s="24">
        <v>11.388000000000099</v>
      </c>
      <c r="Z301" s="24">
        <v>11.3879999999999</v>
      </c>
      <c r="AA301" s="24">
        <v>11.3879999999999</v>
      </c>
      <c r="AB301" s="24">
        <v>11.387999999999501</v>
      </c>
      <c r="AC301" s="24">
        <v>11.3879999999999</v>
      </c>
      <c r="AD301" s="24">
        <v>11.3880000000004</v>
      </c>
      <c r="AE301" s="24">
        <v>11.3879999999999</v>
      </c>
      <c r="AF301" s="25">
        <v>0</v>
      </c>
      <c r="AG301" s="25">
        <v>21.473567818450899</v>
      </c>
      <c r="AH301" s="25">
        <v>-1.99840144432528E-13</v>
      </c>
      <c r="AI301" s="25">
        <v>0</v>
      </c>
    </row>
    <row r="302" spans="2:35">
      <c r="B302" t="str">
        <f t="shared" si="320"/>
        <v>DE0</v>
      </c>
      <c r="C302">
        <f t="shared" si="321"/>
        <v>2025</v>
      </c>
      <c r="D302" t="str">
        <f t="shared" si="322"/>
        <v>SOL_PHO</v>
      </c>
      <c r="E302" s="155">
        <f t="shared" si="318"/>
        <v>51777497.313538298</v>
      </c>
      <c r="F302" t="s">
        <v>31</v>
      </c>
      <c r="G302" t="str">
        <f t="shared" si="323"/>
        <v>photovoltaics</v>
      </c>
      <c r="H302">
        <f t="shared" si="324"/>
        <v>1</v>
      </c>
      <c r="I302">
        <f t="shared" si="325"/>
        <v>3</v>
      </c>
      <c r="J302">
        <f t="shared" si="326"/>
        <v>6</v>
      </c>
      <c r="N302">
        <f t="shared" si="307"/>
        <v>0</v>
      </c>
      <c r="O302" s="155">
        <f t="shared" si="319"/>
        <v>51777497.313538298</v>
      </c>
      <c r="S302" t="s">
        <v>12</v>
      </c>
      <c r="T302" s="63" t="s">
        <v>247</v>
      </c>
      <c r="U302" s="64">
        <v>0</v>
      </c>
      <c r="V302" s="64">
        <v>0</v>
      </c>
      <c r="W302" s="64">
        <v>0</v>
      </c>
      <c r="X302" s="64">
        <v>0</v>
      </c>
      <c r="Y302" s="64">
        <v>0</v>
      </c>
      <c r="Z302" s="64">
        <v>0</v>
      </c>
      <c r="AA302" s="64">
        <v>0</v>
      </c>
      <c r="AB302" s="64">
        <v>0</v>
      </c>
      <c r="AC302" s="64">
        <v>0</v>
      </c>
      <c r="AD302" s="64">
        <v>0</v>
      </c>
      <c r="AE302" s="64">
        <v>0</v>
      </c>
      <c r="AF302" s="25">
        <v>0</v>
      </c>
      <c r="AG302" s="25">
        <v>0</v>
      </c>
      <c r="AH302" s="25">
        <v>0</v>
      </c>
      <c r="AI302" s="25">
        <v>0</v>
      </c>
    </row>
    <row r="303" spans="2:35">
      <c r="B303" t="str">
        <f t="shared" ref="B303:B308" si="327">INDEX(H$125:H$132,H303)</f>
        <v>IT0</v>
      </c>
      <c r="C303">
        <f t="shared" ref="C303:C308" si="328">INDEX(I$125:I$132,I303)</f>
        <v>2025</v>
      </c>
      <c r="D303" t="str">
        <f t="shared" ref="D303:D308" si="329">INDEX(J$125:J$132,J303)</f>
        <v>SOL_PHO</v>
      </c>
      <c r="E303" s="155">
        <f t="shared" si="318"/>
        <v>31473134.609725799</v>
      </c>
      <c r="F303" t="s">
        <v>31</v>
      </c>
      <c r="G303" t="str">
        <f t="shared" ref="G303:G308" si="330">INDEX(K$125:K$132,J303)</f>
        <v>photovoltaics</v>
      </c>
      <c r="H303">
        <f t="shared" ref="H303:H308" si="331">IF(H302=$H$124,1,H302+1)</f>
        <v>2</v>
      </c>
      <c r="I303">
        <f t="shared" ref="I303:I308" si="332">IF(H303=1,IF(I302=$I$124,1,I302+1),I302)</f>
        <v>3</v>
      </c>
      <c r="J303">
        <f t="shared" ref="J303:J308" si="333">IF(AND(I303=1,I302&gt;1),IF(J302=$J$124,1,J302+1),J302)</f>
        <v>6</v>
      </c>
      <c r="N303">
        <f t="shared" si="307"/>
        <v>0</v>
      </c>
      <c r="O303" s="155">
        <f t="shared" si="319"/>
        <v>31473134.609725799</v>
      </c>
    </row>
    <row r="304" spans="2:35">
      <c r="B304" t="str">
        <f t="shared" si="327"/>
        <v>AT0</v>
      </c>
      <c r="C304">
        <f t="shared" si="328"/>
        <v>2025</v>
      </c>
      <c r="D304" t="str">
        <f t="shared" si="329"/>
        <v>SOL_PHO</v>
      </c>
      <c r="E304" s="155">
        <f t="shared" si="318"/>
        <v>3124583.04888845</v>
      </c>
      <c r="F304" t="s">
        <v>31</v>
      </c>
      <c r="G304" t="str">
        <f t="shared" si="330"/>
        <v>photovoltaics</v>
      </c>
      <c r="H304">
        <f t="shared" si="331"/>
        <v>3</v>
      </c>
      <c r="I304">
        <f t="shared" si="332"/>
        <v>3</v>
      </c>
      <c r="J304">
        <f t="shared" si="333"/>
        <v>6</v>
      </c>
      <c r="N304">
        <f t="shared" ref="N304:N335" si="334">INDEX($AJ$21:$AJ$249,MATCH(B304&amp;"."&amp;D304,$AH$21:$AH$249,0))</f>
        <v>0</v>
      </c>
      <c r="O304" s="155">
        <f t="shared" si="319"/>
        <v>3124583.04888845</v>
      </c>
    </row>
    <row r="305" spans="2:32">
      <c r="B305" t="str">
        <f t="shared" si="327"/>
        <v>FR0</v>
      </c>
      <c r="C305">
        <f t="shared" si="328"/>
        <v>2025</v>
      </c>
      <c r="D305" t="str">
        <f t="shared" si="329"/>
        <v>SOL_PHO</v>
      </c>
      <c r="E305" s="155">
        <f t="shared" si="318"/>
        <v>39234166.1332964</v>
      </c>
      <c r="F305" t="s">
        <v>31</v>
      </c>
      <c r="G305" t="str">
        <f t="shared" si="330"/>
        <v>photovoltaics</v>
      </c>
      <c r="H305">
        <f t="shared" si="331"/>
        <v>4</v>
      </c>
      <c r="I305">
        <f t="shared" si="332"/>
        <v>3</v>
      </c>
      <c r="J305">
        <f t="shared" si="333"/>
        <v>6</v>
      </c>
      <c r="N305">
        <f t="shared" si="334"/>
        <v>0</v>
      </c>
      <c r="O305" s="155">
        <f t="shared" si="319"/>
        <v>39234166.1332964</v>
      </c>
    </row>
    <row r="306" spans="2:32">
      <c r="B306" t="str">
        <f t="shared" si="327"/>
        <v>DE0</v>
      </c>
      <c r="C306">
        <f t="shared" si="328"/>
        <v>2030</v>
      </c>
      <c r="D306" t="str">
        <f t="shared" si="329"/>
        <v>SOL_PHO</v>
      </c>
      <c r="E306" s="155">
        <f t="shared" si="318"/>
        <v>60513390.975464202</v>
      </c>
      <c r="F306" t="s">
        <v>31</v>
      </c>
      <c r="G306" t="str">
        <f t="shared" si="330"/>
        <v>photovoltaics</v>
      </c>
      <c r="H306">
        <f t="shared" si="331"/>
        <v>1</v>
      </c>
      <c r="I306">
        <f t="shared" si="332"/>
        <v>4</v>
      </c>
      <c r="J306">
        <f t="shared" si="333"/>
        <v>6</v>
      </c>
      <c r="N306">
        <f t="shared" si="334"/>
        <v>0</v>
      </c>
      <c r="O306" s="155">
        <f t="shared" si="319"/>
        <v>60513390.975464202</v>
      </c>
    </row>
    <row r="307" spans="2:32">
      <c r="B307" t="str">
        <f t="shared" si="327"/>
        <v>IT0</v>
      </c>
      <c r="C307">
        <f t="shared" si="328"/>
        <v>2030</v>
      </c>
      <c r="D307" t="str">
        <f t="shared" si="329"/>
        <v>SOL_PHO</v>
      </c>
      <c r="E307" s="155">
        <f t="shared" si="318"/>
        <v>34026934.048563898</v>
      </c>
      <c r="F307" t="s">
        <v>31</v>
      </c>
      <c r="G307" t="str">
        <f t="shared" si="330"/>
        <v>photovoltaics</v>
      </c>
      <c r="H307">
        <f t="shared" si="331"/>
        <v>2</v>
      </c>
      <c r="I307">
        <f t="shared" si="332"/>
        <v>4</v>
      </c>
      <c r="J307">
        <f t="shared" si="333"/>
        <v>6</v>
      </c>
      <c r="N307">
        <f t="shared" si="334"/>
        <v>0</v>
      </c>
      <c r="O307" s="155">
        <f t="shared" si="319"/>
        <v>34026934.048563898</v>
      </c>
      <c r="U307">
        <v>2000</v>
      </c>
      <c r="V307">
        <v>2005</v>
      </c>
      <c r="W307">
        <v>2010</v>
      </c>
      <c r="X307">
        <v>2015</v>
      </c>
      <c r="Y307">
        <v>2020</v>
      </c>
      <c r="Z307">
        <v>2025</v>
      </c>
      <c r="AA307">
        <v>2030</v>
      </c>
      <c r="AB307">
        <v>2035</v>
      </c>
      <c r="AC307">
        <v>2040</v>
      </c>
      <c r="AD307">
        <v>2045</v>
      </c>
      <c r="AE307">
        <v>2050</v>
      </c>
    </row>
    <row r="308" spans="2:32">
      <c r="B308" t="str">
        <f t="shared" si="327"/>
        <v>AT0</v>
      </c>
      <c r="C308">
        <f t="shared" si="328"/>
        <v>2030</v>
      </c>
      <c r="D308" t="str">
        <f t="shared" si="329"/>
        <v>SOL_PHO</v>
      </c>
      <c r="E308" s="155">
        <f t="shared" si="318"/>
        <v>3312184.8429676001</v>
      </c>
      <c r="F308" t="s">
        <v>31</v>
      </c>
      <c r="G308" t="str">
        <f t="shared" si="330"/>
        <v>photovoltaics</v>
      </c>
      <c r="H308">
        <f t="shared" si="331"/>
        <v>3</v>
      </c>
      <c r="I308">
        <f t="shared" si="332"/>
        <v>4</v>
      </c>
      <c r="J308">
        <f t="shared" si="333"/>
        <v>6</v>
      </c>
      <c r="N308">
        <f t="shared" si="334"/>
        <v>0</v>
      </c>
      <c r="O308" s="155">
        <f t="shared" si="319"/>
        <v>3312184.8429676001</v>
      </c>
      <c r="S308" t="s">
        <v>14</v>
      </c>
      <c r="T308" t="s">
        <v>145</v>
      </c>
      <c r="U308">
        <v>38.380000000000003</v>
      </c>
      <c r="V308">
        <v>34.340000000000003</v>
      </c>
      <c r="W308">
        <v>35.42</v>
      </c>
      <c r="X308">
        <v>39</v>
      </c>
      <c r="Y308">
        <v>41.96</v>
      </c>
      <c r="Z308">
        <v>42.35</v>
      </c>
      <c r="AA308">
        <v>42.67</v>
      </c>
      <c r="AB308">
        <v>43.02</v>
      </c>
      <c r="AC308">
        <v>43.44</v>
      </c>
      <c r="AD308">
        <v>43.82</v>
      </c>
      <c r="AE308">
        <v>44.15</v>
      </c>
      <c r="AF308" t="s">
        <v>407</v>
      </c>
    </row>
    <row r="309" spans="2:32">
      <c r="B309" t="str">
        <f t="shared" ref="B309:B325" si="335">INDEX(H$125:H$132,H309)</f>
        <v>FR0</v>
      </c>
      <c r="C309">
        <f t="shared" ref="C309:C325" si="336">INDEX(I$125:I$132,I309)</f>
        <v>2030</v>
      </c>
      <c r="D309" t="str">
        <f t="shared" ref="D309:D325" si="337">INDEX(J$125:J$132,J309)</f>
        <v>SOL_PHO</v>
      </c>
      <c r="E309" s="155">
        <f t="shared" si="318"/>
        <v>41048335.874749295</v>
      </c>
      <c r="F309" t="s">
        <v>31</v>
      </c>
      <c r="G309" t="str">
        <f t="shared" ref="G309:G325" si="338">INDEX(K$125:K$132,J309)</f>
        <v>photovoltaics</v>
      </c>
      <c r="H309">
        <f t="shared" ref="H309:H325" si="339">IF(H308=$H$124,1,H308+1)</f>
        <v>4</v>
      </c>
      <c r="I309">
        <f t="shared" ref="I309:I325" si="340">IF(H309=1,IF(I308=$I$124,1,I308+1),I308)</f>
        <v>4</v>
      </c>
      <c r="J309">
        <f t="shared" ref="J309:J325" si="341">IF(AND(I309=1,I308&gt;1),IF(J308=$J$124,1,J308+1),J308)</f>
        <v>6</v>
      </c>
      <c r="N309">
        <f t="shared" si="334"/>
        <v>0</v>
      </c>
      <c r="O309" s="155">
        <f t="shared" si="319"/>
        <v>41048335.874749295</v>
      </c>
    </row>
    <row r="310" spans="2:32">
      <c r="B310" t="str">
        <f t="shared" si="335"/>
        <v>DE0</v>
      </c>
      <c r="C310">
        <f t="shared" si="336"/>
        <v>2035</v>
      </c>
      <c r="D310" t="str">
        <f t="shared" si="337"/>
        <v>SOL_PHO</v>
      </c>
      <c r="E310" s="155">
        <f t="shared" si="318"/>
        <v>60978532.916030601</v>
      </c>
      <c r="F310" t="s">
        <v>31</v>
      </c>
      <c r="G310" t="str">
        <f t="shared" si="338"/>
        <v>photovoltaics</v>
      </c>
      <c r="H310">
        <f t="shared" si="339"/>
        <v>1</v>
      </c>
      <c r="I310">
        <f t="shared" si="340"/>
        <v>5</v>
      </c>
      <c r="J310">
        <f t="shared" si="341"/>
        <v>6</v>
      </c>
      <c r="N310">
        <f t="shared" si="334"/>
        <v>0</v>
      </c>
      <c r="O310" s="155">
        <f t="shared" si="319"/>
        <v>60978532.916030601</v>
      </c>
      <c r="S310" t="s">
        <v>14</v>
      </c>
      <c r="T310" t="s">
        <v>95</v>
      </c>
      <c r="U310">
        <v>24.73</v>
      </c>
      <c r="V310">
        <v>21.9</v>
      </c>
      <c r="W310">
        <v>25.13</v>
      </c>
      <c r="X310">
        <v>24.58</v>
      </c>
      <c r="Y310">
        <v>21.68</v>
      </c>
      <c r="Z310">
        <v>15.98</v>
      </c>
      <c r="AA310">
        <v>8.81</v>
      </c>
      <c r="AB310" t="s">
        <v>195</v>
      </c>
      <c r="AC310" t="s">
        <v>195</v>
      </c>
      <c r="AD310" t="s">
        <v>195</v>
      </c>
      <c r="AE310" t="s">
        <v>195</v>
      </c>
      <c r="AF310" t="s">
        <v>407</v>
      </c>
    </row>
    <row r="311" spans="2:32">
      <c r="B311" t="str">
        <f t="shared" si="335"/>
        <v>IT0</v>
      </c>
      <c r="C311">
        <f t="shared" si="336"/>
        <v>2035</v>
      </c>
      <c r="D311" t="str">
        <f t="shared" si="337"/>
        <v>SOL_PHO</v>
      </c>
      <c r="E311" s="155">
        <f t="shared" si="318"/>
        <v>36679053.857585102</v>
      </c>
      <c r="F311" t="s">
        <v>31</v>
      </c>
      <c r="G311" t="str">
        <f t="shared" si="338"/>
        <v>photovoltaics</v>
      </c>
      <c r="H311">
        <f t="shared" si="339"/>
        <v>2</v>
      </c>
      <c r="I311">
        <f t="shared" si="340"/>
        <v>5</v>
      </c>
      <c r="J311">
        <f t="shared" si="341"/>
        <v>6</v>
      </c>
      <c r="N311">
        <f t="shared" si="334"/>
        <v>0</v>
      </c>
      <c r="O311" s="155">
        <f t="shared" si="319"/>
        <v>36679053.857585102</v>
      </c>
    </row>
    <row r="312" spans="2:32">
      <c r="B312" t="str">
        <f t="shared" si="335"/>
        <v>AT0</v>
      </c>
      <c r="C312">
        <f t="shared" si="336"/>
        <v>2035</v>
      </c>
      <c r="D312" t="str">
        <f t="shared" si="337"/>
        <v>SOL_PHO</v>
      </c>
      <c r="E312" s="155">
        <f t="shared" si="318"/>
        <v>3413766.1591192801</v>
      </c>
      <c r="F312" t="s">
        <v>31</v>
      </c>
      <c r="G312" t="str">
        <f t="shared" si="338"/>
        <v>photovoltaics</v>
      </c>
      <c r="H312">
        <f t="shared" si="339"/>
        <v>3</v>
      </c>
      <c r="I312">
        <f t="shared" si="340"/>
        <v>5</v>
      </c>
      <c r="J312">
        <f t="shared" si="341"/>
        <v>6</v>
      </c>
      <c r="N312">
        <f t="shared" si="334"/>
        <v>0</v>
      </c>
      <c r="O312" s="155">
        <f t="shared" si="319"/>
        <v>3413766.1591192801</v>
      </c>
      <c r="R312" t="s">
        <v>296</v>
      </c>
      <c r="S312" t="s">
        <v>14</v>
      </c>
      <c r="T312" t="s">
        <v>105</v>
      </c>
    </row>
    <row r="313" spans="2:32">
      <c r="B313" t="str">
        <f t="shared" si="335"/>
        <v>FR0</v>
      </c>
      <c r="C313">
        <f t="shared" si="336"/>
        <v>2035</v>
      </c>
      <c r="D313" t="str">
        <f t="shared" si="337"/>
        <v>SOL_PHO</v>
      </c>
      <c r="E313" s="155">
        <f t="shared" si="318"/>
        <v>41864978.183142304</v>
      </c>
      <c r="F313" t="s">
        <v>31</v>
      </c>
      <c r="G313" t="str">
        <f t="shared" si="338"/>
        <v>photovoltaics</v>
      </c>
      <c r="H313">
        <f t="shared" si="339"/>
        <v>4</v>
      </c>
      <c r="I313">
        <f t="shared" si="340"/>
        <v>5</v>
      </c>
      <c r="J313">
        <f t="shared" si="341"/>
        <v>6</v>
      </c>
      <c r="N313">
        <f t="shared" si="334"/>
        <v>0</v>
      </c>
      <c r="O313" s="155">
        <f t="shared" si="319"/>
        <v>41864978.183142304</v>
      </c>
    </row>
    <row r="314" spans="2:32">
      <c r="B314" t="str">
        <f t="shared" si="335"/>
        <v>DE0</v>
      </c>
      <c r="C314">
        <f t="shared" si="336"/>
        <v>2040</v>
      </c>
      <c r="D314" t="str">
        <f t="shared" si="337"/>
        <v>SOL_PHO</v>
      </c>
      <c r="E314" s="155">
        <f t="shared" si="318"/>
        <v>63857101.641731799</v>
      </c>
      <c r="F314" t="s">
        <v>31</v>
      </c>
      <c r="G314" t="str">
        <f t="shared" si="338"/>
        <v>photovoltaics</v>
      </c>
      <c r="H314">
        <f t="shared" si="339"/>
        <v>1</v>
      </c>
      <c r="I314">
        <f t="shared" si="340"/>
        <v>6</v>
      </c>
      <c r="J314">
        <f t="shared" si="341"/>
        <v>6</v>
      </c>
      <c r="N314">
        <f t="shared" si="334"/>
        <v>0</v>
      </c>
      <c r="O314" s="155">
        <f t="shared" si="319"/>
        <v>63857101.641731799</v>
      </c>
    </row>
    <row r="315" spans="2:32">
      <c r="B315" t="str">
        <f t="shared" si="335"/>
        <v>IT0</v>
      </c>
      <c r="C315">
        <f t="shared" si="336"/>
        <v>2040</v>
      </c>
      <c r="D315" t="str">
        <f t="shared" si="337"/>
        <v>SOL_PHO</v>
      </c>
      <c r="E315" s="155">
        <f t="shared" si="318"/>
        <v>39891005.236769296</v>
      </c>
      <c r="F315" t="s">
        <v>31</v>
      </c>
      <c r="G315" t="str">
        <f t="shared" si="338"/>
        <v>photovoltaics</v>
      </c>
      <c r="H315">
        <f t="shared" si="339"/>
        <v>2</v>
      </c>
      <c r="I315">
        <f t="shared" si="340"/>
        <v>6</v>
      </c>
      <c r="J315">
        <f t="shared" si="341"/>
        <v>6</v>
      </c>
      <c r="N315">
        <f t="shared" si="334"/>
        <v>0</v>
      </c>
      <c r="O315" s="155">
        <f t="shared" si="319"/>
        <v>39891005.236769296</v>
      </c>
      <c r="V315" s="158" t="s">
        <v>446</v>
      </c>
      <c r="W315" s="159"/>
      <c r="X315" s="158" t="s">
        <v>130</v>
      </c>
      <c r="Y315" s="159"/>
      <c r="Z315" s="159"/>
      <c r="AA315" s="159"/>
      <c r="AB315" s="159"/>
      <c r="AC315" s="159"/>
      <c r="AD315" s="159"/>
      <c r="AE315" s="159"/>
      <c r="AF315" s="160"/>
    </row>
    <row r="316" spans="2:32">
      <c r="B316" t="str">
        <f t="shared" si="335"/>
        <v>AT0</v>
      </c>
      <c r="C316">
        <f t="shared" si="336"/>
        <v>2040</v>
      </c>
      <c r="D316" t="str">
        <f t="shared" si="337"/>
        <v>SOL_PHO</v>
      </c>
      <c r="E316" s="155">
        <f t="shared" si="318"/>
        <v>3502270.1924624899</v>
      </c>
      <c r="F316" t="s">
        <v>31</v>
      </c>
      <c r="G316" t="str">
        <f t="shared" si="338"/>
        <v>photovoltaics</v>
      </c>
      <c r="H316">
        <f t="shared" si="339"/>
        <v>3</v>
      </c>
      <c r="I316">
        <f t="shared" si="340"/>
        <v>6</v>
      </c>
      <c r="J316">
        <f t="shared" si="341"/>
        <v>6</v>
      </c>
      <c r="N316">
        <f t="shared" si="334"/>
        <v>0</v>
      </c>
      <c r="O316" s="155">
        <f t="shared" si="319"/>
        <v>3502270.1924624899</v>
      </c>
      <c r="V316" s="158" t="s">
        <v>128</v>
      </c>
      <c r="W316" s="158" t="s">
        <v>30</v>
      </c>
      <c r="X316" s="161">
        <v>2015</v>
      </c>
      <c r="Y316" s="162">
        <v>2020</v>
      </c>
      <c r="Z316" s="162">
        <v>2025</v>
      </c>
      <c r="AA316" s="162">
        <v>2030</v>
      </c>
      <c r="AB316" s="162">
        <v>2035</v>
      </c>
      <c r="AC316" s="162">
        <v>2040</v>
      </c>
      <c r="AD316" s="162">
        <v>2045</v>
      </c>
      <c r="AE316" s="162">
        <v>2050</v>
      </c>
      <c r="AF316" s="163" t="s">
        <v>433</v>
      </c>
    </row>
    <row r="317" spans="2:32">
      <c r="B317" t="str">
        <f t="shared" si="335"/>
        <v>FR0</v>
      </c>
      <c r="C317">
        <f t="shared" si="336"/>
        <v>2040</v>
      </c>
      <c r="D317" t="str">
        <f t="shared" si="337"/>
        <v>SOL_PHO</v>
      </c>
      <c r="E317" s="155">
        <f t="shared" si="318"/>
        <v>51256660.7010151</v>
      </c>
      <c r="F317" t="s">
        <v>31</v>
      </c>
      <c r="G317" t="str">
        <f t="shared" si="338"/>
        <v>photovoltaics</v>
      </c>
      <c r="H317">
        <f t="shared" si="339"/>
        <v>4</v>
      </c>
      <c r="I317">
        <f t="shared" si="340"/>
        <v>6</v>
      </c>
      <c r="J317">
        <f t="shared" si="341"/>
        <v>6</v>
      </c>
      <c r="N317">
        <f t="shared" si="334"/>
        <v>0</v>
      </c>
      <c r="O317" s="155">
        <f t="shared" si="319"/>
        <v>51256660.7010151</v>
      </c>
      <c r="S317" t="str">
        <f t="shared" ref="S317:S346" si="342">U317&amp;"."&amp;W317</f>
        <v>BAL_ELC.POM C</v>
      </c>
      <c r="U317" t="str">
        <f>V317</f>
        <v>BAL_ELC</v>
      </c>
      <c r="V317" s="161" t="s">
        <v>55</v>
      </c>
      <c r="W317" s="161" t="s">
        <v>142</v>
      </c>
      <c r="X317" s="164">
        <v>0.56999999999999995</v>
      </c>
      <c r="Y317" s="165">
        <v>0.84</v>
      </c>
      <c r="Z317" s="165">
        <v>1.17</v>
      </c>
      <c r="AA317" s="165">
        <v>1.44</v>
      </c>
      <c r="AB317" s="165">
        <v>1.4500000000000002</v>
      </c>
      <c r="AC317" s="165">
        <v>1.48</v>
      </c>
      <c r="AD317" s="165">
        <v>1.51</v>
      </c>
      <c r="AE317" s="165">
        <v>1.51</v>
      </c>
      <c r="AF317" s="166"/>
    </row>
    <row r="318" spans="2:32">
      <c r="B318" t="str">
        <f t="shared" si="335"/>
        <v>DE0</v>
      </c>
      <c r="C318">
        <f t="shared" si="336"/>
        <v>2045</v>
      </c>
      <c r="D318" t="str">
        <f t="shared" si="337"/>
        <v>SOL_PHO</v>
      </c>
      <c r="E318" s="155">
        <f t="shared" si="318"/>
        <v>68812765.286356091</v>
      </c>
      <c r="F318" t="s">
        <v>31</v>
      </c>
      <c r="G318" t="str">
        <f t="shared" si="338"/>
        <v>photovoltaics</v>
      </c>
      <c r="H318">
        <f t="shared" si="339"/>
        <v>1</v>
      </c>
      <c r="I318">
        <f t="shared" si="340"/>
        <v>7</v>
      </c>
      <c r="J318">
        <f t="shared" si="341"/>
        <v>6</v>
      </c>
      <c r="N318">
        <f t="shared" si="334"/>
        <v>0</v>
      </c>
      <c r="O318" s="155">
        <f t="shared" si="319"/>
        <v>68812765.286356091</v>
      </c>
      <c r="S318" t="str">
        <f t="shared" si="342"/>
        <v>BAL_ELC.POM C&amp;E</v>
      </c>
      <c r="U318" t="str">
        <f t="shared" ref="U318:U346" si="343">U317</f>
        <v>BAL_ELC</v>
      </c>
      <c r="V318" s="167"/>
      <c r="W318" s="168" t="s">
        <v>296</v>
      </c>
      <c r="X318" s="169">
        <v>0.65</v>
      </c>
      <c r="Y318" s="149">
        <v>1.22</v>
      </c>
      <c r="Z318" s="149">
        <v>2.0700000000000003</v>
      </c>
      <c r="AA318" s="149">
        <v>2.77</v>
      </c>
      <c r="AB318" s="149">
        <v>2.98</v>
      </c>
      <c r="AC318" s="149">
        <v>3.0700000000000003</v>
      </c>
      <c r="AD318" s="149">
        <v>3.11</v>
      </c>
      <c r="AE318" s="149">
        <v>3.12</v>
      </c>
      <c r="AF318" s="170"/>
    </row>
    <row r="319" spans="2:32">
      <c r="B319" t="str">
        <f t="shared" si="335"/>
        <v>IT0</v>
      </c>
      <c r="C319">
        <f t="shared" si="336"/>
        <v>2045</v>
      </c>
      <c r="D319" t="str">
        <f t="shared" si="337"/>
        <v>SOL_PHO</v>
      </c>
      <c r="E319" s="155">
        <f t="shared" si="318"/>
        <v>74047388.558052108</v>
      </c>
      <c r="F319" t="s">
        <v>31</v>
      </c>
      <c r="G319" t="str">
        <f t="shared" si="338"/>
        <v>photovoltaics</v>
      </c>
      <c r="H319">
        <f t="shared" si="339"/>
        <v>2</v>
      </c>
      <c r="I319">
        <f t="shared" si="340"/>
        <v>7</v>
      </c>
      <c r="J319">
        <f t="shared" si="341"/>
        <v>6</v>
      </c>
      <c r="N319">
        <f t="shared" si="334"/>
        <v>0</v>
      </c>
      <c r="O319" s="155">
        <f t="shared" si="319"/>
        <v>74047388.558052108</v>
      </c>
      <c r="S319" t="str">
        <f t="shared" si="342"/>
        <v>BAL_ELC.POM E</v>
      </c>
      <c r="U319" t="str">
        <f t="shared" si="343"/>
        <v>BAL_ELC</v>
      </c>
      <c r="V319" s="167"/>
      <c r="W319" s="168" t="s">
        <v>143</v>
      </c>
      <c r="X319" s="169">
        <v>0.65</v>
      </c>
      <c r="Y319" s="149">
        <v>1.22</v>
      </c>
      <c r="Z319" s="149">
        <v>2.0700000000000003</v>
      </c>
      <c r="AA319" s="149">
        <v>2.77</v>
      </c>
      <c r="AB319" s="149">
        <v>2.98</v>
      </c>
      <c r="AC319" s="149">
        <v>3.0700000000000003</v>
      </c>
      <c r="AD319" s="149">
        <v>3.11</v>
      </c>
      <c r="AE319" s="149">
        <v>3.12</v>
      </c>
      <c r="AF319" s="170"/>
    </row>
    <row r="320" spans="2:32">
      <c r="B320" t="str">
        <f t="shared" si="335"/>
        <v>AT0</v>
      </c>
      <c r="C320">
        <f t="shared" si="336"/>
        <v>2045</v>
      </c>
      <c r="D320" t="str">
        <f t="shared" si="337"/>
        <v>SOL_PHO</v>
      </c>
      <c r="E320" s="155">
        <f t="shared" si="318"/>
        <v>3889822.0602433598</v>
      </c>
      <c r="F320" t="s">
        <v>31</v>
      </c>
      <c r="G320" t="str">
        <f t="shared" si="338"/>
        <v>photovoltaics</v>
      </c>
      <c r="H320">
        <f t="shared" si="339"/>
        <v>3</v>
      </c>
      <c r="I320">
        <f t="shared" si="340"/>
        <v>7</v>
      </c>
      <c r="J320">
        <f t="shared" si="341"/>
        <v>6</v>
      </c>
      <c r="N320">
        <f t="shared" si="334"/>
        <v>0</v>
      </c>
      <c r="O320" s="155">
        <f t="shared" si="319"/>
        <v>3889822.0602433598</v>
      </c>
      <c r="S320" t="str">
        <f t="shared" si="342"/>
        <v>GAS_NEW.POM C</v>
      </c>
      <c r="U320" t="str">
        <f>V320</f>
        <v>GAS_NEW</v>
      </c>
      <c r="V320" s="161" t="s">
        <v>441</v>
      </c>
      <c r="W320" s="161" t="s">
        <v>142</v>
      </c>
      <c r="X320" s="164">
        <v>0.89</v>
      </c>
      <c r="Y320" s="165">
        <v>2.46</v>
      </c>
      <c r="Z320" s="165">
        <v>5.98</v>
      </c>
      <c r="AA320" s="165">
        <v>9.4400000000000013</v>
      </c>
      <c r="AB320" s="165">
        <v>21.97</v>
      </c>
      <c r="AC320" s="165">
        <v>21.6</v>
      </c>
      <c r="AD320" s="165">
        <v>21.98</v>
      </c>
      <c r="AE320" s="165">
        <v>21.65</v>
      </c>
      <c r="AF320" s="166"/>
    </row>
    <row r="321" spans="2:32">
      <c r="B321" t="str">
        <f t="shared" si="335"/>
        <v>FR0</v>
      </c>
      <c r="C321">
        <f t="shared" si="336"/>
        <v>2045</v>
      </c>
      <c r="D321" t="str">
        <f t="shared" si="337"/>
        <v>SOL_PHO</v>
      </c>
      <c r="E321" s="155">
        <f t="shared" si="318"/>
        <v>58297696.755261004</v>
      </c>
      <c r="F321" t="s">
        <v>31</v>
      </c>
      <c r="G321" t="str">
        <f t="shared" si="338"/>
        <v>photovoltaics</v>
      </c>
      <c r="H321">
        <f t="shared" si="339"/>
        <v>4</v>
      </c>
      <c r="I321">
        <f t="shared" si="340"/>
        <v>7</v>
      </c>
      <c r="J321">
        <f t="shared" si="341"/>
        <v>6</v>
      </c>
      <c r="N321">
        <f t="shared" si="334"/>
        <v>0</v>
      </c>
      <c r="O321" s="155">
        <f t="shared" si="319"/>
        <v>58297696.755261004</v>
      </c>
      <c r="S321" t="str">
        <f t="shared" si="342"/>
        <v>GAS_NEW.POM C&amp;E</v>
      </c>
      <c r="U321" t="str">
        <f t="shared" si="343"/>
        <v>GAS_NEW</v>
      </c>
      <c r="V321" s="167"/>
      <c r="W321" s="168" t="s">
        <v>296</v>
      </c>
      <c r="X321" s="169">
        <v>0.94</v>
      </c>
      <c r="Y321" s="149">
        <v>1.65</v>
      </c>
      <c r="Z321" s="149">
        <v>4.4800000000000004</v>
      </c>
      <c r="AA321" s="149">
        <v>7.21</v>
      </c>
      <c r="AB321" s="149">
        <v>14.89</v>
      </c>
      <c r="AC321" s="149">
        <v>12.87</v>
      </c>
      <c r="AD321" s="149">
        <v>11.809999999999999</v>
      </c>
      <c r="AE321" s="149">
        <v>10.65</v>
      </c>
      <c r="AF321" s="170"/>
    </row>
    <row r="322" spans="2:32">
      <c r="B322" t="str">
        <f t="shared" si="335"/>
        <v>DE0</v>
      </c>
      <c r="C322">
        <f t="shared" si="336"/>
        <v>2050</v>
      </c>
      <c r="D322" t="str">
        <f t="shared" si="337"/>
        <v>SOL_PHO</v>
      </c>
      <c r="E322" s="155">
        <f t="shared" si="318"/>
        <v>83043860.283039391</v>
      </c>
      <c r="F322" t="s">
        <v>31</v>
      </c>
      <c r="G322" t="str">
        <f t="shared" si="338"/>
        <v>photovoltaics</v>
      </c>
      <c r="H322">
        <f t="shared" si="339"/>
        <v>1</v>
      </c>
      <c r="I322">
        <f t="shared" si="340"/>
        <v>8</v>
      </c>
      <c r="J322">
        <f t="shared" si="341"/>
        <v>6</v>
      </c>
      <c r="N322">
        <f t="shared" si="334"/>
        <v>0</v>
      </c>
      <c r="O322" s="155">
        <f t="shared" si="319"/>
        <v>83043860.283039391</v>
      </c>
      <c r="S322" t="str">
        <f t="shared" si="342"/>
        <v>GAS_NEW.POM E</v>
      </c>
      <c r="U322" t="str">
        <f t="shared" si="343"/>
        <v>GAS_NEW</v>
      </c>
      <c r="V322" s="167"/>
      <c r="W322" s="168" t="s">
        <v>143</v>
      </c>
      <c r="X322" s="169">
        <v>0.94</v>
      </c>
      <c r="Y322" s="149">
        <v>1.65</v>
      </c>
      <c r="Z322" s="149">
        <v>2.4700000000000002</v>
      </c>
      <c r="AA322" s="149">
        <v>3.04</v>
      </c>
      <c r="AB322" s="149">
        <v>3.26</v>
      </c>
      <c r="AC322" s="149">
        <v>3.44</v>
      </c>
      <c r="AD322" s="149">
        <v>3.45</v>
      </c>
      <c r="AE322" s="149">
        <v>3.45</v>
      </c>
      <c r="AF322" s="170"/>
    </row>
    <row r="323" spans="2:32">
      <c r="B323" t="str">
        <f t="shared" si="335"/>
        <v>IT0</v>
      </c>
      <c r="C323">
        <f t="shared" si="336"/>
        <v>2050</v>
      </c>
      <c r="D323" t="str">
        <f t="shared" si="337"/>
        <v>SOL_PHO</v>
      </c>
      <c r="E323" s="155">
        <f t="shared" si="318"/>
        <v>87928339.728152603</v>
      </c>
      <c r="F323" t="s">
        <v>31</v>
      </c>
      <c r="G323" t="str">
        <f t="shared" si="338"/>
        <v>photovoltaics</v>
      </c>
      <c r="H323">
        <f t="shared" si="339"/>
        <v>2</v>
      </c>
      <c r="I323">
        <f t="shared" si="340"/>
        <v>8</v>
      </c>
      <c r="J323">
        <f t="shared" si="341"/>
        <v>6</v>
      </c>
      <c r="N323">
        <f t="shared" si="334"/>
        <v>0</v>
      </c>
      <c r="O323" s="155">
        <f t="shared" si="319"/>
        <v>87928339.728152603</v>
      </c>
      <c r="S323" t="str">
        <f t="shared" si="342"/>
        <v>GAS_OIL.POM C</v>
      </c>
      <c r="U323" t="str">
        <f>V323</f>
        <v>GAS_OIL</v>
      </c>
      <c r="V323" s="161" t="s">
        <v>460</v>
      </c>
      <c r="W323" s="161" t="s">
        <v>142</v>
      </c>
      <c r="X323" s="164">
        <v>1.76</v>
      </c>
      <c r="Y323" s="165">
        <v>1.48</v>
      </c>
      <c r="Z323" s="165">
        <v>0.92</v>
      </c>
      <c r="AA323" s="165">
        <v>0.57999999999999996</v>
      </c>
      <c r="AB323" s="165">
        <v>0.32</v>
      </c>
      <c r="AC323" s="165">
        <v>0</v>
      </c>
      <c r="AD323" s="165">
        <v>0</v>
      </c>
      <c r="AE323" s="165">
        <v>0</v>
      </c>
      <c r="AF323" s="166"/>
    </row>
    <row r="324" spans="2:32">
      <c r="B324" t="str">
        <f t="shared" si="335"/>
        <v>AT0</v>
      </c>
      <c r="C324">
        <f t="shared" si="336"/>
        <v>2050</v>
      </c>
      <c r="D324" t="str">
        <f t="shared" si="337"/>
        <v>SOL_PHO</v>
      </c>
      <c r="E324" s="155">
        <f t="shared" si="318"/>
        <v>5059820.4301921697</v>
      </c>
      <c r="F324" t="s">
        <v>31</v>
      </c>
      <c r="G324" t="str">
        <f t="shared" si="338"/>
        <v>photovoltaics</v>
      </c>
      <c r="H324">
        <f t="shared" si="339"/>
        <v>3</v>
      </c>
      <c r="I324">
        <f t="shared" si="340"/>
        <v>8</v>
      </c>
      <c r="J324">
        <f t="shared" si="341"/>
        <v>6</v>
      </c>
      <c r="N324">
        <f t="shared" si="334"/>
        <v>0</v>
      </c>
      <c r="O324" s="155">
        <f t="shared" si="319"/>
        <v>5059820.4301921697</v>
      </c>
      <c r="S324" t="str">
        <f t="shared" si="342"/>
        <v>GAS_OIL.POM C&amp;E</v>
      </c>
      <c r="U324" t="str">
        <f t="shared" si="343"/>
        <v>GAS_OIL</v>
      </c>
      <c r="V324" s="167"/>
      <c r="W324" s="168" t="s">
        <v>296</v>
      </c>
      <c r="X324" s="169">
        <v>1.76</v>
      </c>
      <c r="Y324" s="149">
        <v>1.48</v>
      </c>
      <c r="Z324" s="149">
        <v>0.92</v>
      </c>
      <c r="AA324" s="149">
        <v>0.57999999999999996</v>
      </c>
      <c r="AB324" s="149">
        <v>0.32</v>
      </c>
      <c r="AC324" s="149">
        <v>0</v>
      </c>
      <c r="AD324" s="149">
        <v>0</v>
      </c>
      <c r="AE324" s="149">
        <v>0</v>
      </c>
      <c r="AF324" s="170"/>
    </row>
    <row r="325" spans="2:32">
      <c r="B325" t="str">
        <f t="shared" si="335"/>
        <v>FR0</v>
      </c>
      <c r="C325">
        <f t="shared" si="336"/>
        <v>2050</v>
      </c>
      <c r="D325" t="str">
        <f t="shared" si="337"/>
        <v>SOL_PHO</v>
      </c>
      <c r="E325" s="155">
        <f t="shared" si="318"/>
        <v>77182068.668514609</v>
      </c>
      <c r="F325" t="s">
        <v>31</v>
      </c>
      <c r="G325" t="str">
        <f t="shared" si="338"/>
        <v>photovoltaics</v>
      </c>
      <c r="H325">
        <f t="shared" si="339"/>
        <v>4</v>
      </c>
      <c r="I325">
        <f t="shared" si="340"/>
        <v>8</v>
      </c>
      <c r="J325">
        <f t="shared" si="341"/>
        <v>6</v>
      </c>
      <c r="N325">
        <f t="shared" si="334"/>
        <v>0</v>
      </c>
      <c r="O325" s="155">
        <f t="shared" si="319"/>
        <v>77182068.668514609</v>
      </c>
      <c r="S325" t="str">
        <f t="shared" si="342"/>
        <v>GAS_OIL.POM E</v>
      </c>
      <c r="U325" t="str">
        <f t="shared" si="343"/>
        <v>GAS_OIL</v>
      </c>
      <c r="V325" s="167"/>
      <c r="W325" s="168" t="s">
        <v>143</v>
      </c>
      <c r="X325" s="169">
        <v>1.76</v>
      </c>
      <c r="Y325" s="149">
        <v>1.48</v>
      </c>
      <c r="Z325" s="149">
        <v>0.92</v>
      </c>
      <c r="AA325" s="149">
        <v>0.57999999999999996</v>
      </c>
      <c r="AB325" s="149">
        <v>0.32</v>
      </c>
      <c r="AC325" s="149">
        <v>0</v>
      </c>
      <c r="AD325" s="149">
        <v>0</v>
      </c>
      <c r="AE325" s="149">
        <v>0</v>
      </c>
      <c r="AF325" s="170"/>
    </row>
    <row r="326" spans="2:32">
      <c r="B326" t="str">
        <f t="shared" ref="B326:B333" si="344">INDEX(H$125:H$132,H326)</f>
        <v>DE0</v>
      </c>
      <c r="C326">
        <f t="shared" ref="C326:C333" si="345">INDEX(I$125:I$132,I326)</f>
        <v>2015</v>
      </c>
      <c r="D326" t="str">
        <f t="shared" ref="D326:D333" si="346">INDEX(J$125:J$132,J326)</f>
        <v>OIL_LIN</v>
      </c>
      <c r="E326" s="155">
        <f t="shared" si="318"/>
        <v>987165.88024849549</v>
      </c>
      <c r="F326" t="s">
        <v>31</v>
      </c>
      <c r="G326" t="str">
        <f t="shared" ref="G326:G333" si="347">INDEX(K$125:K$132,J326)</f>
        <v>mineral_oil_heavy</v>
      </c>
      <c r="H326">
        <f t="shared" ref="H326:H333" si="348">IF(H325=$H$124,1,H325+1)</f>
        <v>1</v>
      </c>
      <c r="I326">
        <f t="shared" ref="I326:I333" si="349">IF(H326=1,IF(I325=$I$124,1,I325+1),I325)</f>
        <v>1</v>
      </c>
      <c r="J326">
        <f t="shared" ref="J326:J333" si="350">IF(AND(I326=1,I325&gt;1),IF(J325=$J$124,1,J325+1),J325)</f>
        <v>7</v>
      </c>
      <c r="N326">
        <f t="shared" si="334"/>
        <v>8.5000000000000006E-2</v>
      </c>
      <c r="O326" s="155">
        <f t="shared" si="319"/>
        <v>1078869.81447923</v>
      </c>
      <c r="S326" t="str">
        <f t="shared" si="342"/>
        <v>GEO_ELC.POM C</v>
      </c>
      <c r="U326" t="str">
        <f>V326</f>
        <v>GEO_ELC</v>
      </c>
      <c r="V326" s="161" t="s">
        <v>65</v>
      </c>
      <c r="W326" s="161" t="s">
        <v>142</v>
      </c>
      <c r="X326" s="164">
        <v>0.03</v>
      </c>
      <c r="Y326" s="165">
        <v>0.1</v>
      </c>
      <c r="Z326" s="165">
        <v>0.2</v>
      </c>
      <c r="AA326" s="165">
        <v>0.33</v>
      </c>
      <c r="AB326" s="165">
        <v>0.39</v>
      </c>
      <c r="AC326" s="165">
        <v>0.39</v>
      </c>
      <c r="AD326" s="165">
        <v>0.42</v>
      </c>
      <c r="AE326" s="165">
        <v>0.42</v>
      </c>
      <c r="AF326" s="166"/>
    </row>
    <row r="327" spans="2:32">
      <c r="B327" t="str">
        <f t="shared" si="344"/>
        <v>IT0</v>
      </c>
      <c r="C327">
        <f t="shared" si="345"/>
        <v>2015</v>
      </c>
      <c r="D327" t="str">
        <f t="shared" si="346"/>
        <v>OIL_LIN</v>
      </c>
      <c r="E327" s="155">
        <f t="shared" si="318"/>
        <v>8035037.0145081012</v>
      </c>
      <c r="F327" t="s">
        <v>31</v>
      </c>
      <c r="G327" t="str">
        <f t="shared" si="347"/>
        <v>mineral_oil_heavy</v>
      </c>
      <c r="H327">
        <f t="shared" si="348"/>
        <v>2</v>
      </c>
      <c r="I327">
        <f t="shared" si="349"/>
        <v>1</v>
      </c>
      <c r="J327">
        <f t="shared" si="350"/>
        <v>7</v>
      </c>
      <c r="N327">
        <f t="shared" si="334"/>
        <v>8.5000000000000006E-2</v>
      </c>
      <c r="O327" s="155">
        <f t="shared" si="319"/>
        <v>8781461.2180416398</v>
      </c>
      <c r="S327" t="str">
        <f t="shared" si="342"/>
        <v>GEO_ELC.POM C&amp;E</v>
      </c>
      <c r="U327" t="str">
        <f t="shared" si="343"/>
        <v>GEO_ELC</v>
      </c>
      <c r="V327" s="167"/>
      <c r="W327" s="168" t="s">
        <v>296</v>
      </c>
      <c r="X327" s="169">
        <v>0.1</v>
      </c>
      <c r="Y327" s="149">
        <v>0.2</v>
      </c>
      <c r="Z327" s="149">
        <v>0.39</v>
      </c>
      <c r="AA327" s="149">
        <v>0.78</v>
      </c>
      <c r="AB327" s="149">
        <v>1.43</v>
      </c>
      <c r="AC327" s="149">
        <v>2.41</v>
      </c>
      <c r="AD327" s="149">
        <v>3.48</v>
      </c>
      <c r="AE327" s="149">
        <v>4.3899999999999997</v>
      </c>
      <c r="AF327" s="170"/>
    </row>
    <row r="328" spans="2:32">
      <c r="B328" t="str">
        <f t="shared" si="344"/>
        <v>AT0</v>
      </c>
      <c r="C328">
        <f t="shared" si="345"/>
        <v>2015</v>
      </c>
      <c r="D328" t="str">
        <f t="shared" si="346"/>
        <v>OIL_LIN</v>
      </c>
      <c r="E328" s="155">
        <f t="shared" si="318"/>
        <v>190389.86320823801</v>
      </c>
      <c r="F328" t="s">
        <v>31</v>
      </c>
      <c r="G328" t="str">
        <f t="shared" si="347"/>
        <v>mineral_oil_heavy</v>
      </c>
      <c r="H328">
        <f t="shared" si="348"/>
        <v>3</v>
      </c>
      <c r="I328">
        <f t="shared" si="349"/>
        <v>1</v>
      </c>
      <c r="J328">
        <f t="shared" si="350"/>
        <v>7</v>
      </c>
      <c r="N328">
        <f t="shared" si="334"/>
        <v>8.5000000000000006E-2</v>
      </c>
      <c r="O328" s="155">
        <f t="shared" si="319"/>
        <v>208076.353233047</v>
      </c>
      <c r="S328" t="str">
        <f t="shared" si="342"/>
        <v>GEO_ELC.POM E</v>
      </c>
      <c r="U328" t="str">
        <f t="shared" si="343"/>
        <v>GEO_ELC</v>
      </c>
      <c r="V328" s="167"/>
      <c r="W328" s="168" t="s">
        <v>143</v>
      </c>
      <c r="X328" s="169">
        <v>0.1</v>
      </c>
      <c r="Y328" s="149">
        <v>0.2</v>
      </c>
      <c r="Z328" s="149">
        <v>0.39</v>
      </c>
      <c r="AA328" s="149">
        <v>0.78</v>
      </c>
      <c r="AB328" s="149">
        <v>1.43</v>
      </c>
      <c r="AC328" s="149">
        <v>2.41</v>
      </c>
      <c r="AD328" s="149">
        <v>3.48</v>
      </c>
      <c r="AE328" s="149">
        <v>4.3899999999999997</v>
      </c>
      <c r="AF328" s="170"/>
    </row>
    <row r="329" spans="2:32">
      <c r="B329" t="str">
        <f t="shared" si="344"/>
        <v>FR0</v>
      </c>
      <c r="C329">
        <f t="shared" si="345"/>
        <v>2015</v>
      </c>
      <c r="D329" t="str">
        <f t="shared" si="346"/>
        <v>OIL_LIN</v>
      </c>
      <c r="E329" s="155">
        <f t="shared" si="318"/>
        <v>471950.59866921412</v>
      </c>
      <c r="F329" t="s">
        <v>31</v>
      </c>
      <c r="G329" t="str">
        <f t="shared" si="347"/>
        <v>mineral_oil_heavy</v>
      </c>
      <c r="H329">
        <f t="shared" si="348"/>
        <v>4</v>
      </c>
      <c r="I329">
        <f t="shared" si="349"/>
        <v>1</v>
      </c>
      <c r="J329">
        <f t="shared" si="350"/>
        <v>7</v>
      </c>
      <c r="N329">
        <f t="shared" si="334"/>
        <v>8.5000000000000006E-2</v>
      </c>
      <c r="O329" s="155">
        <f t="shared" si="319"/>
        <v>515793.00401007006</v>
      </c>
      <c r="S329" t="str">
        <f t="shared" si="342"/>
        <v>HYD_STO_TRUE.POM C</v>
      </c>
      <c r="U329" t="str">
        <f>V329</f>
        <v>HYD_STO_TRUE</v>
      </c>
      <c r="V329" s="161" t="s">
        <v>461</v>
      </c>
      <c r="W329" s="161" t="s">
        <v>142</v>
      </c>
      <c r="X329" s="164">
        <v>4.34</v>
      </c>
      <c r="Y329" s="165">
        <v>7.54</v>
      </c>
      <c r="Z329" s="165">
        <v>7.54</v>
      </c>
      <c r="AA329" s="165">
        <v>7.54</v>
      </c>
      <c r="AB329" s="165">
        <v>7.54</v>
      </c>
      <c r="AC329" s="165">
        <v>7.54</v>
      </c>
      <c r="AD329" s="165">
        <v>7.54</v>
      </c>
      <c r="AE329" s="165">
        <v>7.54</v>
      </c>
      <c r="AF329" s="166"/>
    </row>
    <row r="330" spans="2:32">
      <c r="B330" t="str">
        <f t="shared" si="344"/>
        <v>DE0</v>
      </c>
      <c r="C330">
        <f t="shared" si="345"/>
        <v>2020</v>
      </c>
      <c r="D330" t="str">
        <f t="shared" si="346"/>
        <v>OIL_LIN</v>
      </c>
      <c r="E330" s="155">
        <f t="shared" si="318"/>
        <v>861092.9683437401</v>
      </c>
      <c r="F330" t="s">
        <v>31</v>
      </c>
      <c r="G330" t="str">
        <f t="shared" si="347"/>
        <v>mineral_oil_heavy</v>
      </c>
      <c r="H330">
        <f t="shared" si="348"/>
        <v>1</v>
      </c>
      <c r="I330">
        <f t="shared" si="349"/>
        <v>2</v>
      </c>
      <c r="J330">
        <f t="shared" si="350"/>
        <v>7</v>
      </c>
      <c r="N330">
        <f t="shared" si="334"/>
        <v>8.5000000000000006E-2</v>
      </c>
      <c r="O330" s="155">
        <f t="shared" si="319"/>
        <v>941085.21130463399</v>
      </c>
      <c r="S330" t="str">
        <f t="shared" si="342"/>
        <v>HYD_STO_TRUE.POM C&amp;E</v>
      </c>
      <c r="U330" t="str">
        <f t="shared" si="343"/>
        <v>HYD_STO_TRUE</v>
      </c>
      <c r="V330" s="167"/>
      <c r="W330" s="168" t="s">
        <v>296</v>
      </c>
      <c r="X330" s="169">
        <v>4.34</v>
      </c>
      <c r="Y330" s="149">
        <v>7.54</v>
      </c>
      <c r="Z330" s="149">
        <v>7.54</v>
      </c>
      <c r="AA330" s="149">
        <v>7.54</v>
      </c>
      <c r="AB330" s="149">
        <v>7.54</v>
      </c>
      <c r="AC330" s="149">
        <v>7.54</v>
      </c>
      <c r="AD330" s="149">
        <v>7.54</v>
      </c>
      <c r="AE330" s="149">
        <v>7.54</v>
      </c>
      <c r="AF330" s="170"/>
    </row>
    <row r="331" spans="2:32">
      <c r="B331" t="str">
        <f t="shared" si="344"/>
        <v>IT0</v>
      </c>
      <c r="C331">
        <f t="shared" si="345"/>
        <v>2020</v>
      </c>
      <c r="D331" t="str">
        <f t="shared" si="346"/>
        <v>OIL_LIN</v>
      </c>
      <c r="E331" s="155">
        <f t="shared" si="318"/>
        <v>7129057.7961110668</v>
      </c>
      <c r="F331" t="s">
        <v>31</v>
      </c>
      <c r="G331" t="str">
        <f t="shared" si="347"/>
        <v>mineral_oil_heavy</v>
      </c>
      <c r="H331">
        <f t="shared" si="348"/>
        <v>2</v>
      </c>
      <c r="I331">
        <f t="shared" si="349"/>
        <v>2</v>
      </c>
      <c r="J331">
        <f t="shared" si="350"/>
        <v>7</v>
      </c>
      <c r="N331">
        <f t="shared" si="334"/>
        <v>8.5000000000000006E-2</v>
      </c>
      <c r="O331" s="155">
        <f t="shared" si="319"/>
        <v>7791319.9957497995</v>
      </c>
      <c r="S331" t="str">
        <f t="shared" si="342"/>
        <v>HYD_STO_TRUE.POM E</v>
      </c>
      <c r="U331" t="str">
        <f t="shared" si="343"/>
        <v>HYD_STO_TRUE</v>
      </c>
      <c r="V331" s="167"/>
      <c r="W331" s="168" t="s">
        <v>143</v>
      </c>
      <c r="X331" s="169">
        <v>4.34</v>
      </c>
      <c r="Y331" s="149">
        <v>7.54</v>
      </c>
      <c r="Z331" s="149">
        <v>7.54</v>
      </c>
      <c r="AA331" s="149">
        <v>7.54</v>
      </c>
      <c r="AB331" s="149">
        <v>7.54</v>
      </c>
      <c r="AC331" s="149">
        <v>7.54</v>
      </c>
      <c r="AD331" s="149">
        <v>7.54</v>
      </c>
      <c r="AE331" s="149">
        <v>7.54</v>
      </c>
      <c r="AF331" s="170"/>
    </row>
    <row r="332" spans="2:32">
      <c r="B332" t="str">
        <f t="shared" si="344"/>
        <v>AT0</v>
      </c>
      <c r="C332">
        <f t="shared" si="345"/>
        <v>2020</v>
      </c>
      <c r="D332" t="str">
        <f t="shared" si="346"/>
        <v>OIL_LIN</v>
      </c>
      <c r="E332" s="155">
        <f t="shared" ref="E332:E395" si="351">O332*(1-N332)</f>
        <v>197091.88101221155</v>
      </c>
      <c r="F332" t="s">
        <v>31</v>
      </c>
      <c r="G332" t="str">
        <f t="shared" si="347"/>
        <v>mineral_oil_heavy</v>
      </c>
      <c r="H332">
        <f t="shared" si="348"/>
        <v>3</v>
      </c>
      <c r="I332">
        <f t="shared" si="349"/>
        <v>2</v>
      </c>
      <c r="J332">
        <f t="shared" si="350"/>
        <v>7</v>
      </c>
      <c r="N332">
        <f t="shared" si="334"/>
        <v>8.5000000000000006E-2</v>
      </c>
      <c r="O332" s="155">
        <f t="shared" ref="O332:O395" si="352">INDEX($W$21:$AE$249,MATCH(B332&amp;"."&amp;D332,$AH$21:$AH$249,0),MATCH(C332,$W$20:$AE$20,0))</f>
        <v>215400.96285487601</v>
      </c>
      <c r="S332" t="str">
        <f t="shared" si="342"/>
        <v>HYD_TOT.POM C</v>
      </c>
      <c r="U332" t="str">
        <f>V332</f>
        <v>HYD_TOT</v>
      </c>
      <c r="V332" s="161" t="s">
        <v>145</v>
      </c>
      <c r="W332" s="161" t="s">
        <v>142</v>
      </c>
      <c r="X332" s="164">
        <v>36.950000000000003</v>
      </c>
      <c r="Y332" s="165">
        <v>36.869999999999997</v>
      </c>
      <c r="Z332" s="165">
        <v>36.83</v>
      </c>
      <c r="AA332" s="165">
        <v>36.75</v>
      </c>
      <c r="AB332" s="165">
        <v>36.54</v>
      </c>
      <c r="AC332" s="165">
        <v>36.409999999999997</v>
      </c>
      <c r="AD332" s="165">
        <v>35.85</v>
      </c>
      <c r="AE332" s="165">
        <v>35.57</v>
      </c>
      <c r="AF332" s="166"/>
    </row>
    <row r="333" spans="2:32">
      <c r="B333" t="str">
        <f t="shared" si="344"/>
        <v>FR0</v>
      </c>
      <c r="C333">
        <f t="shared" si="345"/>
        <v>2020</v>
      </c>
      <c r="D333" t="str">
        <f t="shared" si="346"/>
        <v>OIL_LIN</v>
      </c>
      <c r="E333" s="155">
        <f t="shared" si="351"/>
        <v>0</v>
      </c>
      <c r="F333" t="s">
        <v>31</v>
      </c>
      <c r="G333" t="str">
        <f t="shared" si="347"/>
        <v>mineral_oil_heavy</v>
      </c>
      <c r="H333">
        <f t="shared" si="348"/>
        <v>4</v>
      </c>
      <c r="I333">
        <f t="shared" si="349"/>
        <v>2</v>
      </c>
      <c r="J333">
        <f t="shared" si="350"/>
        <v>7</v>
      </c>
      <c r="N333">
        <f t="shared" si="334"/>
        <v>8.5000000000000006E-2</v>
      </c>
      <c r="O333" s="155">
        <f t="shared" si="352"/>
        <v>0</v>
      </c>
      <c r="S333" t="str">
        <f t="shared" si="342"/>
        <v>HYD_TOT.POM C&amp;E</v>
      </c>
      <c r="U333" t="str">
        <f t="shared" si="343"/>
        <v>HYD_TOT</v>
      </c>
      <c r="V333" s="167"/>
      <c r="W333" s="168" t="s">
        <v>296</v>
      </c>
      <c r="X333" s="169">
        <v>36.950000000000003</v>
      </c>
      <c r="Y333" s="149">
        <v>36.869999999999997</v>
      </c>
      <c r="Z333" s="149">
        <v>36.83</v>
      </c>
      <c r="AA333" s="149">
        <v>36.75</v>
      </c>
      <c r="AB333" s="149">
        <v>36.54</v>
      </c>
      <c r="AC333" s="149">
        <v>36.409999999999997</v>
      </c>
      <c r="AD333" s="149">
        <v>35.85</v>
      </c>
      <c r="AE333" s="149">
        <v>35.57</v>
      </c>
      <c r="AF333" s="170"/>
    </row>
    <row r="334" spans="2:32">
      <c r="B334" t="str">
        <f t="shared" ref="B334:B349" si="353">INDEX(H$125:H$132,H334)</f>
        <v>DE0</v>
      </c>
      <c r="C334">
        <f t="shared" ref="C334:C349" si="354">INDEX(I$125:I$132,I334)</f>
        <v>2025</v>
      </c>
      <c r="D334" t="str">
        <f t="shared" ref="D334:D349" si="355">INDEX(J$125:J$132,J334)</f>
        <v>OIL_LIN</v>
      </c>
      <c r="E334" s="155">
        <f t="shared" si="351"/>
        <v>1827681.9480824457</v>
      </c>
      <c r="F334" t="s">
        <v>31</v>
      </c>
      <c r="G334" t="str">
        <f t="shared" ref="G334:G349" si="356">INDEX(K$125:K$132,J334)</f>
        <v>mineral_oil_heavy</v>
      </c>
      <c r="H334">
        <f t="shared" ref="H334:H349" si="357">IF(H333=$H$124,1,H333+1)</f>
        <v>1</v>
      </c>
      <c r="I334">
        <f t="shared" ref="I334:I349" si="358">IF(H334=1,IF(I333=$I$124,1,I333+1),I333)</f>
        <v>3</v>
      </c>
      <c r="J334">
        <f t="shared" ref="J334:J349" si="359">IF(AND(I334=1,I333&gt;1),IF(J333=$J$124,1,J333+1),J333)</f>
        <v>7</v>
      </c>
      <c r="N334">
        <f t="shared" si="334"/>
        <v>8.5000000000000006E-2</v>
      </c>
      <c r="O334" s="155">
        <f t="shared" si="352"/>
        <v>1997466.60992617</v>
      </c>
      <c r="S334" t="str">
        <f t="shared" si="342"/>
        <v>HYD_TOT.POM E</v>
      </c>
      <c r="U334" t="str">
        <f t="shared" si="343"/>
        <v>HYD_TOT</v>
      </c>
      <c r="V334" s="167"/>
      <c r="W334" s="168" t="s">
        <v>143</v>
      </c>
      <c r="X334" s="169">
        <v>36.950000000000003</v>
      </c>
      <c r="Y334" s="149">
        <v>36.869999999999997</v>
      </c>
      <c r="Z334" s="149">
        <v>36.83</v>
      </c>
      <c r="AA334" s="149">
        <v>36.75</v>
      </c>
      <c r="AB334" s="149">
        <v>36.54</v>
      </c>
      <c r="AC334" s="149">
        <v>36.409999999999997</v>
      </c>
      <c r="AD334" s="149">
        <v>35.85</v>
      </c>
      <c r="AE334" s="149">
        <v>35.57</v>
      </c>
      <c r="AF334" s="170"/>
    </row>
    <row r="335" spans="2:32">
      <c r="B335" t="str">
        <f t="shared" si="353"/>
        <v>IT0</v>
      </c>
      <c r="C335">
        <f t="shared" si="354"/>
        <v>2025</v>
      </c>
      <c r="D335" t="str">
        <f t="shared" si="355"/>
        <v>OIL_LIN</v>
      </c>
      <c r="E335" s="155">
        <f t="shared" si="351"/>
        <v>7328282.5729993172</v>
      </c>
      <c r="F335" t="s">
        <v>31</v>
      </c>
      <c r="G335" t="str">
        <f t="shared" si="356"/>
        <v>mineral_oil_heavy</v>
      </c>
      <c r="H335">
        <f t="shared" si="357"/>
        <v>2</v>
      </c>
      <c r="I335">
        <f t="shared" si="358"/>
        <v>3</v>
      </c>
      <c r="J335">
        <f t="shared" si="359"/>
        <v>7</v>
      </c>
      <c r="N335">
        <f t="shared" si="334"/>
        <v>8.5000000000000006E-2</v>
      </c>
      <c r="O335" s="155">
        <f t="shared" si="352"/>
        <v>8009051.9923489802</v>
      </c>
      <c r="S335" t="str">
        <f t="shared" si="342"/>
        <v>NUC_ELC.POM C</v>
      </c>
      <c r="U335" t="str">
        <f>V335</f>
        <v>NUC_ELC</v>
      </c>
      <c r="V335" s="161" t="s">
        <v>95</v>
      </c>
      <c r="W335" s="161" t="s">
        <v>142</v>
      </c>
      <c r="X335" s="164">
        <v>24.58</v>
      </c>
      <c r="Y335" s="165">
        <v>21.68</v>
      </c>
      <c r="Z335" s="165">
        <v>15.98</v>
      </c>
      <c r="AA335" s="165">
        <v>8.81</v>
      </c>
      <c r="AB335" s="165">
        <v>0</v>
      </c>
      <c r="AC335" s="165">
        <v>0</v>
      </c>
      <c r="AD335" s="165">
        <v>0</v>
      </c>
      <c r="AE335" s="165">
        <v>0</v>
      </c>
      <c r="AF335" s="166"/>
    </row>
    <row r="336" spans="2:32">
      <c r="B336" t="str">
        <f t="shared" si="353"/>
        <v>AT0</v>
      </c>
      <c r="C336">
        <f t="shared" si="354"/>
        <v>2025</v>
      </c>
      <c r="D336" t="str">
        <f t="shared" si="355"/>
        <v>OIL_LIN</v>
      </c>
      <c r="E336" s="155">
        <f t="shared" si="351"/>
        <v>70482.022992383689</v>
      </c>
      <c r="F336" t="s">
        <v>31</v>
      </c>
      <c r="G336" t="str">
        <f t="shared" si="356"/>
        <v>mineral_oil_heavy</v>
      </c>
      <c r="H336">
        <f t="shared" si="357"/>
        <v>3</v>
      </c>
      <c r="I336">
        <f t="shared" si="358"/>
        <v>3</v>
      </c>
      <c r="J336">
        <f t="shared" si="359"/>
        <v>7</v>
      </c>
      <c r="N336">
        <f t="shared" ref="N336:N357" si="360">INDEX($AJ$21:$AJ$249,MATCH(B336&amp;"."&amp;D336,$AH$21:$AH$249,0))</f>
        <v>8.5000000000000006E-2</v>
      </c>
      <c r="O336" s="155">
        <f t="shared" si="352"/>
        <v>77029.533325009499</v>
      </c>
      <c r="S336" t="str">
        <f t="shared" si="342"/>
        <v>NUC_ELC.POM C&amp;E</v>
      </c>
      <c r="U336" t="str">
        <f t="shared" si="343"/>
        <v>NUC_ELC</v>
      </c>
      <c r="V336" s="167"/>
      <c r="W336" s="168" t="s">
        <v>296</v>
      </c>
      <c r="X336" s="169">
        <v>24.58</v>
      </c>
      <c r="Y336" s="149">
        <v>21.68</v>
      </c>
      <c r="Z336" s="149">
        <v>15.98</v>
      </c>
      <c r="AA336" s="149">
        <v>8.81</v>
      </c>
      <c r="AB336" s="149">
        <v>0</v>
      </c>
      <c r="AC336" s="149">
        <v>0</v>
      </c>
      <c r="AD336" s="149">
        <v>0</v>
      </c>
      <c r="AE336" s="149">
        <v>0</v>
      </c>
      <c r="AF336" s="170"/>
    </row>
    <row r="337" spans="2:32">
      <c r="B337" t="str">
        <f t="shared" si="353"/>
        <v>FR0</v>
      </c>
      <c r="C337">
        <f t="shared" si="354"/>
        <v>2025</v>
      </c>
      <c r="D337" t="str">
        <f t="shared" si="355"/>
        <v>OIL_LIN</v>
      </c>
      <c r="E337" s="155">
        <f t="shared" si="351"/>
        <v>308290.54717534827</v>
      </c>
      <c r="F337" t="s">
        <v>31</v>
      </c>
      <c r="G337" t="str">
        <f t="shared" si="356"/>
        <v>mineral_oil_heavy</v>
      </c>
      <c r="H337">
        <f t="shared" si="357"/>
        <v>4</v>
      </c>
      <c r="I337">
        <f t="shared" si="358"/>
        <v>3</v>
      </c>
      <c r="J337">
        <f t="shared" si="359"/>
        <v>7</v>
      </c>
      <c r="N337">
        <f t="shared" si="360"/>
        <v>8.5000000000000006E-2</v>
      </c>
      <c r="O337" s="155">
        <f t="shared" si="352"/>
        <v>336929.55975447898</v>
      </c>
      <c r="S337" t="str">
        <f t="shared" si="342"/>
        <v>NUC_ELC.POM E</v>
      </c>
      <c r="U337" t="str">
        <f t="shared" si="343"/>
        <v>NUC_ELC</v>
      </c>
      <c r="V337" s="167"/>
      <c r="W337" s="168" t="s">
        <v>143</v>
      </c>
      <c r="X337" s="169">
        <v>24.58</v>
      </c>
      <c r="Y337" s="149">
        <v>21.68</v>
      </c>
      <c r="Z337" s="149">
        <v>15.98</v>
      </c>
      <c r="AA337" s="149">
        <v>8.81</v>
      </c>
      <c r="AB337" s="149">
        <v>0</v>
      </c>
      <c r="AC337" s="149">
        <v>0</v>
      </c>
      <c r="AD337" s="149">
        <v>0</v>
      </c>
      <c r="AE337" s="149">
        <v>0</v>
      </c>
      <c r="AF337" s="170"/>
    </row>
    <row r="338" spans="2:32">
      <c r="B338" t="str">
        <f t="shared" si="353"/>
        <v>DE0</v>
      </c>
      <c r="C338">
        <f t="shared" si="354"/>
        <v>2030</v>
      </c>
      <c r="D338" t="str">
        <f t="shared" si="355"/>
        <v>OIL_LIN</v>
      </c>
      <c r="E338" s="155">
        <f t="shared" si="351"/>
        <v>2796386.7184260576</v>
      </c>
      <c r="F338" t="s">
        <v>31</v>
      </c>
      <c r="G338" t="str">
        <f t="shared" si="356"/>
        <v>mineral_oil_heavy</v>
      </c>
      <c r="H338">
        <f t="shared" si="357"/>
        <v>1</v>
      </c>
      <c r="I338">
        <f t="shared" si="358"/>
        <v>4</v>
      </c>
      <c r="J338">
        <f t="shared" si="359"/>
        <v>7</v>
      </c>
      <c r="N338">
        <f t="shared" si="360"/>
        <v>8.5000000000000006E-2</v>
      </c>
      <c r="O338" s="155">
        <f t="shared" si="352"/>
        <v>3056160.3480066201</v>
      </c>
      <c r="S338" t="str">
        <f t="shared" si="342"/>
        <v>SOL_PHO.POM C</v>
      </c>
      <c r="U338" t="str">
        <f>V338</f>
        <v>SOL_PHO</v>
      </c>
      <c r="V338" s="161" t="s">
        <v>105</v>
      </c>
      <c r="W338" s="161" t="s">
        <v>142</v>
      </c>
      <c r="X338" s="164">
        <v>0.21</v>
      </c>
      <c r="Y338" s="165">
        <v>0.34</v>
      </c>
      <c r="Z338" s="165">
        <v>0.55000000000000004</v>
      </c>
      <c r="AA338" s="165">
        <v>0.96</v>
      </c>
      <c r="AB338" s="165">
        <v>2.52</v>
      </c>
      <c r="AC338" s="165">
        <v>3.48</v>
      </c>
      <c r="AD338" s="165">
        <v>4.7300000000000004</v>
      </c>
      <c r="AE338" s="165">
        <v>5.92</v>
      </c>
      <c r="AF338" s="166"/>
    </row>
    <row r="339" spans="2:32">
      <c r="B339" t="str">
        <f t="shared" si="353"/>
        <v>IT0</v>
      </c>
      <c r="C339">
        <f t="shared" si="354"/>
        <v>2030</v>
      </c>
      <c r="D339" t="str">
        <f t="shared" si="355"/>
        <v>OIL_LIN</v>
      </c>
      <c r="E339" s="155">
        <f t="shared" si="351"/>
        <v>7100329.7229917385</v>
      </c>
      <c r="F339" t="s">
        <v>31</v>
      </c>
      <c r="G339" t="str">
        <f t="shared" si="356"/>
        <v>mineral_oil_heavy</v>
      </c>
      <c r="H339">
        <f t="shared" si="357"/>
        <v>2</v>
      </c>
      <c r="I339">
        <f t="shared" si="358"/>
        <v>4</v>
      </c>
      <c r="J339">
        <f t="shared" si="359"/>
        <v>7</v>
      </c>
      <c r="N339">
        <f t="shared" si="360"/>
        <v>8.5000000000000006E-2</v>
      </c>
      <c r="O339" s="155">
        <f t="shared" si="352"/>
        <v>7759923.1945264898</v>
      </c>
      <c r="S339" t="str">
        <f t="shared" si="342"/>
        <v>SOL_PHO.POM C&amp;E</v>
      </c>
      <c r="U339" t="str">
        <f t="shared" si="343"/>
        <v>SOL_PHO</v>
      </c>
      <c r="V339" s="167"/>
      <c r="W339" s="168" t="s">
        <v>296</v>
      </c>
      <c r="X339" s="169">
        <v>0.28000000000000003</v>
      </c>
      <c r="Y339" s="149">
        <v>0.52</v>
      </c>
      <c r="Z339" s="149">
        <v>0.98</v>
      </c>
      <c r="AA339" s="149">
        <v>1.91</v>
      </c>
      <c r="AB339" s="149">
        <v>4.4400000000000004</v>
      </c>
      <c r="AC339" s="149">
        <v>6.74</v>
      </c>
      <c r="AD339" s="149">
        <v>9.23</v>
      </c>
      <c r="AE339" s="149">
        <v>11.12</v>
      </c>
      <c r="AF339" s="170"/>
    </row>
    <row r="340" spans="2:32">
      <c r="B340" t="str">
        <f t="shared" si="353"/>
        <v>AT0</v>
      </c>
      <c r="C340">
        <f t="shared" si="354"/>
        <v>2030</v>
      </c>
      <c r="D340" t="str">
        <f t="shared" si="355"/>
        <v>OIL_LIN</v>
      </c>
      <c r="E340" s="155">
        <f t="shared" si="351"/>
        <v>61684.405139864481</v>
      </c>
      <c r="F340" t="s">
        <v>31</v>
      </c>
      <c r="G340" t="str">
        <f t="shared" si="356"/>
        <v>mineral_oil_heavy</v>
      </c>
      <c r="H340">
        <f t="shared" si="357"/>
        <v>3</v>
      </c>
      <c r="I340">
        <f t="shared" si="358"/>
        <v>4</v>
      </c>
      <c r="J340">
        <f t="shared" si="359"/>
        <v>7</v>
      </c>
      <c r="N340">
        <f t="shared" si="360"/>
        <v>8.5000000000000006E-2</v>
      </c>
      <c r="O340" s="155">
        <f t="shared" si="352"/>
        <v>67414.650426081396</v>
      </c>
      <c r="S340" t="str">
        <f t="shared" si="342"/>
        <v>SOL_PHO.POM E</v>
      </c>
      <c r="U340" t="str">
        <f t="shared" si="343"/>
        <v>SOL_PHO</v>
      </c>
      <c r="V340" s="167"/>
      <c r="W340" s="168" t="s">
        <v>143</v>
      </c>
      <c r="X340" s="169">
        <v>0.28000000000000003</v>
      </c>
      <c r="Y340" s="149">
        <v>0.52</v>
      </c>
      <c r="Z340" s="149">
        <v>0.98</v>
      </c>
      <c r="AA340" s="149">
        <v>1.91</v>
      </c>
      <c r="AB340" s="149">
        <v>4.4400000000000004</v>
      </c>
      <c r="AC340" s="149">
        <v>6.74</v>
      </c>
      <c r="AD340" s="149">
        <v>9.23</v>
      </c>
      <c r="AE340" s="149">
        <v>11.12</v>
      </c>
      <c r="AF340" s="170"/>
    </row>
    <row r="341" spans="2:32">
      <c r="B341" t="str">
        <f t="shared" si="353"/>
        <v>FR0</v>
      </c>
      <c r="C341">
        <f t="shared" si="354"/>
        <v>2030</v>
      </c>
      <c r="D341" t="str">
        <f t="shared" si="355"/>
        <v>OIL_LIN</v>
      </c>
      <c r="E341" s="155">
        <f t="shared" si="351"/>
        <v>311630.37994715961</v>
      </c>
      <c r="F341" t="s">
        <v>31</v>
      </c>
      <c r="G341" t="str">
        <f t="shared" si="356"/>
        <v>mineral_oil_heavy</v>
      </c>
      <c r="H341">
        <f t="shared" si="357"/>
        <v>4</v>
      </c>
      <c r="I341">
        <f t="shared" si="358"/>
        <v>4</v>
      </c>
      <c r="J341">
        <f t="shared" si="359"/>
        <v>7</v>
      </c>
      <c r="N341">
        <f t="shared" si="360"/>
        <v>8.5000000000000006E-2</v>
      </c>
      <c r="O341" s="155">
        <f t="shared" si="352"/>
        <v>340579.65021547501</v>
      </c>
      <c r="S341" t="str">
        <f t="shared" si="342"/>
        <v>WAS_ELC.POM C</v>
      </c>
      <c r="U341" t="str">
        <f>V341</f>
        <v>WAS_ELC</v>
      </c>
      <c r="V341" s="161" t="s">
        <v>110</v>
      </c>
      <c r="W341" s="161" t="s">
        <v>142</v>
      </c>
      <c r="X341" s="164">
        <v>1.88</v>
      </c>
      <c r="Y341" s="165">
        <v>1.88</v>
      </c>
      <c r="Z341" s="165">
        <v>1.94</v>
      </c>
      <c r="AA341" s="165">
        <v>1.96</v>
      </c>
      <c r="AB341" s="165">
        <v>1.96</v>
      </c>
      <c r="AC341" s="165">
        <v>1.98</v>
      </c>
      <c r="AD341" s="165">
        <v>1.98</v>
      </c>
      <c r="AE341" s="165">
        <v>1.98</v>
      </c>
      <c r="AF341" s="166"/>
    </row>
    <row r="342" spans="2:32">
      <c r="B342" t="str">
        <f t="shared" si="353"/>
        <v>DE0</v>
      </c>
      <c r="C342">
        <f t="shared" si="354"/>
        <v>2035</v>
      </c>
      <c r="D342" t="str">
        <f t="shared" si="355"/>
        <v>OIL_LIN</v>
      </c>
      <c r="E342" s="155">
        <f t="shared" si="351"/>
        <v>3071606.0658979146</v>
      </c>
      <c r="F342" t="s">
        <v>31</v>
      </c>
      <c r="G342" t="str">
        <f t="shared" si="356"/>
        <v>mineral_oil_heavy</v>
      </c>
      <c r="H342">
        <f t="shared" si="357"/>
        <v>1</v>
      </c>
      <c r="I342">
        <f t="shared" si="358"/>
        <v>5</v>
      </c>
      <c r="J342">
        <f t="shared" si="359"/>
        <v>7</v>
      </c>
      <c r="N342">
        <f t="shared" si="360"/>
        <v>8.5000000000000006E-2</v>
      </c>
      <c r="O342" s="155">
        <f t="shared" si="352"/>
        <v>3356946.5201070104</v>
      </c>
      <c r="S342" t="str">
        <f t="shared" si="342"/>
        <v>WAS_ELC.POM C&amp;E</v>
      </c>
      <c r="U342" t="str">
        <f t="shared" si="343"/>
        <v>WAS_ELC</v>
      </c>
      <c r="V342" s="167"/>
      <c r="W342" s="168" t="s">
        <v>296</v>
      </c>
      <c r="X342" s="169">
        <v>1.98</v>
      </c>
      <c r="Y342" s="149">
        <v>2.2000000000000002</v>
      </c>
      <c r="Z342" s="149">
        <v>2.46</v>
      </c>
      <c r="AA342" s="149">
        <v>2.64</v>
      </c>
      <c r="AB342" s="149">
        <v>2.64</v>
      </c>
      <c r="AC342" s="149">
        <v>2.66</v>
      </c>
      <c r="AD342" s="149">
        <v>2.66</v>
      </c>
      <c r="AE342" s="149">
        <v>2.66</v>
      </c>
      <c r="AF342" s="170"/>
    </row>
    <row r="343" spans="2:32">
      <c r="B343" t="str">
        <f t="shared" si="353"/>
        <v>IT0</v>
      </c>
      <c r="C343">
        <f t="shared" si="354"/>
        <v>2035</v>
      </c>
      <c r="D343" t="str">
        <f t="shared" si="355"/>
        <v>OIL_LIN</v>
      </c>
      <c r="E343" s="155">
        <f t="shared" si="351"/>
        <v>4636287.6580170961</v>
      </c>
      <c r="F343" t="s">
        <v>31</v>
      </c>
      <c r="G343" t="str">
        <f t="shared" si="356"/>
        <v>mineral_oil_heavy</v>
      </c>
      <c r="H343">
        <f t="shared" si="357"/>
        <v>2</v>
      </c>
      <c r="I343">
        <f t="shared" si="358"/>
        <v>5</v>
      </c>
      <c r="J343">
        <f t="shared" si="359"/>
        <v>7</v>
      </c>
      <c r="N343">
        <f t="shared" si="360"/>
        <v>8.5000000000000006E-2</v>
      </c>
      <c r="O343" s="155">
        <f t="shared" si="352"/>
        <v>5066981.0470132194</v>
      </c>
      <c r="S343" t="str">
        <f t="shared" si="342"/>
        <v>WAS_ELC.POM E</v>
      </c>
      <c r="U343" t="str">
        <f t="shared" si="343"/>
        <v>WAS_ELC</v>
      </c>
      <c r="V343" s="167"/>
      <c r="W343" s="168" t="s">
        <v>143</v>
      </c>
      <c r="X343" s="169">
        <v>1.98</v>
      </c>
      <c r="Y343" s="149">
        <v>2.2000000000000002</v>
      </c>
      <c r="Z343" s="149">
        <v>2.46</v>
      </c>
      <c r="AA343" s="149">
        <v>2.64</v>
      </c>
      <c r="AB343" s="149">
        <v>2.64</v>
      </c>
      <c r="AC343" s="149">
        <v>2.66</v>
      </c>
      <c r="AD343" s="149">
        <v>2.66</v>
      </c>
      <c r="AE343" s="149">
        <v>2.66</v>
      </c>
      <c r="AF343" s="170"/>
    </row>
    <row r="344" spans="2:32">
      <c r="B344" t="str">
        <f t="shared" si="353"/>
        <v>AT0</v>
      </c>
      <c r="C344">
        <f t="shared" si="354"/>
        <v>2035</v>
      </c>
      <c r="D344" t="str">
        <f t="shared" si="355"/>
        <v>OIL_LIN</v>
      </c>
      <c r="E344" s="155">
        <f t="shared" si="351"/>
        <v>58249.549310686249</v>
      </c>
      <c r="F344" t="s">
        <v>31</v>
      </c>
      <c r="G344" t="str">
        <f t="shared" si="356"/>
        <v>mineral_oil_heavy</v>
      </c>
      <c r="H344">
        <f t="shared" si="357"/>
        <v>3</v>
      </c>
      <c r="I344">
        <f t="shared" si="358"/>
        <v>5</v>
      </c>
      <c r="J344">
        <f t="shared" si="359"/>
        <v>7</v>
      </c>
      <c r="N344">
        <f t="shared" si="360"/>
        <v>8.5000000000000006E-2</v>
      </c>
      <c r="O344" s="155">
        <f t="shared" si="352"/>
        <v>63660.7096291653</v>
      </c>
      <c r="S344" t="str">
        <f t="shared" si="342"/>
        <v>WIN_ONS.POM C</v>
      </c>
      <c r="U344" t="str">
        <f>V344</f>
        <v>WIN_ONS</v>
      </c>
      <c r="V344" s="161" t="s">
        <v>120</v>
      </c>
      <c r="W344" s="161" t="s">
        <v>142</v>
      </c>
      <c r="X344" s="164">
        <v>0.09</v>
      </c>
      <c r="Y344" s="165">
        <v>0.14000000000000001</v>
      </c>
      <c r="Z344" s="165">
        <v>0.25</v>
      </c>
      <c r="AA344" s="165">
        <v>0.56999999999999995</v>
      </c>
      <c r="AB344" s="165">
        <v>0.77</v>
      </c>
      <c r="AC344" s="165">
        <v>1.02</v>
      </c>
      <c r="AD344" s="165">
        <v>1.25</v>
      </c>
      <c r="AE344" s="165">
        <v>1.41</v>
      </c>
      <c r="AF344" s="166"/>
    </row>
    <row r="345" spans="2:32">
      <c r="B345" t="str">
        <f t="shared" si="353"/>
        <v>FR0</v>
      </c>
      <c r="C345">
        <f t="shared" si="354"/>
        <v>2035</v>
      </c>
      <c r="D345" t="str">
        <f t="shared" si="355"/>
        <v>OIL_LIN</v>
      </c>
      <c r="E345" s="155">
        <f t="shared" si="351"/>
        <v>222341.30037995559</v>
      </c>
      <c r="F345" t="s">
        <v>31</v>
      </c>
      <c r="G345" t="str">
        <f t="shared" si="356"/>
        <v>mineral_oil_heavy</v>
      </c>
      <c r="H345">
        <f t="shared" si="357"/>
        <v>4</v>
      </c>
      <c r="I345">
        <f t="shared" si="358"/>
        <v>5</v>
      </c>
      <c r="J345">
        <f t="shared" si="359"/>
        <v>7</v>
      </c>
      <c r="N345">
        <f t="shared" si="360"/>
        <v>8.5000000000000006E-2</v>
      </c>
      <c r="O345" s="155">
        <f t="shared" si="352"/>
        <v>242995.95669940501</v>
      </c>
      <c r="S345" t="str">
        <f t="shared" si="342"/>
        <v>WIN_ONS.POM C&amp;E</v>
      </c>
      <c r="U345" t="str">
        <f t="shared" si="343"/>
        <v>WIN_ONS</v>
      </c>
      <c r="V345" s="167"/>
      <c r="W345" s="168" t="s">
        <v>296</v>
      </c>
      <c r="X345" s="169">
        <v>0.35</v>
      </c>
      <c r="Y345" s="149">
        <v>0.66</v>
      </c>
      <c r="Z345" s="149">
        <v>0.99</v>
      </c>
      <c r="AA345" s="149">
        <v>1.46</v>
      </c>
      <c r="AB345" s="149">
        <v>1.76</v>
      </c>
      <c r="AC345" s="149">
        <v>2.59</v>
      </c>
      <c r="AD345" s="149">
        <v>3.43</v>
      </c>
      <c r="AE345" s="149">
        <v>4.26</v>
      </c>
      <c r="AF345" s="170"/>
    </row>
    <row r="346" spans="2:32">
      <c r="B346" t="str">
        <f t="shared" si="353"/>
        <v>DE0</v>
      </c>
      <c r="C346">
        <f t="shared" si="354"/>
        <v>2040</v>
      </c>
      <c r="D346" t="str">
        <f t="shared" si="355"/>
        <v>OIL_LIN</v>
      </c>
      <c r="E346" s="155">
        <f t="shared" si="351"/>
        <v>3312837.7940740013</v>
      </c>
      <c r="F346" t="s">
        <v>31</v>
      </c>
      <c r="G346" t="str">
        <f t="shared" si="356"/>
        <v>mineral_oil_heavy</v>
      </c>
      <c r="H346">
        <f t="shared" si="357"/>
        <v>1</v>
      </c>
      <c r="I346">
        <f t="shared" si="358"/>
        <v>6</v>
      </c>
      <c r="J346">
        <f t="shared" si="359"/>
        <v>7</v>
      </c>
      <c r="N346">
        <f t="shared" si="360"/>
        <v>8.5000000000000006E-2</v>
      </c>
      <c r="O346" s="155">
        <f t="shared" si="352"/>
        <v>3620587.7530863401</v>
      </c>
      <c r="S346" t="str">
        <f t="shared" si="342"/>
        <v>WIN_ONS.POM E</v>
      </c>
      <c r="U346" t="str">
        <f t="shared" si="343"/>
        <v>WIN_ONS</v>
      </c>
      <c r="V346" s="167"/>
      <c r="W346" s="168" t="s">
        <v>143</v>
      </c>
      <c r="X346" s="169">
        <v>0.35</v>
      </c>
      <c r="Y346" s="149">
        <v>0.66</v>
      </c>
      <c r="Z346" s="149">
        <v>0.99</v>
      </c>
      <c r="AA346" s="149">
        <v>1.46</v>
      </c>
      <c r="AB346" s="149">
        <v>1.76</v>
      </c>
      <c r="AC346" s="149">
        <v>2.59</v>
      </c>
      <c r="AD346" s="149">
        <v>3.43</v>
      </c>
      <c r="AE346" s="149">
        <v>4.26</v>
      </c>
      <c r="AF346" s="170"/>
    </row>
    <row r="347" spans="2:32">
      <c r="B347" t="str">
        <f t="shared" si="353"/>
        <v>IT0</v>
      </c>
      <c r="C347">
        <f t="shared" si="354"/>
        <v>2040</v>
      </c>
      <c r="D347" t="str">
        <f t="shared" si="355"/>
        <v>OIL_LIN</v>
      </c>
      <c r="E347" s="155">
        <f t="shared" si="351"/>
        <v>4110184.5651911083</v>
      </c>
      <c r="F347" t="s">
        <v>31</v>
      </c>
      <c r="G347" t="str">
        <f t="shared" si="356"/>
        <v>mineral_oil_heavy</v>
      </c>
      <c r="H347">
        <f t="shared" si="357"/>
        <v>2</v>
      </c>
      <c r="I347">
        <f t="shared" si="358"/>
        <v>6</v>
      </c>
      <c r="J347">
        <f t="shared" si="359"/>
        <v>7</v>
      </c>
      <c r="N347">
        <f t="shared" si="360"/>
        <v>8.5000000000000006E-2</v>
      </c>
      <c r="O347" s="155">
        <f t="shared" si="352"/>
        <v>4492004.9892798997</v>
      </c>
      <c r="V347" s="173" t="s">
        <v>433</v>
      </c>
      <c r="W347" s="173" t="s">
        <v>433</v>
      </c>
      <c r="X347" s="174"/>
      <c r="Y347" s="175"/>
      <c r="Z347" s="175"/>
      <c r="AA347" s="175"/>
      <c r="AB347" s="175"/>
      <c r="AC347" s="175"/>
      <c r="AD347" s="175"/>
      <c r="AE347" s="175"/>
      <c r="AF347" s="176"/>
    </row>
    <row r="348" spans="2:32">
      <c r="B348" t="str">
        <f t="shared" si="353"/>
        <v>AT0</v>
      </c>
      <c r="C348">
        <f t="shared" si="354"/>
        <v>2040</v>
      </c>
      <c r="D348" t="str">
        <f t="shared" si="355"/>
        <v>OIL_LIN</v>
      </c>
      <c r="E348" s="155">
        <f t="shared" si="351"/>
        <v>268.73091798158771</v>
      </c>
      <c r="F348" t="s">
        <v>31</v>
      </c>
      <c r="G348" t="str">
        <f t="shared" si="356"/>
        <v>mineral_oil_heavy</v>
      </c>
      <c r="H348">
        <f t="shared" si="357"/>
        <v>3</v>
      </c>
      <c r="I348">
        <f t="shared" si="358"/>
        <v>6</v>
      </c>
      <c r="J348">
        <f t="shared" si="359"/>
        <v>7</v>
      </c>
      <c r="N348">
        <f t="shared" si="360"/>
        <v>8.5000000000000006E-2</v>
      </c>
      <c r="O348" s="155">
        <f t="shared" si="352"/>
        <v>293.69499232960402</v>
      </c>
    </row>
    <row r="349" spans="2:32">
      <c r="B349" t="str">
        <f t="shared" si="353"/>
        <v>FR0</v>
      </c>
      <c r="C349">
        <f t="shared" si="354"/>
        <v>2040</v>
      </c>
      <c r="D349" t="str">
        <f t="shared" si="355"/>
        <v>OIL_LIN</v>
      </c>
      <c r="E349" s="155">
        <f t="shared" si="351"/>
        <v>85322.723421033748</v>
      </c>
      <c r="F349" t="s">
        <v>31</v>
      </c>
      <c r="G349" t="str">
        <f t="shared" si="356"/>
        <v>mineral_oil_heavy</v>
      </c>
      <c r="H349">
        <f t="shared" si="357"/>
        <v>4</v>
      </c>
      <c r="I349">
        <f t="shared" si="358"/>
        <v>6</v>
      </c>
      <c r="J349">
        <f t="shared" si="359"/>
        <v>7</v>
      </c>
      <c r="N349">
        <f t="shared" si="360"/>
        <v>8.5000000000000006E-2</v>
      </c>
      <c r="O349" s="155">
        <f t="shared" si="352"/>
        <v>93248.878055774592</v>
      </c>
    </row>
    <row r="350" spans="2:32">
      <c r="B350" t="str">
        <f t="shared" ref="B350:B357" si="361">INDEX(H$125:H$132,H350)</f>
        <v>DE0</v>
      </c>
      <c r="C350">
        <f t="shared" ref="C350:C357" si="362">INDEX(I$125:I$132,I350)</f>
        <v>2045</v>
      </c>
      <c r="D350" t="str">
        <f t="shared" ref="D350:D357" si="363">INDEX(J$125:J$132,J350)</f>
        <v>OIL_LIN</v>
      </c>
      <c r="E350" s="155">
        <f t="shared" si="351"/>
        <v>3235510.8996521374</v>
      </c>
      <c r="F350" t="s">
        <v>31</v>
      </c>
      <c r="G350" t="str">
        <f t="shared" ref="G350:G357" si="364">INDEX(K$125:K$132,J350)</f>
        <v>mineral_oil_heavy</v>
      </c>
      <c r="H350">
        <f t="shared" ref="H350:H357" si="365">IF(H349=$H$124,1,H349+1)</f>
        <v>1</v>
      </c>
      <c r="I350">
        <f t="shared" ref="I350:I357" si="366">IF(H350=1,IF(I349=$I$124,1,I349+1),I349)</f>
        <v>7</v>
      </c>
      <c r="J350">
        <f t="shared" ref="J350:J357" si="367">IF(AND(I350=1,I349&gt;1),IF(J349=$J$124,1,J349+1),J349)</f>
        <v>7</v>
      </c>
      <c r="N350">
        <f t="shared" si="360"/>
        <v>8.5000000000000006E-2</v>
      </c>
      <c r="O350" s="155">
        <f t="shared" si="352"/>
        <v>3536077.48595862</v>
      </c>
    </row>
    <row r="351" spans="2:32">
      <c r="B351" t="str">
        <f t="shared" si="361"/>
        <v>IT0</v>
      </c>
      <c r="C351">
        <f t="shared" si="362"/>
        <v>2045</v>
      </c>
      <c r="D351" t="str">
        <f t="shared" si="363"/>
        <v>OIL_LIN</v>
      </c>
      <c r="E351" s="155">
        <f t="shared" si="351"/>
        <v>2572247.2848701202</v>
      </c>
      <c r="F351" t="s">
        <v>31</v>
      </c>
      <c r="G351" t="str">
        <f t="shared" si="364"/>
        <v>mineral_oil_heavy</v>
      </c>
      <c r="H351">
        <f t="shared" si="365"/>
        <v>2</v>
      </c>
      <c r="I351">
        <f t="shared" si="366"/>
        <v>7</v>
      </c>
      <c r="J351">
        <f t="shared" si="367"/>
        <v>7</v>
      </c>
      <c r="N351">
        <f t="shared" si="360"/>
        <v>8.5000000000000006E-2</v>
      </c>
      <c r="O351" s="155">
        <f t="shared" si="352"/>
        <v>2811199.2184372898</v>
      </c>
    </row>
    <row r="352" spans="2:32">
      <c r="B352" t="str">
        <f t="shared" si="361"/>
        <v>AT0</v>
      </c>
      <c r="C352">
        <f t="shared" si="362"/>
        <v>2045</v>
      </c>
      <c r="D352" t="str">
        <f t="shared" si="363"/>
        <v>OIL_LIN</v>
      </c>
      <c r="E352" s="155">
        <f t="shared" si="351"/>
        <v>268.73091798158771</v>
      </c>
      <c r="F352" t="s">
        <v>31</v>
      </c>
      <c r="G352" t="str">
        <f t="shared" si="364"/>
        <v>mineral_oil_heavy</v>
      </c>
      <c r="H352">
        <f t="shared" si="365"/>
        <v>3</v>
      </c>
      <c r="I352">
        <f t="shared" si="366"/>
        <v>7</v>
      </c>
      <c r="J352">
        <f t="shared" si="367"/>
        <v>7</v>
      </c>
      <c r="N352">
        <f t="shared" si="360"/>
        <v>8.5000000000000006E-2</v>
      </c>
      <c r="O352" s="155">
        <f t="shared" si="352"/>
        <v>293.69499232960402</v>
      </c>
    </row>
    <row r="353" spans="2:38">
      <c r="B353" t="str">
        <f t="shared" si="361"/>
        <v>FR0</v>
      </c>
      <c r="C353">
        <f t="shared" si="362"/>
        <v>2045</v>
      </c>
      <c r="D353" t="str">
        <f t="shared" si="363"/>
        <v>OIL_LIN</v>
      </c>
      <c r="E353" s="155">
        <f t="shared" si="351"/>
        <v>107403.522317454</v>
      </c>
      <c r="F353" t="s">
        <v>31</v>
      </c>
      <c r="G353" t="str">
        <f t="shared" si="364"/>
        <v>mineral_oil_heavy</v>
      </c>
      <c r="H353">
        <f t="shared" si="365"/>
        <v>4</v>
      </c>
      <c r="I353">
        <f t="shared" si="366"/>
        <v>7</v>
      </c>
      <c r="J353">
        <f t="shared" si="367"/>
        <v>7</v>
      </c>
      <c r="N353">
        <f t="shared" si="360"/>
        <v>8.5000000000000006E-2</v>
      </c>
      <c r="O353" s="155">
        <f t="shared" si="352"/>
        <v>117380.89870759999</v>
      </c>
    </row>
    <row r="354" spans="2:38">
      <c r="B354" t="str">
        <f t="shared" si="361"/>
        <v>DE0</v>
      </c>
      <c r="C354">
        <f t="shared" si="362"/>
        <v>2050</v>
      </c>
      <c r="D354" t="str">
        <f t="shared" si="363"/>
        <v>OIL_LIN</v>
      </c>
      <c r="E354" s="155">
        <f t="shared" si="351"/>
        <v>505412.30841988756</v>
      </c>
      <c r="F354" t="s">
        <v>31</v>
      </c>
      <c r="G354" t="str">
        <f t="shared" si="364"/>
        <v>mineral_oil_heavy</v>
      </c>
      <c r="H354">
        <f t="shared" si="365"/>
        <v>1</v>
      </c>
      <c r="I354">
        <f t="shared" si="366"/>
        <v>8</v>
      </c>
      <c r="J354">
        <f t="shared" si="367"/>
        <v>7</v>
      </c>
      <c r="N354">
        <f t="shared" si="360"/>
        <v>8.5000000000000006E-2</v>
      </c>
      <c r="O354" s="155">
        <f t="shared" si="352"/>
        <v>552363.17860096996</v>
      </c>
      <c r="AL354" s="215" t="s">
        <v>365</v>
      </c>
    </row>
    <row r="355" spans="2:38">
      <c r="B355" t="str">
        <f t="shared" si="361"/>
        <v>IT0</v>
      </c>
      <c r="C355">
        <f t="shared" si="362"/>
        <v>2050</v>
      </c>
      <c r="D355" t="str">
        <f t="shared" si="363"/>
        <v>OIL_LIN</v>
      </c>
      <c r="E355" s="155">
        <f t="shared" si="351"/>
        <v>790954.97179232421</v>
      </c>
      <c r="F355" t="s">
        <v>31</v>
      </c>
      <c r="G355" t="str">
        <f t="shared" si="364"/>
        <v>mineral_oil_heavy</v>
      </c>
      <c r="H355">
        <f t="shared" si="365"/>
        <v>2</v>
      </c>
      <c r="I355">
        <f t="shared" si="366"/>
        <v>8</v>
      </c>
      <c r="J355">
        <f t="shared" si="367"/>
        <v>7</v>
      </c>
      <c r="N355">
        <f t="shared" si="360"/>
        <v>8.5000000000000006E-2</v>
      </c>
      <c r="O355" s="155">
        <f t="shared" si="352"/>
        <v>864431.66316101002</v>
      </c>
      <c r="AL355" s="215"/>
    </row>
    <row r="356" spans="2:38">
      <c r="B356" t="str">
        <f t="shared" si="361"/>
        <v>AT0</v>
      </c>
      <c r="C356">
        <f t="shared" si="362"/>
        <v>2050</v>
      </c>
      <c r="D356" t="str">
        <f t="shared" si="363"/>
        <v>OIL_LIN</v>
      </c>
      <c r="E356" s="155">
        <f t="shared" si="351"/>
        <v>0</v>
      </c>
      <c r="F356" t="s">
        <v>31</v>
      </c>
      <c r="G356" t="str">
        <f t="shared" si="364"/>
        <v>mineral_oil_heavy</v>
      </c>
      <c r="H356">
        <f t="shared" si="365"/>
        <v>3</v>
      </c>
      <c r="I356">
        <f t="shared" si="366"/>
        <v>8</v>
      </c>
      <c r="J356">
        <f t="shared" si="367"/>
        <v>7</v>
      </c>
      <c r="N356">
        <f t="shared" si="360"/>
        <v>8.5000000000000006E-2</v>
      </c>
      <c r="O356" s="155">
        <f t="shared" si="352"/>
        <v>0</v>
      </c>
      <c r="AL356" s="215"/>
    </row>
    <row r="357" spans="2:38">
      <c r="B357" t="str">
        <f t="shared" si="361"/>
        <v>FR0</v>
      </c>
      <c r="C357">
        <f t="shared" si="362"/>
        <v>2050</v>
      </c>
      <c r="D357" t="str">
        <f t="shared" si="363"/>
        <v>OIL_LIN</v>
      </c>
      <c r="E357" s="155">
        <f t="shared" si="351"/>
        <v>17905.216431285404</v>
      </c>
      <c r="F357" t="s">
        <v>31</v>
      </c>
      <c r="G357" t="str">
        <f t="shared" si="364"/>
        <v>mineral_oil_heavy</v>
      </c>
      <c r="H357">
        <f t="shared" si="365"/>
        <v>4</v>
      </c>
      <c r="I357">
        <f t="shared" si="366"/>
        <v>8</v>
      </c>
      <c r="J357">
        <f t="shared" si="367"/>
        <v>7</v>
      </c>
      <c r="N357">
        <f t="shared" si="360"/>
        <v>8.5000000000000006E-2</v>
      </c>
      <c r="O357" s="155">
        <f t="shared" si="352"/>
        <v>19568.5425478529</v>
      </c>
      <c r="AL357" s="215"/>
    </row>
    <row r="358" spans="2:38">
      <c r="E358" s="155"/>
      <c r="O358" s="155"/>
      <c r="AL358" s="215"/>
    </row>
    <row r="359" spans="2:38">
      <c r="E359" s="155"/>
      <c r="O359" s="155"/>
      <c r="AL359" s="215"/>
    </row>
    <row r="360" spans="2:38">
      <c r="E360" s="155"/>
      <c r="O360" s="155"/>
      <c r="AL360" s="215"/>
    </row>
    <row r="361" spans="2:38">
      <c r="E361" s="155"/>
      <c r="O361" s="155"/>
      <c r="AL361" s="215"/>
    </row>
    <row r="362" spans="2:38">
      <c r="E362" s="155"/>
      <c r="O362" s="155"/>
    </row>
    <row r="363" spans="2:38">
      <c r="E363" s="155"/>
      <c r="O363" s="155"/>
    </row>
    <row r="364" spans="2:38">
      <c r="E364" s="155"/>
      <c r="O364" s="155"/>
    </row>
    <row r="365" spans="2:38">
      <c r="E365" s="155"/>
      <c r="O365" s="155"/>
    </row>
    <row r="366" spans="2:38">
      <c r="E366" s="155"/>
      <c r="O366" s="155"/>
    </row>
    <row r="367" spans="2:38">
      <c r="E367" s="155"/>
      <c r="O367" s="155"/>
    </row>
    <row r="368" spans="2:38">
      <c r="E368" s="155"/>
      <c r="H368">
        <f>COUNTA(H369:H376)</f>
        <v>1</v>
      </c>
      <c r="I368">
        <f>COUNTA(I369:I376)</f>
        <v>8</v>
      </c>
      <c r="J368">
        <f>COUNTA(J369:J376)</f>
        <v>3</v>
      </c>
      <c r="K368">
        <f>PRODUCT(H368:J368)</f>
        <v>24</v>
      </c>
      <c r="O368" s="155"/>
    </row>
    <row r="369" spans="2:15">
      <c r="E369" s="155"/>
      <c r="H369" t="s">
        <v>14</v>
      </c>
      <c r="I369">
        <v>2015</v>
      </c>
      <c r="J369" t="s">
        <v>75</v>
      </c>
      <c r="K369" t="s">
        <v>25</v>
      </c>
      <c r="O369" s="155"/>
    </row>
    <row r="370" spans="2:15">
      <c r="E370" s="155"/>
      <c r="I370">
        <v>2020</v>
      </c>
      <c r="J370" t="s">
        <v>80</v>
      </c>
      <c r="K370" t="s">
        <v>26</v>
      </c>
      <c r="O370" s="155"/>
    </row>
    <row r="371" spans="2:15">
      <c r="E371" s="155"/>
      <c r="I371">
        <v>2025</v>
      </c>
      <c r="J371" t="s">
        <v>110</v>
      </c>
      <c r="K371" t="s">
        <v>24</v>
      </c>
      <c r="O371" s="155"/>
    </row>
    <row r="372" spans="2:15">
      <c r="E372" s="155"/>
      <c r="I372">
        <v>2030</v>
      </c>
      <c r="O372" s="155"/>
    </row>
    <row r="373" spans="2:15">
      <c r="E373" s="155"/>
      <c r="I373">
        <v>2035</v>
      </c>
      <c r="O373" s="155"/>
    </row>
    <row r="374" spans="2:15">
      <c r="E374" s="155"/>
      <c r="I374">
        <v>2040</v>
      </c>
      <c r="O374" s="155"/>
    </row>
    <row r="375" spans="2:15">
      <c r="E375" s="155"/>
      <c r="I375">
        <v>2045</v>
      </c>
      <c r="O375" s="155"/>
    </row>
    <row r="376" spans="2:15">
      <c r="E376" s="155"/>
      <c r="I376">
        <v>2050</v>
      </c>
      <c r="O376" s="155"/>
    </row>
    <row r="377" spans="2:15">
      <c r="E377" s="155"/>
      <c r="O377" s="155"/>
    </row>
    <row r="378" spans="2:15">
      <c r="B378" t="str">
        <f t="shared" ref="B378:B401" si="368">INDEX(H$369:H$376,H378)</f>
        <v>CH0</v>
      </c>
      <c r="C378">
        <f t="shared" ref="C378:C401" si="369">INDEX(I$369:I$376,I378)</f>
        <v>2015</v>
      </c>
      <c r="D378" t="str">
        <f t="shared" ref="D378:D401" si="370">INDEX(J$369:J$376,J378)</f>
        <v>HYD_RES</v>
      </c>
      <c r="E378" s="155">
        <f t="shared" si="351"/>
        <v>22014639.454330746</v>
      </c>
      <c r="F378" t="s">
        <v>31</v>
      </c>
      <c r="G378" t="str">
        <f t="shared" ref="G378:G401" si="371">INDEX(K$369:K$376,J378)</f>
        <v>reservoir</v>
      </c>
      <c r="H378">
        <v>1</v>
      </c>
      <c r="I378">
        <v>1</v>
      </c>
      <c r="J378">
        <v>1</v>
      </c>
      <c r="N378">
        <f t="shared" ref="N378:N401" si="372">INDEX($AJ$21:$AJ$249,MATCH(B378&amp;"."&amp;D378,$AH$21:$AH$249,0))</f>
        <v>0.01</v>
      </c>
      <c r="O378" s="155">
        <f t="shared" si="352"/>
        <v>22237009.549829036</v>
      </c>
    </row>
    <row r="379" spans="2:15">
      <c r="B379" t="str">
        <f t="shared" si="368"/>
        <v>CH0</v>
      </c>
      <c r="C379">
        <f t="shared" si="369"/>
        <v>2020</v>
      </c>
      <c r="D379" t="str">
        <f t="shared" si="370"/>
        <v>HYD_RES</v>
      </c>
      <c r="E379" s="155">
        <f t="shared" si="351"/>
        <v>20462157.822517857</v>
      </c>
      <c r="F379" t="s">
        <v>31</v>
      </c>
      <c r="G379" t="str">
        <f t="shared" si="371"/>
        <v>reservoir</v>
      </c>
      <c r="H379">
        <f t="shared" ref="H379:H401" si="373">IF(H378=$H$368,1,H378+1)</f>
        <v>1</v>
      </c>
      <c r="I379">
        <f t="shared" ref="I379:I401" si="374">IF(H379=1,IF(I378=$I$368,1,I378+1),I378)</f>
        <v>2</v>
      </c>
      <c r="J379">
        <f t="shared" ref="J379:J401" si="375">IF(AND(I379=1,I378&gt;1),IF(J378=$J$368,1,J378+1),J378)</f>
        <v>1</v>
      </c>
      <c r="N379">
        <f t="shared" si="372"/>
        <v>0.01</v>
      </c>
      <c r="O379" s="155">
        <f t="shared" si="352"/>
        <v>20668846.285371572</v>
      </c>
    </row>
    <row r="380" spans="2:15">
      <c r="B380" t="str">
        <f t="shared" si="368"/>
        <v>CH0</v>
      </c>
      <c r="C380">
        <f t="shared" si="369"/>
        <v>2025</v>
      </c>
      <c r="D380" t="str">
        <f t="shared" si="370"/>
        <v>HYD_RES</v>
      </c>
      <c r="E380" s="155">
        <f t="shared" si="351"/>
        <v>20661488.58803384</v>
      </c>
      <c r="F380" t="s">
        <v>31</v>
      </c>
      <c r="G380" t="str">
        <f t="shared" si="371"/>
        <v>reservoir</v>
      </c>
      <c r="H380">
        <f t="shared" si="373"/>
        <v>1</v>
      </c>
      <c r="I380">
        <f t="shared" si="374"/>
        <v>3</v>
      </c>
      <c r="J380">
        <f t="shared" si="375"/>
        <v>1</v>
      </c>
      <c r="N380">
        <f t="shared" si="372"/>
        <v>0.01</v>
      </c>
      <c r="O380" s="155">
        <f t="shared" si="352"/>
        <v>20870190.492963474</v>
      </c>
    </row>
    <row r="381" spans="2:15">
      <c r="B381" t="str">
        <f t="shared" si="368"/>
        <v>CH0</v>
      </c>
      <c r="C381">
        <f t="shared" si="369"/>
        <v>2030</v>
      </c>
      <c r="D381" t="str">
        <f t="shared" si="370"/>
        <v>HYD_RES</v>
      </c>
      <c r="E381" s="155">
        <f t="shared" si="351"/>
        <v>20871563.311185833</v>
      </c>
      <c r="F381" t="s">
        <v>31</v>
      </c>
      <c r="G381" t="str">
        <f t="shared" si="371"/>
        <v>reservoir</v>
      </c>
      <c r="H381">
        <f t="shared" si="373"/>
        <v>1</v>
      </c>
      <c r="I381">
        <f t="shared" si="374"/>
        <v>4</v>
      </c>
      <c r="J381">
        <f t="shared" si="375"/>
        <v>1</v>
      </c>
      <c r="N381">
        <f t="shared" si="372"/>
        <v>0.01</v>
      </c>
      <c r="O381" s="155">
        <f t="shared" si="352"/>
        <v>21082387.183015995</v>
      </c>
    </row>
    <row r="382" spans="2:15">
      <c r="B382" t="str">
        <f t="shared" si="368"/>
        <v>CH0</v>
      </c>
      <c r="C382">
        <f t="shared" si="369"/>
        <v>2035</v>
      </c>
      <c r="D382" t="str">
        <f t="shared" si="370"/>
        <v>HYD_RES</v>
      </c>
      <c r="E382" s="155">
        <f t="shared" si="351"/>
        <v>21031127.318456743</v>
      </c>
      <c r="F382" t="s">
        <v>31</v>
      </c>
      <c r="G382" t="str">
        <f t="shared" si="371"/>
        <v>reservoir</v>
      </c>
      <c r="H382">
        <f t="shared" si="373"/>
        <v>1</v>
      </c>
      <c r="I382">
        <f t="shared" si="374"/>
        <v>5</v>
      </c>
      <c r="J382">
        <f t="shared" si="375"/>
        <v>1</v>
      </c>
      <c r="N382">
        <f t="shared" si="372"/>
        <v>0.01</v>
      </c>
      <c r="O382" s="155">
        <f t="shared" si="352"/>
        <v>21243562.947936103</v>
      </c>
    </row>
    <row r="383" spans="2:15">
      <c r="B383" t="str">
        <f t="shared" si="368"/>
        <v>CH0</v>
      </c>
      <c r="C383">
        <f t="shared" si="369"/>
        <v>2040</v>
      </c>
      <c r="D383" t="str">
        <f t="shared" si="370"/>
        <v>HYD_RES</v>
      </c>
      <c r="E383" s="155">
        <f t="shared" si="351"/>
        <v>21260324.842217799</v>
      </c>
      <c r="F383" t="s">
        <v>31</v>
      </c>
      <c r="G383" t="str">
        <f t="shared" si="371"/>
        <v>reservoir</v>
      </c>
      <c r="H383">
        <f t="shared" si="373"/>
        <v>1</v>
      </c>
      <c r="I383">
        <f t="shared" si="374"/>
        <v>6</v>
      </c>
      <c r="J383">
        <f t="shared" si="375"/>
        <v>1</v>
      </c>
      <c r="N383">
        <f t="shared" si="372"/>
        <v>0.01</v>
      </c>
      <c r="O383" s="155">
        <f t="shared" si="352"/>
        <v>21475075.598199796</v>
      </c>
    </row>
    <row r="384" spans="2:15">
      <c r="B384" t="str">
        <f t="shared" si="368"/>
        <v>CH0</v>
      </c>
      <c r="C384">
        <f t="shared" si="369"/>
        <v>2045</v>
      </c>
      <c r="D384" t="str">
        <f t="shared" si="370"/>
        <v>HYD_RES</v>
      </c>
      <c r="E384" s="155">
        <f t="shared" si="351"/>
        <v>21343030.330885757</v>
      </c>
      <c r="F384" t="s">
        <v>31</v>
      </c>
      <c r="G384" t="str">
        <f t="shared" si="371"/>
        <v>reservoir</v>
      </c>
      <c r="H384">
        <f t="shared" si="373"/>
        <v>1</v>
      </c>
      <c r="I384">
        <f t="shared" si="374"/>
        <v>7</v>
      </c>
      <c r="J384">
        <f t="shared" si="375"/>
        <v>1</v>
      </c>
      <c r="N384">
        <f t="shared" si="372"/>
        <v>0.01</v>
      </c>
      <c r="O384" s="155">
        <f t="shared" si="352"/>
        <v>21558616.4958442</v>
      </c>
    </row>
    <row r="385" spans="2:15">
      <c r="B385" t="str">
        <f t="shared" si="368"/>
        <v>CH0</v>
      </c>
      <c r="C385">
        <f t="shared" si="369"/>
        <v>2050</v>
      </c>
      <c r="D385" t="str">
        <f t="shared" si="370"/>
        <v>HYD_RES</v>
      </c>
      <c r="E385" s="155">
        <f t="shared" si="351"/>
        <v>21376235.819553725</v>
      </c>
      <c r="F385" t="s">
        <v>31</v>
      </c>
      <c r="G385" t="str">
        <f t="shared" si="371"/>
        <v>reservoir</v>
      </c>
      <c r="H385">
        <f t="shared" si="373"/>
        <v>1</v>
      </c>
      <c r="I385">
        <f t="shared" si="374"/>
        <v>8</v>
      </c>
      <c r="J385">
        <f t="shared" si="375"/>
        <v>1</v>
      </c>
      <c r="N385">
        <f t="shared" si="372"/>
        <v>0.01</v>
      </c>
      <c r="O385" s="155">
        <f t="shared" si="352"/>
        <v>21592157.393488612</v>
      </c>
    </row>
    <row r="386" spans="2:15">
      <c r="B386" t="str">
        <f t="shared" si="368"/>
        <v>CH0</v>
      </c>
      <c r="C386">
        <f t="shared" si="369"/>
        <v>2015</v>
      </c>
      <c r="D386" t="str">
        <f t="shared" si="370"/>
        <v>HYD_ROR</v>
      </c>
      <c r="E386" s="155">
        <f t="shared" si="351"/>
        <v>16595360.545669252</v>
      </c>
      <c r="F386" t="s">
        <v>31</v>
      </c>
      <c r="G386" t="str">
        <f t="shared" si="371"/>
        <v>run_of_river</v>
      </c>
      <c r="H386">
        <f t="shared" si="373"/>
        <v>1</v>
      </c>
      <c r="I386">
        <f t="shared" si="374"/>
        <v>1</v>
      </c>
      <c r="J386">
        <f t="shared" si="375"/>
        <v>2</v>
      </c>
      <c r="N386">
        <f t="shared" si="372"/>
        <v>0.01</v>
      </c>
      <c r="O386" s="155">
        <f t="shared" si="352"/>
        <v>16762990.450170962</v>
      </c>
    </row>
    <row r="387" spans="2:15">
      <c r="B387" t="str">
        <f t="shared" si="368"/>
        <v>CH0</v>
      </c>
      <c r="C387">
        <f t="shared" si="369"/>
        <v>2020</v>
      </c>
      <c r="D387" t="str">
        <f t="shared" si="370"/>
        <v>HYD_ROR</v>
      </c>
      <c r="E387" s="155">
        <f t="shared" si="351"/>
        <v>21078242.177482143</v>
      </c>
      <c r="F387" t="s">
        <v>31</v>
      </c>
      <c r="G387" t="str">
        <f t="shared" si="371"/>
        <v>run_of_river</v>
      </c>
      <c r="H387">
        <f t="shared" si="373"/>
        <v>1</v>
      </c>
      <c r="I387">
        <f t="shared" si="374"/>
        <v>2</v>
      </c>
      <c r="J387">
        <f t="shared" si="375"/>
        <v>2</v>
      </c>
      <c r="N387">
        <f t="shared" si="372"/>
        <v>0.01</v>
      </c>
      <c r="O387" s="155">
        <f t="shared" si="352"/>
        <v>21291153.714628428</v>
      </c>
    </row>
    <row r="388" spans="2:15">
      <c r="B388" t="str">
        <f t="shared" si="368"/>
        <v>CH0</v>
      </c>
      <c r="C388">
        <f t="shared" si="369"/>
        <v>2025</v>
      </c>
      <c r="D388" t="str">
        <f t="shared" si="370"/>
        <v>HYD_ROR</v>
      </c>
      <c r="E388" s="155">
        <f t="shared" si="351"/>
        <v>21265011.41196616</v>
      </c>
      <c r="F388" t="s">
        <v>31</v>
      </c>
      <c r="G388" t="str">
        <f t="shared" si="371"/>
        <v>run_of_river</v>
      </c>
      <c r="H388">
        <f t="shared" si="373"/>
        <v>1</v>
      </c>
      <c r="I388">
        <f t="shared" si="374"/>
        <v>3</v>
      </c>
      <c r="J388">
        <f t="shared" si="375"/>
        <v>2</v>
      </c>
      <c r="N388">
        <f t="shared" si="372"/>
        <v>0.01</v>
      </c>
      <c r="O388" s="155">
        <f t="shared" si="352"/>
        <v>21479809.507036526</v>
      </c>
    </row>
    <row r="389" spans="2:15">
      <c r="B389" t="str">
        <f t="shared" si="368"/>
        <v>CH0</v>
      </c>
      <c r="C389">
        <f t="shared" si="369"/>
        <v>2030</v>
      </c>
      <c r="D389" t="str">
        <f t="shared" si="370"/>
        <v>HYD_ROR</v>
      </c>
      <c r="E389" s="155">
        <f t="shared" si="351"/>
        <v>21371736.688814163</v>
      </c>
      <c r="F389" t="s">
        <v>31</v>
      </c>
      <c r="G389" t="str">
        <f t="shared" si="371"/>
        <v>run_of_river</v>
      </c>
      <c r="H389">
        <f t="shared" si="373"/>
        <v>1</v>
      </c>
      <c r="I389">
        <f t="shared" si="374"/>
        <v>4</v>
      </c>
      <c r="J389">
        <f t="shared" si="375"/>
        <v>2</v>
      </c>
      <c r="N389">
        <f t="shared" si="372"/>
        <v>0.01</v>
      </c>
      <c r="O389" s="155">
        <f t="shared" si="352"/>
        <v>21587612.816984005</v>
      </c>
    </row>
    <row r="390" spans="2:15">
      <c r="B390" t="str">
        <f t="shared" si="368"/>
        <v>CH0</v>
      </c>
      <c r="C390">
        <f t="shared" si="369"/>
        <v>2035</v>
      </c>
      <c r="D390" t="str">
        <f t="shared" si="370"/>
        <v>HYD_ROR</v>
      </c>
      <c r="E390" s="155">
        <f t="shared" si="351"/>
        <v>21558672.681543257</v>
      </c>
      <c r="F390" t="s">
        <v>31</v>
      </c>
      <c r="G390" t="str">
        <f t="shared" si="371"/>
        <v>run_of_river</v>
      </c>
      <c r="H390">
        <f t="shared" si="373"/>
        <v>1</v>
      </c>
      <c r="I390">
        <f t="shared" si="374"/>
        <v>5</v>
      </c>
      <c r="J390">
        <f t="shared" si="375"/>
        <v>2</v>
      </c>
      <c r="N390">
        <f t="shared" si="372"/>
        <v>0.01</v>
      </c>
      <c r="O390" s="155">
        <f t="shared" si="352"/>
        <v>21776437.052063897</v>
      </c>
    </row>
    <row r="391" spans="2:15">
      <c r="B391" t="str">
        <f t="shared" si="368"/>
        <v>CH0</v>
      </c>
      <c r="C391">
        <f t="shared" si="369"/>
        <v>2040</v>
      </c>
      <c r="D391" t="str">
        <f t="shared" si="370"/>
        <v>HYD_ROR</v>
      </c>
      <c r="E391" s="155">
        <f t="shared" si="351"/>
        <v>21745275.157782201</v>
      </c>
      <c r="F391" t="s">
        <v>31</v>
      </c>
      <c r="G391" t="str">
        <f t="shared" si="371"/>
        <v>run_of_river</v>
      </c>
      <c r="H391">
        <f t="shared" si="373"/>
        <v>1</v>
      </c>
      <c r="I391">
        <f t="shared" si="374"/>
        <v>6</v>
      </c>
      <c r="J391">
        <f t="shared" si="375"/>
        <v>2</v>
      </c>
      <c r="N391">
        <f t="shared" si="372"/>
        <v>0.01</v>
      </c>
      <c r="O391" s="155">
        <f t="shared" si="352"/>
        <v>21964924.401800204</v>
      </c>
    </row>
    <row r="392" spans="2:15">
      <c r="B392" t="str">
        <f t="shared" si="368"/>
        <v>CH0</v>
      </c>
      <c r="C392">
        <f t="shared" si="369"/>
        <v>2045</v>
      </c>
      <c r="D392" t="str">
        <f t="shared" si="370"/>
        <v>HYD_ROR</v>
      </c>
      <c r="E392" s="155">
        <f t="shared" si="351"/>
        <v>22038769.669114243</v>
      </c>
      <c r="F392" t="s">
        <v>31</v>
      </c>
      <c r="G392" t="str">
        <f t="shared" si="371"/>
        <v>run_of_river</v>
      </c>
      <c r="H392">
        <f t="shared" si="373"/>
        <v>1</v>
      </c>
      <c r="I392">
        <f t="shared" si="374"/>
        <v>7</v>
      </c>
      <c r="J392">
        <f t="shared" si="375"/>
        <v>2</v>
      </c>
      <c r="N392">
        <f t="shared" si="372"/>
        <v>0.01</v>
      </c>
      <c r="O392" s="155">
        <f t="shared" si="352"/>
        <v>22261383.5041558</v>
      </c>
    </row>
    <row r="393" spans="2:15">
      <c r="B393" t="str">
        <f t="shared" si="368"/>
        <v>CH0</v>
      </c>
      <c r="C393">
        <f t="shared" si="369"/>
        <v>2050</v>
      </c>
      <c r="D393" t="str">
        <f t="shared" si="370"/>
        <v>HYD_ROR</v>
      </c>
      <c r="E393" s="155">
        <f t="shared" si="351"/>
        <v>22332264.180446275</v>
      </c>
      <c r="F393" t="s">
        <v>31</v>
      </c>
      <c r="G393" t="str">
        <f t="shared" si="371"/>
        <v>run_of_river</v>
      </c>
      <c r="H393">
        <f t="shared" si="373"/>
        <v>1</v>
      </c>
      <c r="I393">
        <f t="shared" si="374"/>
        <v>8</v>
      </c>
      <c r="J393">
        <f t="shared" si="375"/>
        <v>2</v>
      </c>
      <c r="N393">
        <f t="shared" si="372"/>
        <v>0.01</v>
      </c>
      <c r="O393" s="155">
        <f t="shared" si="352"/>
        <v>22557842.606511388</v>
      </c>
    </row>
    <row r="394" spans="2:15">
      <c r="B394" t="str">
        <f t="shared" si="368"/>
        <v>CH0</v>
      </c>
      <c r="C394">
        <f t="shared" si="369"/>
        <v>2015</v>
      </c>
      <c r="D394" t="str">
        <f t="shared" si="370"/>
        <v>WAS_ELC</v>
      </c>
      <c r="E394" s="155">
        <f t="shared" si="351"/>
        <v>1998518.7525000002</v>
      </c>
      <c r="F394" t="s">
        <v>31</v>
      </c>
      <c r="G394" t="str">
        <f t="shared" si="371"/>
        <v>waste_mix</v>
      </c>
      <c r="H394">
        <f t="shared" si="373"/>
        <v>1</v>
      </c>
      <c r="I394">
        <f t="shared" si="374"/>
        <v>1</v>
      </c>
      <c r="J394">
        <f t="shared" si="375"/>
        <v>3</v>
      </c>
      <c r="N394">
        <f t="shared" si="372"/>
        <v>8.5000000000000006E-2</v>
      </c>
      <c r="O394" s="155">
        <f t="shared" si="352"/>
        <v>2184173.5</v>
      </c>
    </row>
    <row r="395" spans="2:15">
      <c r="B395" t="str">
        <f t="shared" si="368"/>
        <v>CH0</v>
      </c>
      <c r="C395">
        <f t="shared" si="369"/>
        <v>2020</v>
      </c>
      <c r="D395" t="str">
        <f t="shared" si="370"/>
        <v>WAS_ELC</v>
      </c>
      <c r="E395" s="155">
        <f t="shared" si="351"/>
        <v>2139377.391397059</v>
      </c>
      <c r="F395" t="s">
        <v>31</v>
      </c>
      <c r="G395" t="str">
        <f t="shared" si="371"/>
        <v>waste_mix</v>
      </c>
      <c r="H395">
        <f t="shared" si="373"/>
        <v>1</v>
      </c>
      <c r="I395">
        <f t="shared" si="374"/>
        <v>2</v>
      </c>
      <c r="J395">
        <f t="shared" si="375"/>
        <v>3</v>
      </c>
      <c r="N395">
        <f t="shared" si="372"/>
        <v>8.5000000000000006E-2</v>
      </c>
      <c r="O395" s="155">
        <f t="shared" si="352"/>
        <v>2338117.3676470588</v>
      </c>
    </row>
    <row r="396" spans="2:15">
      <c r="B396" t="str">
        <f t="shared" si="368"/>
        <v>CH0</v>
      </c>
      <c r="C396">
        <f t="shared" si="369"/>
        <v>2025</v>
      </c>
      <c r="D396" t="str">
        <f t="shared" si="370"/>
        <v>WAS_ELC</v>
      </c>
      <c r="E396" s="155">
        <f t="shared" ref="E396:E459" si="376">O396*(1-N396)</f>
        <v>2305846.6919117649</v>
      </c>
      <c r="F396" t="s">
        <v>31</v>
      </c>
      <c r="G396" t="str">
        <f t="shared" si="371"/>
        <v>waste_mix</v>
      </c>
      <c r="H396">
        <f t="shared" si="373"/>
        <v>1</v>
      </c>
      <c r="I396">
        <f t="shared" si="374"/>
        <v>3</v>
      </c>
      <c r="J396">
        <f t="shared" si="375"/>
        <v>3</v>
      </c>
      <c r="N396">
        <f t="shared" si="372"/>
        <v>8.5000000000000006E-2</v>
      </c>
      <c r="O396" s="155">
        <f t="shared" ref="O396:O420" si="377">INDEX($W$21:$AE$249,MATCH(B396&amp;"."&amp;D396,$AH$21:$AH$249,0),MATCH(C396,$W$20:$AE$20,0))</f>
        <v>2520051.0294117648</v>
      </c>
    </row>
    <row r="397" spans="2:15">
      <c r="B397" t="str">
        <f t="shared" si="368"/>
        <v>CH0</v>
      </c>
      <c r="C397">
        <f t="shared" si="369"/>
        <v>2030</v>
      </c>
      <c r="D397" t="str">
        <f t="shared" si="370"/>
        <v>WAS_ELC</v>
      </c>
      <c r="E397" s="155">
        <f t="shared" si="376"/>
        <v>2421094.6691911803</v>
      </c>
      <c r="F397" t="s">
        <v>31</v>
      </c>
      <c r="G397" t="str">
        <f t="shared" si="371"/>
        <v>waste_mix</v>
      </c>
      <c r="H397">
        <f t="shared" si="373"/>
        <v>1</v>
      </c>
      <c r="I397">
        <f t="shared" si="374"/>
        <v>4</v>
      </c>
      <c r="J397">
        <f t="shared" si="375"/>
        <v>3</v>
      </c>
      <c r="N397">
        <f t="shared" si="372"/>
        <v>8.5000000000000006E-2</v>
      </c>
      <c r="O397" s="155">
        <f t="shared" si="377"/>
        <v>2646005.1029411806</v>
      </c>
    </row>
    <row r="398" spans="2:15">
      <c r="B398" t="str">
        <f t="shared" si="368"/>
        <v>CH0</v>
      </c>
      <c r="C398">
        <f t="shared" si="369"/>
        <v>2035</v>
      </c>
      <c r="D398" t="str">
        <f t="shared" si="370"/>
        <v>WAS_ELC</v>
      </c>
      <c r="E398" s="155">
        <f t="shared" si="376"/>
        <v>2421094.6691911803</v>
      </c>
      <c r="F398" t="s">
        <v>31</v>
      </c>
      <c r="G398" t="str">
        <f t="shared" si="371"/>
        <v>waste_mix</v>
      </c>
      <c r="H398">
        <f t="shared" si="373"/>
        <v>1</v>
      </c>
      <c r="I398">
        <f t="shared" si="374"/>
        <v>5</v>
      </c>
      <c r="J398">
        <f t="shared" si="375"/>
        <v>3</v>
      </c>
      <c r="N398">
        <f t="shared" si="372"/>
        <v>8.5000000000000006E-2</v>
      </c>
      <c r="O398" s="155">
        <f t="shared" si="377"/>
        <v>2646005.1029411806</v>
      </c>
    </row>
    <row r="399" spans="2:15">
      <c r="B399" t="str">
        <f t="shared" si="368"/>
        <v>CH0</v>
      </c>
      <c r="C399">
        <f t="shared" si="369"/>
        <v>2040</v>
      </c>
      <c r="D399" t="str">
        <f t="shared" si="370"/>
        <v>WAS_ELC</v>
      </c>
      <c r="E399" s="155">
        <f t="shared" si="376"/>
        <v>2433900.0000000019</v>
      </c>
      <c r="F399" t="s">
        <v>31</v>
      </c>
      <c r="G399" t="str">
        <f t="shared" si="371"/>
        <v>waste_mix</v>
      </c>
      <c r="H399">
        <f t="shared" si="373"/>
        <v>1</v>
      </c>
      <c r="I399">
        <f t="shared" si="374"/>
        <v>6</v>
      </c>
      <c r="J399">
        <f t="shared" si="375"/>
        <v>3</v>
      </c>
      <c r="N399">
        <f t="shared" si="372"/>
        <v>8.5000000000000006E-2</v>
      </c>
      <c r="O399" s="155">
        <f t="shared" si="377"/>
        <v>2660000.0000000019</v>
      </c>
    </row>
    <row r="400" spans="2:15">
      <c r="B400" t="str">
        <f t="shared" si="368"/>
        <v>CH0</v>
      </c>
      <c r="C400">
        <f t="shared" si="369"/>
        <v>2045</v>
      </c>
      <c r="D400" t="str">
        <f t="shared" si="370"/>
        <v>WAS_ELC</v>
      </c>
      <c r="E400" s="155">
        <f t="shared" si="376"/>
        <v>2433900.0000000019</v>
      </c>
      <c r="F400" t="s">
        <v>31</v>
      </c>
      <c r="G400" t="str">
        <f t="shared" si="371"/>
        <v>waste_mix</v>
      </c>
      <c r="H400">
        <f t="shared" si="373"/>
        <v>1</v>
      </c>
      <c r="I400">
        <f t="shared" si="374"/>
        <v>7</v>
      </c>
      <c r="J400">
        <f t="shared" si="375"/>
        <v>3</v>
      </c>
      <c r="N400">
        <f t="shared" si="372"/>
        <v>8.5000000000000006E-2</v>
      </c>
      <c r="O400" s="155">
        <f t="shared" si="377"/>
        <v>2660000.0000000019</v>
      </c>
    </row>
    <row r="401" spans="2:15">
      <c r="B401" t="str">
        <f t="shared" si="368"/>
        <v>CH0</v>
      </c>
      <c r="C401">
        <f t="shared" si="369"/>
        <v>2050</v>
      </c>
      <c r="D401" t="str">
        <f t="shared" si="370"/>
        <v>WAS_ELC</v>
      </c>
      <c r="E401" s="155">
        <f t="shared" si="376"/>
        <v>2433900.0000000019</v>
      </c>
      <c r="F401" t="s">
        <v>31</v>
      </c>
      <c r="G401" t="str">
        <f t="shared" si="371"/>
        <v>waste_mix</v>
      </c>
      <c r="H401">
        <f t="shared" si="373"/>
        <v>1</v>
      </c>
      <c r="I401">
        <f t="shared" si="374"/>
        <v>8</v>
      </c>
      <c r="J401">
        <f t="shared" si="375"/>
        <v>3</v>
      </c>
      <c r="N401">
        <f t="shared" si="372"/>
        <v>8.5000000000000006E-2</v>
      </c>
      <c r="O401" s="155">
        <f t="shared" si="377"/>
        <v>2660000.0000000019</v>
      </c>
    </row>
    <row r="402" spans="2:15">
      <c r="E402" s="155"/>
      <c r="O402" s="155"/>
    </row>
    <row r="403" spans="2:15">
      <c r="E403" s="155"/>
      <c r="H403">
        <f>COUNTA(H404:H411)</f>
        <v>1</v>
      </c>
      <c r="I403">
        <f>COUNTA(I404:I411)</f>
        <v>8</v>
      </c>
      <c r="J403">
        <f>COUNTA(J404:J411)</f>
        <v>1</v>
      </c>
      <c r="O403" s="155"/>
    </row>
    <row r="404" spans="2:15">
      <c r="E404" s="155"/>
      <c r="H404" t="s">
        <v>17</v>
      </c>
      <c r="I404">
        <v>2015</v>
      </c>
      <c r="J404" t="s">
        <v>65</v>
      </c>
      <c r="K404" t="s">
        <v>23</v>
      </c>
      <c r="O404" s="155"/>
    </row>
    <row r="405" spans="2:15">
      <c r="E405" s="155"/>
      <c r="I405">
        <v>2020</v>
      </c>
      <c r="O405" s="155"/>
    </row>
    <row r="406" spans="2:15">
      <c r="E406" s="155"/>
      <c r="I406">
        <v>2025</v>
      </c>
      <c r="O406" s="155"/>
    </row>
    <row r="407" spans="2:15">
      <c r="E407" s="155"/>
      <c r="I407">
        <v>2030</v>
      </c>
      <c r="O407" s="155"/>
    </row>
    <row r="408" spans="2:15">
      <c r="E408" s="155"/>
      <c r="I408">
        <v>2035</v>
      </c>
      <c r="O408" s="155"/>
    </row>
    <row r="409" spans="2:15">
      <c r="E409" s="155"/>
      <c r="I409">
        <v>2040</v>
      </c>
      <c r="O409" s="155"/>
    </row>
    <row r="410" spans="2:15">
      <c r="E410" s="155"/>
      <c r="I410">
        <v>2045</v>
      </c>
      <c r="O410" s="155"/>
    </row>
    <row r="411" spans="2:15">
      <c r="E411" s="155"/>
      <c r="I411">
        <v>2050</v>
      </c>
      <c r="O411" s="155"/>
    </row>
    <row r="412" spans="2:15">
      <c r="E412" s="155"/>
      <c r="O412" s="155"/>
    </row>
    <row r="413" spans="2:15">
      <c r="B413" t="str">
        <f t="shared" ref="B413:D420" si="378">INDEX(H$404:H$411,H413)</f>
        <v>IT0</v>
      </c>
      <c r="C413">
        <f t="shared" si="378"/>
        <v>2015</v>
      </c>
      <c r="D413" t="str">
        <f t="shared" si="378"/>
        <v>GEO_ELC</v>
      </c>
      <c r="E413" s="155">
        <f t="shared" si="376"/>
        <v>5918513.1060000099</v>
      </c>
      <c r="F413" t="s">
        <v>31</v>
      </c>
      <c r="G413" t="str">
        <f t="shared" ref="G413:G420" si="379">INDEX(K$404:K$411,K413)</f>
        <v>geothermal</v>
      </c>
      <c r="H413">
        <v>1</v>
      </c>
      <c r="I413">
        <v>1</v>
      </c>
      <c r="J413">
        <v>1</v>
      </c>
      <c r="K413">
        <v>1</v>
      </c>
      <c r="N413">
        <f t="shared" ref="N413:N420" si="380">INDEX($AJ$21:$AJ$249,MATCH(B413&amp;"."&amp;D413,$AH$21:$AH$249,0))</f>
        <v>4.7E-2</v>
      </c>
      <c r="O413" s="155">
        <f t="shared" si="377"/>
        <v>6210402.0000000102</v>
      </c>
    </row>
    <row r="414" spans="2:15">
      <c r="B414" t="str">
        <f t="shared" si="378"/>
        <v>IT0</v>
      </c>
      <c r="C414">
        <f t="shared" si="378"/>
        <v>2020</v>
      </c>
      <c r="D414" t="str">
        <f t="shared" si="378"/>
        <v>GEO_ELC</v>
      </c>
      <c r="E414" s="155">
        <f t="shared" si="376"/>
        <v>5918513.1059999997</v>
      </c>
      <c r="F414" t="s">
        <v>31</v>
      </c>
      <c r="G414" t="str">
        <f t="shared" si="379"/>
        <v>geothermal</v>
      </c>
      <c r="H414">
        <f t="shared" ref="H414:H420" si="381">IF(H413=$H$403,1,H413+1)</f>
        <v>1</v>
      </c>
      <c r="I414">
        <f t="shared" ref="I414:I420" si="382">IF(H414=1,IF(I413=$I$403,1,I413+1),I413)</f>
        <v>2</v>
      </c>
      <c r="J414">
        <f t="shared" ref="J414:J420" si="383">IF(AND(I414=1,I413&gt;1),IF(J413=$J$403,1,J413+1),J413)</f>
        <v>1</v>
      </c>
      <c r="K414">
        <f t="shared" ref="K414:K420" si="384">IF(AND(J414=1,J413&gt;1),IF(K413=$K$423,1,K413+1),K413)</f>
        <v>1</v>
      </c>
      <c r="N414">
        <f t="shared" si="380"/>
        <v>4.7E-2</v>
      </c>
      <c r="O414" s="155">
        <f t="shared" si="377"/>
        <v>6210402</v>
      </c>
    </row>
    <row r="415" spans="2:15">
      <c r="B415" t="str">
        <f t="shared" si="378"/>
        <v>IT0</v>
      </c>
      <c r="C415">
        <f t="shared" si="378"/>
        <v>2025</v>
      </c>
      <c r="D415" t="str">
        <f t="shared" si="378"/>
        <v>GEO_ELC</v>
      </c>
      <c r="E415" s="155">
        <f t="shared" si="376"/>
        <v>5918513.1059999997</v>
      </c>
      <c r="F415" t="s">
        <v>31</v>
      </c>
      <c r="G415" t="str">
        <f t="shared" si="379"/>
        <v>geothermal</v>
      </c>
      <c r="H415">
        <f t="shared" si="381"/>
        <v>1</v>
      </c>
      <c r="I415">
        <f t="shared" si="382"/>
        <v>3</v>
      </c>
      <c r="J415">
        <f t="shared" si="383"/>
        <v>1</v>
      </c>
      <c r="K415">
        <f t="shared" si="384"/>
        <v>1</v>
      </c>
      <c r="N415">
        <f t="shared" si="380"/>
        <v>4.7E-2</v>
      </c>
      <c r="O415" s="155">
        <f t="shared" si="377"/>
        <v>6210402</v>
      </c>
    </row>
    <row r="416" spans="2:15">
      <c r="B416" t="str">
        <f t="shared" si="378"/>
        <v>IT0</v>
      </c>
      <c r="C416">
        <f t="shared" si="378"/>
        <v>2030</v>
      </c>
      <c r="D416" t="str">
        <f t="shared" si="378"/>
        <v>GEO_ELC</v>
      </c>
      <c r="E416" s="155">
        <f t="shared" si="376"/>
        <v>5918513.1059999997</v>
      </c>
      <c r="F416" t="s">
        <v>31</v>
      </c>
      <c r="G416" t="str">
        <f t="shared" si="379"/>
        <v>geothermal</v>
      </c>
      <c r="H416">
        <f t="shared" si="381"/>
        <v>1</v>
      </c>
      <c r="I416">
        <f t="shared" si="382"/>
        <v>4</v>
      </c>
      <c r="J416">
        <f t="shared" si="383"/>
        <v>1</v>
      </c>
      <c r="K416">
        <f t="shared" si="384"/>
        <v>1</v>
      </c>
      <c r="N416">
        <f t="shared" si="380"/>
        <v>4.7E-2</v>
      </c>
      <c r="O416" s="155">
        <f t="shared" si="377"/>
        <v>6210402</v>
      </c>
    </row>
    <row r="417" spans="2:15">
      <c r="B417" t="str">
        <f t="shared" si="378"/>
        <v>IT0</v>
      </c>
      <c r="C417">
        <f t="shared" si="378"/>
        <v>2035</v>
      </c>
      <c r="D417" t="str">
        <f t="shared" si="378"/>
        <v>GEO_ELC</v>
      </c>
      <c r="E417" s="155">
        <f t="shared" si="376"/>
        <v>5918513.1059999997</v>
      </c>
      <c r="F417" t="s">
        <v>31</v>
      </c>
      <c r="G417" t="str">
        <f t="shared" si="379"/>
        <v>geothermal</v>
      </c>
      <c r="H417">
        <f t="shared" si="381"/>
        <v>1</v>
      </c>
      <c r="I417">
        <f t="shared" si="382"/>
        <v>5</v>
      </c>
      <c r="J417">
        <f t="shared" si="383"/>
        <v>1</v>
      </c>
      <c r="K417">
        <f t="shared" si="384"/>
        <v>1</v>
      </c>
      <c r="N417">
        <f t="shared" si="380"/>
        <v>4.7E-2</v>
      </c>
      <c r="O417" s="155">
        <f t="shared" si="377"/>
        <v>6210402</v>
      </c>
    </row>
    <row r="418" spans="2:15">
      <c r="B418" t="str">
        <f t="shared" si="378"/>
        <v>IT0</v>
      </c>
      <c r="C418">
        <f t="shared" si="378"/>
        <v>2040</v>
      </c>
      <c r="D418" t="str">
        <f t="shared" si="378"/>
        <v>GEO_ELC</v>
      </c>
      <c r="E418" s="155">
        <f t="shared" si="376"/>
        <v>5918513.1059999997</v>
      </c>
      <c r="F418" t="s">
        <v>31</v>
      </c>
      <c r="G418" t="str">
        <f t="shared" si="379"/>
        <v>geothermal</v>
      </c>
      <c r="H418">
        <f t="shared" si="381"/>
        <v>1</v>
      </c>
      <c r="I418">
        <f t="shared" si="382"/>
        <v>6</v>
      </c>
      <c r="J418">
        <f t="shared" si="383"/>
        <v>1</v>
      </c>
      <c r="K418">
        <f t="shared" si="384"/>
        <v>1</v>
      </c>
      <c r="N418">
        <f t="shared" si="380"/>
        <v>4.7E-2</v>
      </c>
      <c r="O418" s="155">
        <f t="shared" si="377"/>
        <v>6210402</v>
      </c>
    </row>
    <row r="419" spans="2:15">
      <c r="B419" t="str">
        <f t="shared" si="378"/>
        <v>IT0</v>
      </c>
      <c r="C419">
        <f t="shared" si="378"/>
        <v>2045</v>
      </c>
      <c r="D419" t="str">
        <f t="shared" si="378"/>
        <v>GEO_ELC</v>
      </c>
      <c r="E419" s="155">
        <f t="shared" si="376"/>
        <v>5478976.1639999999</v>
      </c>
      <c r="F419" t="s">
        <v>31</v>
      </c>
      <c r="G419" t="str">
        <f t="shared" si="379"/>
        <v>geothermal</v>
      </c>
      <c r="H419">
        <f t="shared" si="381"/>
        <v>1</v>
      </c>
      <c r="I419">
        <f t="shared" si="382"/>
        <v>7</v>
      </c>
      <c r="J419">
        <f t="shared" si="383"/>
        <v>1</v>
      </c>
      <c r="K419">
        <f t="shared" si="384"/>
        <v>1</v>
      </c>
      <c r="N419">
        <f t="shared" si="380"/>
        <v>4.7E-2</v>
      </c>
      <c r="O419" s="155">
        <f t="shared" si="377"/>
        <v>5749188</v>
      </c>
    </row>
    <row r="420" spans="2:15">
      <c r="B420" t="str">
        <f t="shared" si="378"/>
        <v>IT0</v>
      </c>
      <c r="C420">
        <f t="shared" si="378"/>
        <v>2050</v>
      </c>
      <c r="D420" t="str">
        <f t="shared" si="378"/>
        <v>GEO_ELC</v>
      </c>
      <c r="E420" s="155">
        <f t="shared" si="376"/>
        <v>5478976.1640000092</v>
      </c>
      <c r="F420" t="s">
        <v>31</v>
      </c>
      <c r="G420" t="str">
        <f t="shared" si="379"/>
        <v>geothermal</v>
      </c>
      <c r="H420">
        <f t="shared" si="381"/>
        <v>1</v>
      </c>
      <c r="I420">
        <f t="shared" si="382"/>
        <v>8</v>
      </c>
      <c r="J420">
        <f t="shared" si="383"/>
        <v>1</v>
      </c>
      <c r="K420">
        <f t="shared" si="384"/>
        <v>1</v>
      </c>
      <c r="N420">
        <f t="shared" si="380"/>
        <v>4.7E-2</v>
      </c>
      <c r="O420" s="155">
        <f t="shared" si="377"/>
        <v>5749188.0000000102</v>
      </c>
    </row>
    <row r="421" spans="2:15">
      <c r="E421" s="155"/>
      <c r="O421" s="155"/>
    </row>
    <row r="422" spans="2:15">
      <c r="E422" s="155"/>
      <c r="O422" s="155"/>
    </row>
    <row r="423" spans="2:15">
      <c r="E423" s="155"/>
      <c r="H423">
        <f>COUNTA(H424:H431)</f>
        <v>1</v>
      </c>
      <c r="I423">
        <f>COUNTA(I424:I431)</f>
        <v>8</v>
      </c>
      <c r="J423">
        <f>COUNTA(J424:J431)</f>
        <v>5</v>
      </c>
      <c r="K423">
        <f>COUNTA(K424:K431)</f>
        <v>3</v>
      </c>
      <c r="L423">
        <f>PRODUCT(H423:K423)</f>
        <v>120</v>
      </c>
      <c r="O423" s="155"/>
    </row>
    <row r="424" spans="2:15">
      <c r="E424" s="155"/>
      <c r="H424" t="s">
        <v>14</v>
      </c>
      <c r="I424">
        <v>2015</v>
      </c>
      <c r="J424" t="s">
        <v>55</v>
      </c>
      <c r="K424" t="s">
        <v>142</v>
      </c>
      <c r="L424" t="s">
        <v>124</v>
      </c>
      <c r="M424" t="s">
        <v>11</v>
      </c>
      <c r="O424" s="155"/>
    </row>
    <row r="425" spans="2:15">
      <c r="E425" s="155"/>
      <c r="I425">
        <v>2020</v>
      </c>
      <c r="J425" t="s">
        <v>65</v>
      </c>
      <c r="K425" t="s">
        <v>143</v>
      </c>
      <c r="L425" t="s">
        <v>125</v>
      </c>
      <c r="M425" t="s">
        <v>23</v>
      </c>
      <c r="O425" s="155"/>
    </row>
    <row r="426" spans="2:15">
      <c r="E426" s="155"/>
      <c r="I426">
        <v>2025</v>
      </c>
      <c r="J426" t="s">
        <v>460</v>
      </c>
      <c r="K426" t="s">
        <v>296</v>
      </c>
      <c r="L426" t="s">
        <v>31</v>
      </c>
      <c r="M426" t="s">
        <v>473</v>
      </c>
      <c r="O426" s="155"/>
    </row>
    <row r="427" spans="2:15">
      <c r="E427" s="155"/>
      <c r="I427">
        <v>2030</v>
      </c>
      <c r="J427" t="s">
        <v>105</v>
      </c>
      <c r="M427" t="s">
        <v>131</v>
      </c>
      <c r="O427" s="155"/>
    </row>
    <row r="428" spans="2:15">
      <c r="E428" s="155"/>
      <c r="I428">
        <v>2035</v>
      </c>
      <c r="J428" t="s">
        <v>120</v>
      </c>
      <c r="M428" t="s">
        <v>141</v>
      </c>
      <c r="O428" s="155"/>
    </row>
    <row r="429" spans="2:15">
      <c r="E429" s="155"/>
      <c r="I429">
        <v>2040</v>
      </c>
      <c r="O429" s="155"/>
    </row>
    <row r="430" spans="2:15">
      <c r="E430" s="155"/>
      <c r="I430">
        <v>2045</v>
      </c>
      <c r="O430" s="155"/>
    </row>
    <row r="431" spans="2:15">
      <c r="E431" s="155"/>
      <c r="I431">
        <v>2050</v>
      </c>
      <c r="O431" s="155"/>
    </row>
    <row r="432" spans="2:15">
      <c r="E432" s="155"/>
      <c r="O432" s="155"/>
    </row>
    <row r="433" spans="2:15">
      <c r="B433" t="str">
        <f t="shared" ref="B433:B464" si="385">INDEX(H$424:H$431,H433)</f>
        <v>CH0</v>
      </c>
      <c r="C433">
        <f t="shared" ref="C433:C464" si="386">INDEX(I$424:I$431,I433)</f>
        <v>2015</v>
      </c>
      <c r="D433" t="str">
        <f t="shared" ref="D433:D464" si="387">INDEX(J$424:J$431,J433)</f>
        <v>BAL_ELC</v>
      </c>
      <c r="E433" s="155">
        <f t="shared" si="376"/>
        <v>195450.84420000002</v>
      </c>
      <c r="F433" t="str">
        <f t="shared" ref="F433:F464" si="388">INDEX(L$424:L$431,K433)</f>
        <v>hi_gas</v>
      </c>
      <c r="G433" t="str">
        <f t="shared" ref="G433:G464" si="389">INDEX(M$424:M$431,J433)</f>
        <v>bio_all</v>
      </c>
      <c r="H433">
        <v>1</v>
      </c>
      <c r="I433">
        <v>1</v>
      </c>
      <c r="J433">
        <v>1</v>
      </c>
      <c r="K433">
        <v>1</v>
      </c>
      <c r="L433" t="str">
        <f t="shared" ref="L433:L464" si="390">INDEX(K$424:K$431,K433)</f>
        <v>POM C</v>
      </c>
      <c r="N433">
        <f>INDEX($AJ$21:$AJ$249,MATCH(B433&amp;"."&amp;D433&amp;"."&amp;L433,$AH$21:$AH$249,0))</f>
        <v>8.5000000000000006E-2</v>
      </c>
      <c r="O433" s="155">
        <f>INDEX($W$21:$AE$247,MATCH(B433&amp;"."&amp;D433&amp;"."&amp;L433,$AH$21:$AH$246,0),MATCH(C433,$W$20:$AE$20,0))</f>
        <v>213607.48</v>
      </c>
    </row>
    <row r="434" spans="2:15">
      <c r="B434" t="str">
        <f t="shared" si="385"/>
        <v>CH0</v>
      </c>
      <c r="C434">
        <f t="shared" si="386"/>
        <v>2020</v>
      </c>
      <c r="D434" t="str">
        <f t="shared" si="387"/>
        <v>BAL_ELC</v>
      </c>
      <c r="E434" s="155">
        <f t="shared" si="376"/>
        <v>536167.62299361755</v>
      </c>
      <c r="F434" t="str">
        <f t="shared" si="388"/>
        <v>hi_gas</v>
      </c>
      <c r="G434" t="str">
        <f t="shared" si="389"/>
        <v>bio_all</v>
      </c>
      <c r="H434">
        <f t="shared" ref="H434:H465" si="391">IF(H433=$H$423,1,H433+1)</f>
        <v>1</v>
      </c>
      <c r="I434">
        <f t="shared" ref="I434:I465" si="392">IF(H434=1,IF(I433=$I$423,1,I433+1),I433)</f>
        <v>2</v>
      </c>
      <c r="J434">
        <f t="shared" ref="J434:J465" si="393">IF(AND(I434=1,I433&gt;1),IF(J433=$J$423,1,J433+1),J433)</f>
        <v>1</v>
      </c>
      <c r="K434">
        <f t="shared" ref="K434:K465" si="394">IF(AND(J434=1,J433&gt;1),IF(K433=$K$423,1,K433+1),K433)</f>
        <v>1</v>
      </c>
      <c r="L434" t="str">
        <f t="shared" si="390"/>
        <v>POM C</v>
      </c>
      <c r="N434">
        <f t="shared" ref="N434:N497" si="395">INDEX($AJ$21:$AJ$249,MATCH(B434&amp;"."&amp;D434&amp;"."&amp;L434,$AH$21:$AH$249,0))</f>
        <v>8.5000000000000006E-2</v>
      </c>
      <c r="O434" s="155">
        <f t="shared" ref="O434:O497" si="396">INDEX($W$21:$AE$247,MATCH(B434&amp;"."&amp;D434&amp;"."&amp;L434,$AH$21:$AH$246,0),MATCH(C434,$W$20:$AE$20,0))</f>
        <v>585975.54425531975</v>
      </c>
    </row>
    <row r="435" spans="2:15">
      <c r="B435" t="str">
        <f t="shared" si="385"/>
        <v>CH0</v>
      </c>
      <c r="C435">
        <f t="shared" si="386"/>
        <v>2025</v>
      </c>
      <c r="D435" t="str">
        <f t="shared" si="387"/>
        <v>BAL_ELC</v>
      </c>
      <c r="E435" s="155">
        <f t="shared" si="376"/>
        <v>952599.24151914846</v>
      </c>
      <c r="F435" t="str">
        <f t="shared" si="388"/>
        <v>hi_gas</v>
      </c>
      <c r="G435" t="str">
        <f t="shared" si="389"/>
        <v>bio_all</v>
      </c>
      <c r="H435">
        <f t="shared" si="391"/>
        <v>1</v>
      </c>
      <c r="I435">
        <f t="shared" si="392"/>
        <v>3</v>
      </c>
      <c r="J435">
        <f t="shared" si="393"/>
        <v>1</v>
      </c>
      <c r="K435">
        <f t="shared" si="394"/>
        <v>1</v>
      </c>
      <c r="L435" t="str">
        <f t="shared" si="390"/>
        <v>POM C</v>
      </c>
      <c r="N435">
        <f t="shared" si="395"/>
        <v>8.5000000000000006E-2</v>
      </c>
      <c r="O435" s="155">
        <f t="shared" si="396"/>
        <v>1041092.067234042</v>
      </c>
    </row>
    <row r="436" spans="2:15">
      <c r="B436" t="str">
        <f t="shared" si="385"/>
        <v>CH0</v>
      </c>
      <c r="C436">
        <f t="shared" si="386"/>
        <v>2030</v>
      </c>
      <c r="D436" t="str">
        <f t="shared" si="387"/>
        <v>BAL_ELC</v>
      </c>
      <c r="E436" s="155">
        <f t="shared" si="376"/>
        <v>1293316.0203127661</v>
      </c>
      <c r="F436" t="str">
        <f t="shared" si="388"/>
        <v>hi_gas</v>
      </c>
      <c r="G436" t="str">
        <f t="shared" si="389"/>
        <v>bio_all</v>
      </c>
      <c r="H436">
        <f t="shared" si="391"/>
        <v>1</v>
      </c>
      <c r="I436">
        <f t="shared" si="392"/>
        <v>4</v>
      </c>
      <c r="J436">
        <f t="shared" si="393"/>
        <v>1</v>
      </c>
      <c r="K436">
        <f t="shared" si="394"/>
        <v>1</v>
      </c>
      <c r="L436" t="str">
        <f t="shared" si="390"/>
        <v>POM C</v>
      </c>
      <c r="N436">
        <f t="shared" si="395"/>
        <v>8.5000000000000006E-2</v>
      </c>
      <c r="O436" s="155">
        <f t="shared" si="396"/>
        <v>1413460.1314893619</v>
      </c>
    </row>
    <row r="437" spans="2:15">
      <c r="B437" t="str">
        <f t="shared" si="385"/>
        <v>CH0</v>
      </c>
      <c r="C437">
        <f t="shared" si="386"/>
        <v>2035</v>
      </c>
      <c r="D437" t="str">
        <f t="shared" si="387"/>
        <v>BAL_ELC</v>
      </c>
      <c r="E437" s="155">
        <f t="shared" si="376"/>
        <v>1305935.1602680848</v>
      </c>
      <c r="F437" t="str">
        <f t="shared" si="388"/>
        <v>hi_gas</v>
      </c>
      <c r="G437" t="str">
        <f t="shared" si="389"/>
        <v>bio_all</v>
      </c>
      <c r="H437">
        <f t="shared" si="391"/>
        <v>1</v>
      </c>
      <c r="I437">
        <f t="shared" si="392"/>
        <v>5</v>
      </c>
      <c r="J437">
        <f t="shared" si="393"/>
        <v>1</v>
      </c>
      <c r="K437">
        <f t="shared" si="394"/>
        <v>1</v>
      </c>
      <c r="L437" t="str">
        <f t="shared" si="390"/>
        <v>POM C</v>
      </c>
      <c r="N437">
        <f t="shared" si="395"/>
        <v>8.5000000000000006E-2</v>
      </c>
      <c r="O437" s="155">
        <f t="shared" si="396"/>
        <v>1427251.5412765953</v>
      </c>
    </row>
    <row r="438" spans="2:15">
      <c r="B438" t="str">
        <f t="shared" si="385"/>
        <v>CH0</v>
      </c>
      <c r="C438">
        <f t="shared" si="386"/>
        <v>2040</v>
      </c>
      <c r="D438" t="str">
        <f t="shared" si="387"/>
        <v>BAL_ELC</v>
      </c>
      <c r="E438" s="155">
        <f t="shared" si="376"/>
        <v>1343792.5801340416</v>
      </c>
      <c r="F438" t="str">
        <f t="shared" si="388"/>
        <v>hi_gas</v>
      </c>
      <c r="G438" t="str">
        <f t="shared" si="389"/>
        <v>bio_all</v>
      </c>
      <c r="H438">
        <f t="shared" si="391"/>
        <v>1</v>
      </c>
      <c r="I438">
        <f t="shared" si="392"/>
        <v>6</v>
      </c>
      <c r="J438">
        <f t="shared" si="393"/>
        <v>1</v>
      </c>
      <c r="K438">
        <f t="shared" si="394"/>
        <v>1</v>
      </c>
      <c r="L438" t="str">
        <f t="shared" si="390"/>
        <v>POM C</v>
      </c>
      <c r="N438">
        <f t="shared" si="395"/>
        <v>8.5000000000000006E-2</v>
      </c>
      <c r="O438" s="155">
        <f t="shared" si="396"/>
        <v>1468625.7706382968</v>
      </c>
    </row>
    <row r="439" spans="2:15">
      <c r="B439" t="str">
        <f t="shared" si="385"/>
        <v>CH0</v>
      </c>
      <c r="C439">
        <f t="shared" si="386"/>
        <v>2045</v>
      </c>
      <c r="D439" t="str">
        <f t="shared" si="387"/>
        <v>BAL_ELC</v>
      </c>
      <c r="E439" s="155">
        <f t="shared" si="376"/>
        <v>1381649.9999999981</v>
      </c>
      <c r="F439" t="str">
        <f t="shared" si="388"/>
        <v>hi_gas</v>
      </c>
      <c r="G439" t="str">
        <f t="shared" si="389"/>
        <v>bio_all</v>
      </c>
      <c r="H439">
        <f t="shared" si="391"/>
        <v>1</v>
      </c>
      <c r="I439">
        <f t="shared" si="392"/>
        <v>7</v>
      </c>
      <c r="J439">
        <f t="shared" si="393"/>
        <v>1</v>
      </c>
      <c r="K439">
        <f t="shared" si="394"/>
        <v>1</v>
      </c>
      <c r="L439" t="str">
        <f t="shared" si="390"/>
        <v>POM C</v>
      </c>
      <c r="N439">
        <f t="shared" si="395"/>
        <v>8.5000000000000006E-2</v>
      </c>
      <c r="O439" s="155">
        <f t="shared" si="396"/>
        <v>1509999.9999999979</v>
      </c>
    </row>
    <row r="440" spans="2:15">
      <c r="B440" t="str">
        <f t="shared" si="385"/>
        <v>CH0</v>
      </c>
      <c r="C440">
        <f t="shared" si="386"/>
        <v>2050</v>
      </c>
      <c r="D440" t="str">
        <f t="shared" si="387"/>
        <v>BAL_ELC</v>
      </c>
      <c r="E440" s="155">
        <f t="shared" si="376"/>
        <v>1381649.9999999981</v>
      </c>
      <c r="F440" t="str">
        <f t="shared" si="388"/>
        <v>hi_gas</v>
      </c>
      <c r="G440" t="str">
        <f t="shared" si="389"/>
        <v>bio_all</v>
      </c>
      <c r="H440">
        <f t="shared" si="391"/>
        <v>1</v>
      </c>
      <c r="I440">
        <f t="shared" si="392"/>
        <v>8</v>
      </c>
      <c r="J440">
        <f t="shared" si="393"/>
        <v>1</v>
      </c>
      <c r="K440">
        <f t="shared" si="394"/>
        <v>1</v>
      </c>
      <c r="L440" t="str">
        <f t="shared" si="390"/>
        <v>POM C</v>
      </c>
      <c r="N440">
        <f t="shared" si="395"/>
        <v>8.5000000000000006E-2</v>
      </c>
      <c r="O440" s="155">
        <f t="shared" si="396"/>
        <v>1509999.9999999979</v>
      </c>
    </row>
    <row r="441" spans="2:15">
      <c r="B441" t="str">
        <f t="shared" si="385"/>
        <v>CH0</v>
      </c>
      <c r="C441">
        <f t="shared" si="386"/>
        <v>2015</v>
      </c>
      <c r="D441" t="str">
        <f t="shared" si="387"/>
        <v>GEO_ELC</v>
      </c>
      <c r="E441" s="155">
        <f t="shared" si="376"/>
        <v>0</v>
      </c>
      <c r="F441" t="str">
        <f t="shared" si="388"/>
        <v>hi_gas</v>
      </c>
      <c r="G441" t="str">
        <f t="shared" si="389"/>
        <v>geothermal</v>
      </c>
      <c r="H441">
        <f t="shared" si="391"/>
        <v>1</v>
      </c>
      <c r="I441">
        <f t="shared" si="392"/>
        <v>1</v>
      </c>
      <c r="J441">
        <f t="shared" si="393"/>
        <v>2</v>
      </c>
      <c r="K441">
        <f t="shared" si="394"/>
        <v>1</v>
      </c>
      <c r="L441" t="str">
        <f t="shared" si="390"/>
        <v>POM C</v>
      </c>
      <c r="N441">
        <f t="shared" si="395"/>
        <v>4.7E-2</v>
      </c>
      <c r="O441" s="155">
        <f t="shared" si="396"/>
        <v>0</v>
      </c>
    </row>
    <row r="442" spans="2:15">
      <c r="B442" t="str">
        <f t="shared" si="385"/>
        <v>CH0</v>
      </c>
      <c r="C442">
        <f t="shared" si="386"/>
        <v>2020</v>
      </c>
      <c r="D442" t="str">
        <f t="shared" si="387"/>
        <v>GEO_ELC</v>
      </c>
      <c r="E442" s="155">
        <f t="shared" si="376"/>
        <v>71841.538461538454</v>
      </c>
      <c r="F442" t="str">
        <f t="shared" si="388"/>
        <v>hi_gas</v>
      </c>
      <c r="G442" t="str">
        <f t="shared" si="389"/>
        <v>geothermal</v>
      </c>
      <c r="H442">
        <f t="shared" si="391"/>
        <v>1</v>
      </c>
      <c r="I442">
        <f t="shared" si="392"/>
        <v>2</v>
      </c>
      <c r="J442">
        <f t="shared" si="393"/>
        <v>2</v>
      </c>
      <c r="K442">
        <f t="shared" si="394"/>
        <v>1</v>
      </c>
      <c r="L442" t="str">
        <f t="shared" si="390"/>
        <v>POM C</v>
      </c>
      <c r="N442">
        <f t="shared" si="395"/>
        <v>4.7E-2</v>
      </c>
      <c r="O442" s="155">
        <f t="shared" si="396"/>
        <v>75384.615384615376</v>
      </c>
    </row>
    <row r="443" spans="2:15">
      <c r="B443" t="str">
        <f t="shared" si="385"/>
        <v>CH0</v>
      </c>
      <c r="C443">
        <f t="shared" si="386"/>
        <v>2025</v>
      </c>
      <c r="D443" t="str">
        <f t="shared" si="387"/>
        <v>GEO_ELC</v>
      </c>
      <c r="E443" s="155">
        <f t="shared" si="376"/>
        <v>174472.30769230769</v>
      </c>
      <c r="F443" t="str">
        <f t="shared" si="388"/>
        <v>hi_gas</v>
      </c>
      <c r="G443" t="str">
        <f t="shared" si="389"/>
        <v>geothermal</v>
      </c>
      <c r="H443">
        <f t="shared" si="391"/>
        <v>1</v>
      </c>
      <c r="I443">
        <f t="shared" si="392"/>
        <v>3</v>
      </c>
      <c r="J443">
        <f t="shared" si="393"/>
        <v>2</v>
      </c>
      <c r="K443">
        <f t="shared" si="394"/>
        <v>1</v>
      </c>
      <c r="L443" t="str">
        <f t="shared" si="390"/>
        <v>POM C</v>
      </c>
      <c r="N443">
        <f t="shared" si="395"/>
        <v>4.7E-2</v>
      </c>
      <c r="O443" s="155">
        <f t="shared" si="396"/>
        <v>183076.92307692309</v>
      </c>
    </row>
    <row r="444" spans="2:15">
      <c r="B444" t="str">
        <f t="shared" si="385"/>
        <v>CH0</v>
      </c>
      <c r="C444">
        <f t="shared" si="386"/>
        <v>2030</v>
      </c>
      <c r="D444" t="str">
        <f t="shared" si="387"/>
        <v>GEO_ELC</v>
      </c>
      <c r="E444" s="155">
        <f t="shared" si="376"/>
        <v>307892.30769230792</v>
      </c>
      <c r="F444" t="str">
        <f t="shared" si="388"/>
        <v>hi_gas</v>
      </c>
      <c r="G444" t="str">
        <f t="shared" si="389"/>
        <v>geothermal</v>
      </c>
      <c r="H444">
        <f t="shared" si="391"/>
        <v>1</v>
      </c>
      <c r="I444">
        <f t="shared" si="392"/>
        <v>4</v>
      </c>
      <c r="J444">
        <f t="shared" si="393"/>
        <v>2</v>
      </c>
      <c r="K444">
        <f t="shared" si="394"/>
        <v>1</v>
      </c>
      <c r="L444" t="str">
        <f t="shared" si="390"/>
        <v>POM C</v>
      </c>
      <c r="N444">
        <f t="shared" si="395"/>
        <v>4.7E-2</v>
      </c>
      <c r="O444" s="155">
        <f t="shared" si="396"/>
        <v>323076.92307692335</v>
      </c>
    </row>
    <row r="445" spans="2:15">
      <c r="B445" t="str">
        <f t="shared" si="385"/>
        <v>CH0</v>
      </c>
      <c r="C445">
        <f t="shared" si="386"/>
        <v>2035</v>
      </c>
      <c r="D445" t="str">
        <f t="shared" si="387"/>
        <v>GEO_ELC</v>
      </c>
      <c r="E445" s="155">
        <f t="shared" si="376"/>
        <v>369470.76923076913</v>
      </c>
      <c r="F445" t="str">
        <f t="shared" si="388"/>
        <v>hi_gas</v>
      </c>
      <c r="G445" t="str">
        <f t="shared" si="389"/>
        <v>geothermal</v>
      </c>
      <c r="H445">
        <f t="shared" si="391"/>
        <v>1</v>
      </c>
      <c r="I445">
        <f t="shared" si="392"/>
        <v>5</v>
      </c>
      <c r="J445">
        <f t="shared" si="393"/>
        <v>2</v>
      </c>
      <c r="K445">
        <f t="shared" si="394"/>
        <v>1</v>
      </c>
      <c r="L445" t="str">
        <f t="shared" si="390"/>
        <v>POM C</v>
      </c>
      <c r="N445">
        <f t="shared" si="395"/>
        <v>4.7E-2</v>
      </c>
      <c r="O445" s="155">
        <f t="shared" si="396"/>
        <v>387692.30769230763</v>
      </c>
    </row>
    <row r="446" spans="2:15">
      <c r="B446" t="str">
        <f t="shared" si="385"/>
        <v>CH0</v>
      </c>
      <c r="C446">
        <f t="shared" si="386"/>
        <v>2040</v>
      </c>
      <c r="D446" t="str">
        <f t="shared" si="387"/>
        <v>GEO_ELC</v>
      </c>
      <c r="E446" s="155">
        <f t="shared" si="376"/>
        <v>369470.76923076913</v>
      </c>
      <c r="F446" t="str">
        <f t="shared" si="388"/>
        <v>hi_gas</v>
      </c>
      <c r="G446" t="str">
        <f t="shared" si="389"/>
        <v>geothermal</v>
      </c>
      <c r="H446">
        <f t="shared" si="391"/>
        <v>1</v>
      </c>
      <c r="I446">
        <f t="shared" si="392"/>
        <v>6</v>
      </c>
      <c r="J446">
        <f t="shared" si="393"/>
        <v>2</v>
      </c>
      <c r="K446">
        <f t="shared" si="394"/>
        <v>1</v>
      </c>
      <c r="L446" t="str">
        <f t="shared" si="390"/>
        <v>POM C</v>
      </c>
      <c r="N446">
        <f t="shared" si="395"/>
        <v>4.7E-2</v>
      </c>
      <c r="O446" s="155">
        <f t="shared" si="396"/>
        <v>387692.30769230763</v>
      </c>
    </row>
    <row r="447" spans="2:15">
      <c r="B447" t="str">
        <f t="shared" si="385"/>
        <v>CH0</v>
      </c>
      <c r="C447">
        <f t="shared" si="386"/>
        <v>2045</v>
      </c>
      <c r="D447" t="str">
        <f t="shared" si="387"/>
        <v>GEO_ELC</v>
      </c>
      <c r="E447" s="155">
        <f t="shared" si="376"/>
        <v>400260.00000000012</v>
      </c>
      <c r="F447" t="str">
        <f t="shared" si="388"/>
        <v>hi_gas</v>
      </c>
      <c r="G447" t="str">
        <f t="shared" si="389"/>
        <v>geothermal</v>
      </c>
      <c r="H447">
        <f t="shared" si="391"/>
        <v>1</v>
      </c>
      <c r="I447">
        <f t="shared" si="392"/>
        <v>7</v>
      </c>
      <c r="J447">
        <f t="shared" si="393"/>
        <v>2</v>
      </c>
      <c r="K447">
        <f t="shared" si="394"/>
        <v>1</v>
      </c>
      <c r="L447" t="str">
        <f t="shared" si="390"/>
        <v>POM C</v>
      </c>
      <c r="N447">
        <f t="shared" si="395"/>
        <v>4.7E-2</v>
      </c>
      <c r="O447" s="155">
        <f t="shared" si="396"/>
        <v>420000.00000000012</v>
      </c>
    </row>
    <row r="448" spans="2:15">
      <c r="B448" t="str">
        <f t="shared" si="385"/>
        <v>CH0</v>
      </c>
      <c r="C448">
        <f t="shared" si="386"/>
        <v>2050</v>
      </c>
      <c r="D448" t="str">
        <f t="shared" si="387"/>
        <v>GEO_ELC</v>
      </c>
      <c r="E448" s="155">
        <f t="shared" si="376"/>
        <v>400260</v>
      </c>
      <c r="F448" t="str">
        <f t="shared" si="388"/>
        <v>hi_gas</v>
      </c>
      <c r="G448" t="str">
        <f t="shared" si="389"/>
        <v>geothermal</v>
      </c>
      <c r="H448">
        <f t="shared" si="391"/>
        <v>1</v>
      </c>
      <c r="I448">
        <f t="shared" si="392"/>
        <v>8</v>
      </c>
      <c r="J448">
        <f t="shared" si="393"/>
        <v>2</v>
      </c>
      <c r="K448">
        <f t="shared" si="394"/>
        <v>1</v>
      </c>
      <c r="L448" t="str">
        <f t="shared" si="390"/>
        <v>POM C</v>
      </c>
      <c r="N448">
        <f t="shared" si="395"/>
        <v>4.7E-2</v>
      </c>
      <c r="O448" s="155">
        <f t="shared" si="396"/>
        <v>420000</v>
      </c>
    </row>
    <row r="449" spans="2:15">
      <c r="B449" t="str">
        <f t="shared" si="385"/>
        <v>CH0</v>
      </c>
      <c r="C449">
        <f t="shared" si="386"/>
        <v>2015</v>
      </c>
      <c r="D449" t="str">
        <f t="shared" si="387"/>
        <v>GAS_OIL</v>
      </c>
      <c r="E449" s="155">
        <f t="shared" si="376"/>
        <v>2623500</v>
      </c>
      <c r="F449" t="str">
        <f t="shared" si="388"/>
        <v>hi_gas</v>
      </c>
      <c r="G449" t="str">
        <f t="shared" si="389"/>
        <v>gas+oil</v>
      </c>
      <c r="H449">
        <f t="shared" si="391"/>
        <v>1</v>
      </c>
      <c r="I449">
        <f t="shared" si="392"/>
        <v>1</v>
      </c>
      <c r="J449">
        <f t="shared" si="393"/>
        <v>3</v>
      </c>
      <c r="K449">
        <f t="shared" si="394"/>
        <v>1</v>
      </c>
      <c r="L449" t="str">
        <f t="shared" si="390"/>
        <v>POM C</v>
      </c>
      <c r="N449">
        <f t="shared" si="395"/>
        <v>0.01</v>
      </c>
      <c r="O449" s="155">
        <f t="shared" si="396"/>
        <v>2650000</v>
      </c>
    </row>
    <row r="450" spans="2:15">
      <c r="B450" t="str">
        <f t="shared" si="385"/>
        <v>CH0</v>
      </c>
      <c r="C450">
        <f t="shared" si="386"/>
        <v>2020</v>
      </c>
      <c r="D450" t="str">
        <f t="shared" si="387"/>
        <v>GAS_OIL</v>
      </c>
      <c r="E450" s="155">
        <f t="shared" si="376"/>
        <v>3900600</v>
      </c>
      <c r="F450" t="str">
        <f t="shared" si="388"/>
        <v>hi_gas</v>
      </c>
      <c r="G450" t="str">
        <f t="shared" si="389"/>
        <v>gas+oil</v>
      </c>
      <c r="H450">
        <f t="shared" si="391"/>
        <v>1</v>
      </c>
      <c r="I450">
        <f t="shared" si="392"/>
        <v>2</v>
      </c>
      <c r="J450">
        <f t="shared" si="393"/>
        <v>3</v>
      </c>
      <c r="K450">
        <f t="shared" si="394"/>
        <v>1</v>
      </c>
      <c r="L450" t="str">
        <f t="shared" si="390"/>
        <v>POM C</v>
      </c>
      <c r="N450">
        <f t="shared" si="395"/>
        <v>0.01</v>
      </c>
      <c r="O450" s="155">
        <f t="shared" si="396"/>
        <v>3940000</v>
      </c>
    </row>
    <row r="451" spans="2:15">
      <c r="B451" t="str">
        <f t="shared" si="385"/>
        <v>CH0</v>
      </c>
      <c r="C451">
        <f t="shared" si="386"/>
        <v>2025</v>
      </c>
      <c r="D451" t="str">
        <f t="shared" si="387"/>
        <v>GAS_OIL</v>
      </c>
      <c r="E451" s="155">
        <f t="shared" si="376"/>
        <v>6831000</v>
      </c>
      <c r="F451" t="str">
        <f t="shared" si="388"/>
        <v>hi_gas</v>
      </c>
      <c r="G451" t="str">
        <f t="shared" si="389"/>
        <v>gas+oil</v>
      </c>
      <c r="H451">
        <f t="shared" si="391"/>
        <v>1</v>
      </c>
      <c r="I451">
        <f t="shared" si="392"/>
        <v>3</v>
      </c>
      <c r="J451">
        <f t="shared" si="393"/>
        <v>3</v>
      </c>
      <c r="K451">
        <f t="shared" si="394"/>
        <v>1</v>
      </c>
      <c r="L451" t="str">
        <f t="shared" si="390"/>
        <v>POM C</v>
      </c>
      <c r="N451">
        <f t="shared" si="395"/>
        <v>0.01</v>
      </c>
      <c r="O451" s="155">
        <f t="shared" si="396"/>
        <v>6900000</v>
      </c>
    </row>
    <row r="452" spans="2:15">
      <c r="B452" t="str">
        <f t="shared" si="385"/>
        <v>CH0</v>
      </c>
      <c r="C452">
        <f t="shared" si="386"/>
        <v>2030</v>
      </c>
      <c r="D452" t="str">
        <f t="shared" si="387"/>
        <v>GAS_OIL</v>
      </c>
      <c r="E452" s="155">
        <f t="shared" si="376"/>
        <v>9919800.0000000019</v>
      </c>
      <c r="F452" t="str">
        <f t="shared" si="388"/>
        <v>hi_gas</v>
      </c>
      <c r="G452" t="str">
        <f t="shared" si="389"/>
        <v>gas+oil</v>
      </c>
      <c r="H452">
        <f t="shared" si="391"/>
        <v>1</v>
      </c>
      <c r="I452">
        <f t="shared" si="392"/>
        <v>4</v>
      </c>
      <c r="J452">
        <f t="shared" si="393"/>
        <v>3</v>
      </c>
      <c r="K452">
        <f t="shared" si="394"/>
        <v>1</v>
      </c>
      <c r="L452" t="str">
        <f t="shared" si="390"/>
        <v>POM C</v>
      </c>
      <c r="N452">
        <f t="shared" si="395"/>
        <v>0.01</v>
      </c>
      <c r="O452" s="155">
        <f t="shared" si="396"/>
        <v>10020000.000000002</v>
      </c>
    </row>
    <row r="453" spans="2:15">
      <c r="B453" t="str">
        <f t="shared" si="385"/>
        <v>CH0</v>
      </c>
      <c r="C453">
        <f t="shared" si="386"/>
        <v>2035</v>
      </c>
      <c r="D453" t="str">
        <f t="shared" si="387"/>
        <v>GAS_OIL</v>
      </c>
      <c r="E453" s="155">
        <f t="shared" si="376"/>
        <v>22067100</v>
      </c>
      <c r="F453" t="str">
        <f t="shared" si="388"/>
        <v>hi_gas</v>
      </c>
      <c r="G453" t="str">
        <f t="shared" si="389"/>
        <v>gas+oil</v>
      </c>
      <c r="H453">
        <f t="shared" si="391"/>
        <v>1</v>
      </c>
      <c r="I453">
        <f t="shared" si="392"/>
        <v>5</v>
      </c>
      <c r="J453">
        <f t="shared" si="393"/>
        <v>3</v>
      </c>
      <c r="K453">
        <f t="shared" si="394"/>
        <v>1</v>
      </c>
      <c r="L453" t="str">
        <f t="shared" si="390"/>
        <v>POM C</v>
      </c>
      <c r="N453">
        <f t="shared" si="395"/>
        <v>0.01</v>
      </c>
      <c r="O453" s="155">
        <f t="shared" si="396"/>
        <v>22290000</v>
      </c>
    </row>
    <row r="454" spans="2:15">
      <c r="B454" t="str">
        <f t="shared" si="385"/>
        <v>CH0</v>
      </c>
      <c r="C454">
        <f t="shared" si="386"/>
        <v>2040</v>
      </c>
      <c r="D454" t="str">
        <f t="shared" si="387"/>
        <v>GAS_OIL</v>
      </c>
      <c r="E454" s="155">
        <f t="shared" si="376"/>
        <v>21384000</v>
      </c>
      <c r="F454" t="str">
        <f t="shared" si="388"/>
        <v>hi_gas</v>
      </c>
      <c r="G454" t="str">
        <f t="shared" si="389"/>
        <v>gas+oil</v>
      </c>
      <c r="H454">
        <f t="shared" si="391"/>
        <v>1</v>
      </c>
      <c r="I454">
        <f t="shared" si="392"/>
        <v>6</v>
      </c>
      <c r="J454">
        <f t="shared" si="393"/>
        <v>3</v>
      </c>
      <c r="K454">
        <f t="shared" si="394"/>
        <v>1</v>
      </c>
      <c r="L454" t="str">
        <f t="shared" si="390"/>
        <v>POM C</v>
      </c>
      <c r="N454">
        <f t="shared" si="395"/>
        <v>0.01</v>
      </c>
      <c r="O454" s="155">
        <f t="shared" si="396"/>
        <v>21600000</v>
      </c>
    </row>
    <row r="455" spans="2:15">
      <c r="B455" t="str">
        <f t="shared" si="385"/>
        <v>CH0</v>
      </c>
      <c r="C455">
        <f t="shared" si="386"/>
        <v>2045</v>
      </c>
      <c r="D455" t="str">
        <f t="shared" si="387"/>
        <v>GAS_OIL</v>
      </c>
      <c r="E455" s="155">
        <f t="shared" si="376"/>
        <v>21760200</v>
      </c>
      <c r="F455" t="str">
        <f t="shared" si="388"/>
        <v>hi_gas</v>
      </c>
      <c r="G455" t="str">
        <f t="shared" si="389"/>
        <v>gas+oil</v>
      </c>
      <c r="H455">
        <f t="shared" si="391"/>
        <v>1</v>
      </c>
      <c r="I455">
        <f t="shared" si="392"/>
        <v>7</v>
      </c>
      <c r="J455">
        <f t="shared" si="393"/>
        <v>3</v>
      </c>
      <c r="K455">
        <f t="shared" si="394"/>
        <v>1</v>
      </c>
      <c r="L455" t="str">
        <f t="shared" si="390"/>
        <v>POM C</v>
      </c>
      <c r="N455">
        <f t="shared" si="395"/>
        <v>0.01</v>
      </c>
      <c r="O455" s="155">
        <f t="shared" si="396"/>
        <v>21980000</v>
      </c>
    </row>
    <row r="456" spans="2:15">
      <c r="B456" t="str">
        <f t="shared" si="385"/>
        <v>CH0</v>
      </c>
      <c r="C456">
        <f t="shared" si="386"/>
        <v>2050</v>
      </c>
      <c r="D456" t="str">
        <f t="shared" si="387"/>
        <v>GAS_OIL</v>
      </c>
      <c r="E456" s="155">
        <f t="shared" si="376"/>
        <v>21433500</v>
      </c>
      <c r="F456" t="str">
        <f t="shared" si="388"/>
        <v>hi_gas</v>
      </c>
      <c r="G456" t="str">
        <f t="shared" si="389"/>
        <v>gas+oil</v>
      </c>
      <c r="H456">
        <f t="shared" si="391"/>
        <v>1</v>
      </c>
      <c r="I456">
        <f t="shared" si="392"/>
        <v>8</v>
      </c>
      <c r="J456">
        <f t="shared" si="393"/>
        <v>3</v>
      </c>
      <c r="K456">
        <f t="shared" si="394"/>
        <v>1</v>
      </c>
      <c r="L456" t="str">
        <f t="shared" si="390"/>
        <v>POM C</v>
      </c>
      <c r="N456">
        <f t="shared" si="395"/>
        <v>0.01</v>
      </c>
      <c r="O456" s="155">
        <f t="shared" si="396"/>
        <v>21650000</v>
      </c>
    </row>
    <row r="457" spans="2:15">
      <c r="B457" t="str">
        <f t="shared" si="385"/>
        <v>CH0</v>
      </c>
      <c r="C457">
        <f t="shared" si="386"/>
        <v>2015</v>
      </c>
      <c r="D457" t="str">
        <f t="shared" si="387"/>
        <v>SOL_PHO</v>
      </c>
      <c r="E457" s="155">
        <f t="shared" si="376"/>
        <v>210000</v>
      </c>
      <c r="F457" t="str">
        <f t="shared" si="388"/>
        <v>hi_gas</v>
      </c>
      <c r="G457" t="str">
        <f t="shared" si="389"/>
        <v>photovoltaics</v>
      </c>
      <c r="H457">
        <f t="shared" si="391"/>
        <v>1</v>
      </c>
      <c r="I457">
        <f t="shared" si="392"/>
        <v>1</v>
      </c>
      <c r="J457">
        <f t="shared" si="393"/>
        <v>4</v>
      </c>
      <c r="K457">
        <f t="shared" si="394"/>
        <v>1</v>
      </c>
      <c r="L457" t="str">
        <f t="shared" si="390"/>
        <v>POM C</v>
      </c>
      <c r="N457">
        <f t="shared" si="395"/>
        <v>0</v>
      </c>
      <c r="O457" s="155">
        <f t="shared" si="396"/>
        <v>210000</v>
      </c>
    </row>
    <row r="458" spans="2:15">
      <c r="B458" t="str">
        <f t="shared" si="385"/>
        <v>CH0</v>
      </c>
      <c r="C458">
        <f t="shared" si="386"/>
        <v>2020</v>
      </c>
      <c r="D458" t="str">
        <f t="shared" si="387"/>
        <v>SOL_PHO</v>
      </c>
      <c r="E458" s="155">
        <f t="shared" si="376"/>
        <v>340000</v>
      </c>
      <c r="F458" t="str">
        <f t="shared" si="388"/>
        <v>hi_gas</v>
      </c>
      <c r="G458" t="str">
        <f t="shared" si="389"/>
        <v>photovoltaics</v>
      </c>
      <c r="H458">
        <f t="shared" si="391"/>
        <v>1</v>
      </c>
      <c r="I458">
        <f t="shared" si="392"/>
        <v>2</v>
      </c>
      <c r="J458">
        <f t="shared" si="393"/>
        <v>4</v>
      </c>
      <c r="K458">
        <f t="shared" si="394"/>
        <v>1</v>
      </c>
      <c r="L458" t="str">
        <f t="shared" si="390"/>
        <v>POM C</v>
      </c>
      <c r="N458">
        <f t="shared" si="395"/>
        <v>0</v>
      </c>
      <c r="O458" s="155">
        <f t="shared" si="396"/>
        <v>340000</v>
      </c>
    </row>
    <row r="459" spans="2:15">
      <c r="B459" t="str">
        <f t="shared" si="385"/>
        <v>CH0</v>
      </c>
      <c r="C459">
        <f t="shared" si="386"/>
        <v>2025</v>
      </c>
      <c r="D459" t="str">
        <f t="shared" si="387"/>
        <v>SOL_PHO</v>
      </c>
      <c r="E459" s="155">
        <f t="shared" si="376"/>
        <v>550000</v>
      </c>
      <c r="F459" t="str">
        <f t="shared" si="388"/>
        <v>hi_gas</v>
      </c>
      <c r="G459" t="str">
        <f t="shared" si="389"/>
        <v>photovoltaics</v>
      </c>
      <c r="H459">
        <f t="shared" si="391"/>
        <v>1</v>
      </c>
      <c r="I459">
        <f t="shared" si="392"/>
        <v>3</v>
      </c>
      <c r="J459">
        <f t="shared" si="393"/>
        <v>4</v>
      </c>
      <c r="K459">
        <f t="shared" si="394"/>
        <v>1</v>
      </c>
      <c r="L459" t="str">
        <f t="shared" si="390"/>
        <v>POM C</v>
      </c>
      <c r="N459">
        <f t="shared" si="395"/>
        <v>0</v>
      </c>
      <c r="O459" s="155">
        <f t="shared" si="396"/>
        <v>550000</v>
      </c>
    </row>
    <row r="460" spans="2:15">
      <c r="B460" t="str">
        <f t="shared" si="385"/>
        <v>CH0</v>
      </c>
      <c r="C460">
        <f t="shared" si="386"/>
        <v>2030</v>
      </c>
      <c r="D460" t="str">
        <f t="shared" si="387"/>
        <v>SOL_PHO</v>
      </c>
      <c r="E460" s="155">
        <f t="shared" ref="E460:E523" si="397">O460*(1-N460)</f>
        <v>960000</v>
      </c>
      <c r="F460" t="str">
        <f t="shared" si="388"/>
        <v>hi_gas</v>
      </c>
      <c r="G460" t="str">
        <f t="shared" si="389"/>
        <v>photovoltaics</v>
      </c>
      <c r="H460">
        <f t="shared" si="391"/>
        <v>1</v>
      </c>
      <c r="I460">
        <f t="shared" si="392"/>
        <v>4</v>
      </c>
      <c r="J460">
        <f t="shared" si="393"/>
        <v>4</v>
      </c>
      <c r="K460">
        <f t="shared" si="394"/>
        <v>1</v>
      </c>
      <c r="L460" t="str">
        <f t="shared" si="390"/>
        <v>POM C</v>
      </c>
      <c r="N460">
        <f t="shared" si="395"/>
        <v>0</v>
      </c>
      <c r="O460" s="155">
        <f t="shared" si="396"/>
        <v>960000</v>
      </c>
    </row>
    <row r="461" spans="2:15">
      <c r="B461" t="str">
        <f t="shared" si="385"/>
        <v>CH0</v>
      </c>
      <c r="C461">
        <f t="shared" si="386"/>
        <v>2035</v>
      </c>
      <c r="D461" t="str">
        <f t="shared" si="387"/>
        <v>SOL_PHO</v>
      </c>
      <c r="E461" s="155">
        <f t="shared" si="397"/>
        <v>2520000</v>
      </c>
      <c r="F461" t="str">
        <f t="shared" si="388"/>
        <v>hi_gas</v>
      </c>
      <c r="G461" t="str">
        <f t="shared" si="389"/>
        <v>photovoltaics</v>
      </c>
      <c r="H461">
        <f t="shared" si="391"/>
        <v>1</v>
      </c>
      <c r="I461">
        <f t="shared" si="392"/>
        <v>5</v>
      </c>
      <c r="J461">
        <f t="shared" si="393"/>
        <v>4</v>
      </c>
      <c r="K461">
        <f t="shared" si="394"/>
        <v>1</v>
      </c>
      <c r="L461" t="str">
        <f t="shared" si="390"/>
        <v>POM C</v>
      </c>
      <c r="N461">
        <f t="shared" si="395"/>
        <v>0</v>
      </c>
      <c r="O461" s="155">
        <f t="shared" si="396"/>
        <v>2520000</v>
      </c>
    </row>
    <row r="462" spans="2:15">
      <c r="B462" t="str">
        <f t="shared" si="385"/>
        <v>CH0</v>
      </c>
      <c r="C462">
        <f t="shared" si="386"/>
        <v>2040</v>
      </c>
      <c r="D462" t="str">
        <f t="shared" si="387"/>
        <v>SOL_PHO</v>
      </c>
      <c r="E462" s="155">
        <f t="shared" si="397"/>
        <v>3480000</v>
      </c>
      <c r="F462" t="str">
        <f t="shared" si="388"/>
        <v>hi_gas</v>
      </c>
      <c r="G462" t="str">
        <f t="shared" si="389"/>
        <v>photovoltaics</v>
      </c>
      <c r="H462">
        <f t="shared" si="391"/>
        <v>1</v>
      </c>
      <c r="I462">
        <f t="shared" si="392"/>
        <v>6</v>
      </c>
      <c r="J462">
        <f t="shared" si="393"/>
        <v>4</v>
      </c>
      <c r="K462">
        <f t="shared" si="394"/>
        <v>1</v>
      </c>
      <c r="L462" t="str">
        <f t="shared" si="390"/>
        <v>POM C</v>
      </c>
      <c r="N462">
        <f t="shared" si="395"/>
        <v>0</v>
      </c>
      <c r="O462" s="155">
        <f t="shared" si="396"/>
        <v>3480000</v>
      </c>
    </row>
    <row r="463" spans="2:15">
      <c r="B463" t="str">
        <f t="shared" si="385"/>
        <v>CH0</v>
      </c>
      <c r="C463">
        <f t="shared" si="386"/>
        <v>2045</v>
      </c>
      <c r="D463" t="str">
        <f t="shared" si="387"/>
        <v>SOL_PHO</v>
      </c>
      <c r="E463" s="155">
        <f t="shared" si="397"/>
        <v>4730000</v>
      </c>
      <c r="F463" t="str">
        <f t="shared" si="388"/>
        <v>hi_gas</v>
      </c>
      <c r="G463" t="str">
        <f t="shared" si="389"/>
        <v>photovoltaics</v>
      </c>
      <c r="H463">
        <f t="shared" si="391"/>
        <v>1</v>
      </c>
      <c r="I463">
        <f t="shared" si="392"/>
        <v>7</v>
      </c>
      <c r="J463">
        <f t="shared" si="393"/>
        <v>4</v>
      </c>
      <c r="K463">
        <f t="shared" si="394"/>
        <v>1</v>
      </c>
      <c r="L463" t="str">
        <f t="shared" si="390"/>
        <v>POM C</v>
      </c>
      <c r="N463">
        <f t="shared" si="395"/>
        <v>0</v>
      </c>
      <c r="O463" s="155">
        <f t="shared" si="396"/>
        <v>4730000</v>
      </c>
    </row>
    <row r="464" spans="2:15">
      <c r="B464" t="str">
        <f t="shared" si="385"/>
        <v>CH0</v>
      </c>
      <c r="C464">
        <f t="shared" si="386"/>
        <v>2050</v>
      </c>
      <c r="D464" t="str">
        <f t="shared" si="387"/>
        <v>SOL_PHO</v>
      </c>
      <c r="E464" s="155">
        <f t="shared" si="397"/>
        <v>5920000</v>
      </c>
      <c r="F464" t="str">
        <f t="shared" si="388"/>
        <v>hi_gas</v>
      </c>
      <c r="G464" t="str">
        <f t="shared" si="389"/>
        <v>photovoltaics</v>
      </c>
      <c r="H464">
        <f t="shared" si="391"/>
        <v>1</v>
      </c>
      <c r="I464">
        <f t="shared" si="392"/>
        <v>8</v>
      </c>
      <c r="J464">
        <f t="shared" si="393"/>
        <v>4</v>
      </c>
      <c r="K464">
        <f t="shared" si="394"/>
        <v>1</v>
      </c>
      <c r="L464" t="str">
        <f t="shared" si="390"/>
        <v>POM C</v>
      </c>
      <c r="N464">
        <f t="shared" si="395"/>
        <v>0</v>
      </c>
      <c r="O464" s="155">
        <f t="shared" si="396"/>
        <v>5920000</v>
      </c>
    </row>
    <row r="465" spans="2:15">
      <c r="B465" t="str">
        <f t="shared" ref="B465:B496" si="398">INDEX(H$424:H$431,H465)</f>
        <v>CH0</v>
      </c>
      <c r="C465">
        <f t="shared" ref="C465:C496" si="399">INDEX(I$424:I$431,I465)</f>
        <v>2015</v>
      </c>
      <c r="D465" t="str">
        <f t="shared" ref="D465:D496" si="400">INDEX(J$424:J$431,J465)</f>
        <v>WIN_ONS</v>
      </c>
      <c r="E465" s="155">
        <f t="shared" si="397"/>
        <v>89100</v>
      </c>
      <c r="F465" t="str">
        <f t="shared" ref="F465:F496" si="401">INDEX(L$424:L$431,K465)</f>
        <v>hi_gas</v>
      </c>
      <c r="G465" t="str">
        <f t="shared" ref="G465:G496" si="402">INDEX(M$424:M$431,J465)</f>
        <v>wind_onshore</v>
      </c>
      <c r="H465">
        <f t="shared" si="391"/>
        <v>1</v>
      </c>
      <c r="I465">
        <f t="shared" si="392"/>
        <v>1</v>
      </c>
      <c r="J465">
        <f t="shared" si="393"/>
        <v>5</v>
      </c>
      <c r="K465">
        <f t="shared" si="394"/>
        <v>1</v>
      </c>
      <c r="L465" t="str">
        <f t="shared" ref="L465:L496" si="403">INDEX(K$424:K$431,K465)</f>
        <v>POM C</v>
      </c>
      <c r="N465">
        <f t="shared" si="395"/>
        <v>0.01</v>
      </c>
      <c r="O465" s="155">
        <f t="shared" si="396"/>
        <v>90000</v>
      </c>
    </row>
    <row r="466" spans="2:15">
      <c r="B466" t="str">
        <f t="shared" si="398"/>
        <v>CH0</v>
      </c>
      <c r="C466">
        <f t="shared" si="399"/>
        <v>2020</v>
      </c>
      <c r="D466" t="str">
        <f t="shared" si="400"/>
        <v>WIN_ONS</v>
      </c>
      <c r="E466" s="155">
        <f t="shared" si="397"/>
        <v>138600</v>
      </c>
      <c r="F466" t="str">
        <f t="shared" si="401"/>
        <v>hi_gas</v>
      </c>
      <c r="G466" t="str">
        <f t="shared" si="402"/>
        <v>wind_onshore</v>
      </c>
      <c r="H466">
        <f t="shared" ref="H466:H497" si="404">IF(H465=$H$423,1,H465+1)</f>
        <v>1</v>
      </c>
      <c r="I466">
        <f t="shared" ref="I466:I497" si="405">IF(H466=1,IF(I465=$I$423,1,I465+1),I465)</f>
        <v>2</v>
      </c>
      <c r="J466">
        <f t="shared" ref="J466:J497" si="406">IF(AND(I466=1,I465&gt;1),IF(J465=$J$423,1,J465+1),J465)</f>
        <v>5</v>
      </c>
      <c r="K466">
        <f t="shared" ref="K466:K497" si="407">IF(AND(J466=1,J465&gt;1),IF(K465=$K$423,1,K465+1),K465)</f>
        <v>1</v>
      </c>
      <c r="L466" t="str">
        <f t="shared" si="403"/>
        <v>POM C</v>
      </c>
      <c r="N466">
        <f t="shared" si="395"/>
        <v>0.01</v>
      </c>
      <c r="O466" s="155">
        <f t="shared" si="396"/>
        <v>140000</v>
      </c>
    </row>
    <row r="467" spans="2:15">
      <c r="B467" t="str">
        <f t="shared" si="398"/>
        <v>CH0</v>
      </c>
      <c r="C467">
        <f t="shared" si="399"/>
        <v>2025</v>
      </c>
      <c r="D467" t="str">
        <f t="shared" si="400"/>
        <v>WIN_ONS</v>
      </c>
      <c r="E467" s="155">
        <f t="shared" si="397"/>
        <v>247500</v>
      </c>
      <c r="F467" t="str">
        <f t="shared" si="401"/>
        <v>hi_gas</v>
      </c>
      <c r="G467" t="str">
        <f t="shared" si="402"/>
        <v>wind_onshore</v>
      </c>
      <c r="H467">
        <f t="shared" si="404"/>
        <v>1</v>
      </c>
      <c r="I467">
        <f t="shared" si="405"/>
        <v>3</v>
      </c>
      <c r="J467">
        <f t="shared" si="406"/>
        <v>5</v>
      </c>
      <c r="K467">
        <f t="shared" si="407"/>
        <v>1</v>
      </c>
      <c r="L467" t="str">
        <f t="shared" si="403"/>
        <v>POM C</v>
      </c>
      <c r="N467">
        <f t="shared" si="395"/>
        <v>0.01</v>
      </c>
      <c r="O467" s="155">
        <f t="shared" si="396"/>
        <v>250000</v>
      </c>
    </row>
    <row r="468" spans="2:15">
      <c r="B468" t="str">
        <f t="shared" si="398"/>
        <v>CH0</v>
      </c>
      <c r="C468">
        <f t="shared" si="399"/>
        <v>2030</v>
      </c>
      <c r="D468" t="str">
        <f t="shared" si="400"/>
        <v>WIN_ONS</v>
      </c>
      <c r="E468" s="155">
        <f t="shared" si="397"/>
        <v>564300</v>
      </c>
      <c r="F468" t="str">
        <f t="shared" si="401"/>
        <v>hi_gas</v>
      </c>
      <c r="G468" t="str">
        <f t="shared" si="402"/>
        <v>wind_onshore</v>
      </c>
      <c r="H468">
        <f t="shared" si="404"/>
        <v>1</v>
      </c>
      <c r="I468">
        <f t="shared" si="405"/>
        <v>4</v>
      </c>
      <c r="J468">
        <f t="shared" si="406"/>
        <v>5</v>
      </c>
      <c r="K468">
        <f t="shared" si="407"/>
        <v>1</v>
      </c>
      <c r="L468" t="str">
        <f t="shared" si="403"/>
        <v>POM C</v>
      </c>
      <c r="N468">
        <f t="shared" si="395"/>
        <v>0.01</v>
      </c>
      <c r="O468" s="155">
        <f t="shared" si="396"/>
        <v>570000</v>
      </c>
    </row>
    <row r="469" spans="2:15">
      <c r="B469" t="str">
        <f t="shared" si="398"/>
        <v>CH0</v>
      </c>
      <c r="C469">
        <f t="shared" si="399"/>
        <v>2035</v>
      </c>
      <c r="D469" t="str">
        <f t="shared" si="400"/>
        <v>WIN_ONS</v>
      </c>
      <c r="E469" s="155">
        <f t="shared" si="397"/>
        <v>762300</v>
      </c>
      <c r="F469" t="str">
        <f t="shared" si="401"/>
        <v>hi_gas</v>
      </c>
      <c r="G469" t="str">
        <f t="shared" si="402"/>
        <v>wind_onshore</v>
      </c>
      <c r="H469">
        <f t="shared" si="404"/>
        <v>1</v>
      </c>
      <c r="I469">
        <f t="shared" si="405"/>
        <v>5</v>
      </c>
      <c r="J469">
        <f t="shared" si="406"/>
        <v>5</v>
      </c>
      <c r="K469">
        <f t="shared" si="407"/>
        <v>1</v>
      </c>
      <c r="L469" t="str">
        <f t="shared" si="403"/>
        <v>POM C</v>
      </c>
      <c r="N469">
        <f t="shared" si="395"/>
        <v>0.01</v>
      </c>
      <c r="O469" s="155">
        <f t="shared" si="396"/>
        <v>770000</v>
      </c>
    </row>
    <row r="470" spans="2:15">
      <c r="B470" t="str">
        <f t="shared" si="398"/>
        <v>CH0</v>
      </c>
      <c r="C470">
        <f t="shared" si="399"/>
        <v>2040</v>
      </c>
      <c r="D470" t="str">
        <f t="shared" si="400"/>
        <v>WIN_ONS</v>
      </c>
      <c r="E470" s="155">
        <f t="shared" si="397"/>
        <v>1009800</v>
      </c>
      <c r="F470" t="str">
        <f t="shared" si="401"/>
        <v>hi_gas</v>
      </c>
      <c r="G470" t="str">
        <f t="shared" si="402"/>
        <v>wind_onshore</v>
      </c>
      <c r="H470">
        <f t="shared" si="404"/>
        <v>1</v>
      </c>
      <c r="I470">
        <f t="shared" si="405"/>
        <v>6</v>
      </c>
      <c r="J470">
        <f t="shared" si="406"/>
        <v>5</v>
      </c>
      <c r="K470">
        <f t="shared" si="407"/>
        <v>1</v>
      </c>
      <c r="L470" t="str">
        <f t="shared" si="403"/>
        <v>POM C</v>
      </c>
      <c r="N470">
        <f t="shared" si="395"/>
        <v>0.01</v>
      </c>
      <c r="O470" s="155">
        <f t="shared" si="396"/>
        <v>1020000</v>
      </c>
    </row>
    <row r="471" spans="2:15">
      <c r="B471" t="str">
        <f t="shared" si="398"/>
        <v>CH0</v>
      </c>
      <c r="C471">
        <f t="shared" si="399"/>
        <v>2045</v>
      </c>
      <c r="D471" t="str">
        <f t="shared" si="400"/>
        <v>WIN_ONS</v>
      </c>
      <c r="E471" s="155">
        <f t="shared" si="397"/>
        <v>1237500</v>
      </c>
      <c r="F471" t="str">
        <f t="shared" si="401"/>
        <v>hi_gas</v>
      </c>
      <c r="G471" t="str">
        <f t="shared" si="402"/>
        <v>wind_onshore</v>
      </c>
      <c r="H471">
        <f t="shared" si="404"/>
        <v>1</v>
      </c>
      <c r="I471">
        <f t="shared" si="405"/>
        <v>7</v>
      </c>
      <c r="J471">
        <f t="shared" si="406"/>
        <v>5</v>
      </c>
      <c r="K471">
        <f t="shared" si="407"/>
        <v>1</v>
      </c>
      <c r="L471" t="str">
        <f t="shared" si="403"/>
        <v>POM C</v>
      </c>
      <c r="N471">
        <f t="shared" si="395"/>
        <v>0.01</v>
      </c>
      <c r="O471" s="155">
        <f t="shared" si="396"/>
        <v>1250000</v>
      </c>
    </row>
    <row r="472" spans="2:15">
      <c r="B472" t="str">
        <f t="shared" si="398"/>
        <v>CH0</v>
      </c>
      <c r="C472">
        <f t="shared" si="399"/>
        <v>2050</v>
      </c>
      <c r="D472" t="str">
        <f t="shared" si="400"/>
        <v>WIN_ONS</v>
      </c>
      <c r="E472" s="155">
        <f t="shared" si="397"/>
        <v>1395900</v>
      </c>
      <c r="F472" t="str">
        <f t="shared" si="401"/>
        <v>hi_gas</v>
      </c>
      <c r="G472" t="str">
        <f t="shared" si="402"/>
        <v>wind_onshore</v>
      </c>
      <c r="H472">
        <f t="shared" si="404"/>
        <v>1</v>
      </c>
      <c r="I472">
        <f t="shared" si="405"/>
        <v>8</v>
      </c>
      <c r="J472">
        <f t="shared" si="406"/>
        <v>5</v>
      </c>
      <c r="K472">
        <f t="shared" si="407"/>
        <v>1</v>
      </c>
      <c r="L472" t="str">
        <f t="shared" si="403"/>
        <v>POM C</v>
      </c>
      <c r="N472">
        <f t="shared" si="395"/>
        <v>0.01</v>
      </c>
      <c r="O472" s="155">
        <f t="shared" si="396"/>
        <v>1410000</v>
      </c>
    </row>
    <row r="473" spans="2:15">
      <c r="B473" t="str">
        <f t="shared" si="398"/>
        <v>CH0</v>
      </c>
      <c r="C473">
        <f t="shared" si="399"/>
        <v>2015</v>
      </c>
      <c r="D473" t="str">
        <f t="shared" si="400"/>
        <v>BAL_ELC</v>
      </c>
      <c r="E473" s="155">
        <f t="shared" si="397"/>
        <v>195450.84420000002</v>
      </c>
      <c r="F473" t="str">
        <f t="shared" si="401"/>
        <v>hi_ren</v>
      </c>
      <c r="G473" t="str">
        <f t="shared" si="402"/>
        <v>bio_all</v>
      </c>
      <c r="H473">
        <f t="shared" si="404"/>
        <v>1</v>
      </c>
      <c r="I473">
        <f t="shared" si="405"/>
        <v>1</v>
      </c>
      <c r="J473">
        <f t="shared" si="406"/>
        <v>1</v>
      </c>
      <c r="K473">
        <f t="shared" si="407"/>
        <v>2</v>
      </c>
      <c r="L473" t="str">
        <f t="shared" si="403"/>
        <v>POM E</v>
      </c>
      <c r="N473">
        <f t="shared" si="395"/>
        <v>8.5000000000000006E-2</v>
      </c>
      <c r="O473" s="155">
        <f t="shared" si="396"/>
        <v>213607.48</v>
      </c>
    </row>
    <row r="474" spans="2:15">
      <c r="B474" t="str">
        <f t="shared" si="398"/>
        <v>CH0</v>
      </c>
      <c r="C474">
        <f t="shared" si="399"/>
        <v>2020</v>
      </c>
      <c r="D474" t="str">
        <f t="shared" si="400"/>
        <v>BAL_ELC</v>
      </c>
      <c r="E474" s="155">
        <f t="shared" si="397"/>
        <v>809146.80323076842</v>
      </c>
      <c r="F474" t="str">
        <f t="shared" si="401"/>
        <v>hi_ren</v>
      </c>
      <c r="G474" t="str">
        <f t="shared" si="402"/>
        <v>bio_all</v>
      </c>
      <c r="H474">
        <f t="shared" si="404"/>
        <v>1</v>
      </c>
      <c r="I474">
        <f t="shared" si="405"/>
        <v>2</v>
      </c>
      <c r="J474">
        <f t="shared" si="406"/>
        <v>1</v>
      </c>
      <c r="K474">
        <f t="shared" si="407"/>
        <v>2</v>
      </c>
      <c r="L474" t="str">
        <f t="shared" si="403"/>
        <v>POM E</v>
      </c>
      <c r="N474">
        <f t="shared" si="395"/>
        <v>8.5000000000000006E-2</v>
      </c>
      <c r="O474" s="155">
        <f t="shared" si="396"/>
        <v>884313.44615384517</v>
      </c>
    </row>
    <row r="475" spans="2:15">
      <c r="B475" t="str">
        <f t="shared" si="398"/>
        <v>CH0</v>
      </c>
      <c r="C475">
        <f t="shared" si="399"/>
        <v>2025</v>
      </c>
      <c r="D475" t="str">
        <f t="shared" si="400"/>
        <v>BAL_ELC</v>
      </c>
      <c r="E475" s="155">
        <f t="shared" si="397"/>
        <v>1724307.4438906894</v>
      </c>
      <c r="F475" t="str">
        <f t="shared" si="401"/>
        <v>hi_ren</v>
      </c>
      <c r="G475" t="str">
        <f t="shared" si="402"/>
        <v>bio_all</v>
      </c>
      <c r="H475">
        <f t="shared" si="404"/>
        <v>1</v>
      </c>
      <c r="I475">
        <f t="shared" si="405"/>
        <v>3</v>
      </c>
      <c r="J475">
        <f t="shared" si="406"/>
        <v>1</v>
      </c>
      <c r="K475">
        <f t="shared" si="407"/>
        <v>2</v>
      </c>
      <c r="L475" t="str">
        <f t="shared" si="403"/>
        <v>POM E</v>
      </c>
      <c r="N475">
        <f t="shared" si="395"/>
        <v>8.5000000000000006E-2</v>
      </c>
      <c r="O475" s="155">
        <f t="shared" si="396"/>
        <v>1884489.0097166004</v>
      </c>
    </row>
    <row r="476" spans="2:15">
      <c r="B476" t="str">
        <f t="shared" si="398"/>
        <v>CH0</v>
      </c>
      <c r="C476">
        <f t="shared" si="399"/>
        <v>2030</v>
      </c>
      <c r="D476" t="str">
        <f t="shared" si="400"/>
        <v>BAL_ELC</v>
      </c>
      <c r="E476" s="155">
        <f t="shared" si="397"/>
        <v>2477969.147963562</v>
      </c>
      <c r="F476" t="str">
        <f t="shared" si="401"/>
        <v>hi_ren</v>
      </c>
      <c r="G476" t="str">
        <f t="shared" si="402"/>
        <v>bio_all</v>
      </c>
      <c r="H476">
        <f t="shared" si="404"/>
        <v>1</v>
      </c>
      <c r="I476">
        <f t="shared" si="405"/>
        <v>4</v>
      </c>
      <c r="J476">
        <f t="shared" si="406"/>
        <v>1</v>
      </c>
      <c r="K476">
        <f t="shared" si="407"/>
        <v>2</v>
      </c>
      <c r="L476" t="str">
        <f t="shared" si="403"/>
        <v>POM E</v>
      </c>
      <c r="N476">
        <f t="shared" si="395"/>
        <v>8.5000000000000006E-2</v>
      </c>
      <c r="O476" s="155">
        <f t="shared" si="396"/>
        <v>2708163.0032388656</v>
      </c>
    </row>
    <row r="477" spans="2:15">
      <c r="B477" t="str">
        <f t="shared" si="398"/>
        <v>CH0</v>
      </c>
      <c r="C477">
        <f t="shared" si="399"/>
        <v>2035</v>
      </c>
      <c r="D477" t="str">
        <f t="shared" si="400"/>
        <v>BAL_ELC</v>
      </c>
      <c r="E477" s="155">
        <f t="shared" si="397"/>
        <v>2704067.6591854244</v>
      </c>
      <c r="F477" t="str">
        <f t="shared" si="401"/>
        <v>hi_ren</v>
      </c>
      <c r="G477" t="str">
        <f t="shared" si="402"/>
        <v>bio_all</v>
      </c>
      <c r="H477">
        <f t="shared" si="404"/>
        <v>1</v>
      </c>
      <c r="I477">
        <f t="shared" si="405"/>
        <v>5</v>
      </c>
      <c r="J477">
        <f t="shared" si="406"/>
        <v>1</v>
      </c>
      <c r="K477">
        <f t="shared" si="407"/>
        <v>2</v>
      </c>
      <c r="L477" t="str">
        <f t="shared" si="403"/>
        <v>POM E</v>
      </c>
      <c r="N477">
        <f t="shared" si="395"/>
        <v>8.5000000000000006E-2</v>
      </c>
      <c r="O477" s="155">
        <f t="shared" si="396"/>
        <v>2955265.2012955458</v>
      </c>
    </row>
    <row r="478" spans="2:15">
      <c r="B478" t="str">
        <f t="shared" si="398"/>
        <v>CH0</v>
      </c>
      <c r="C478">
        <f t="shared" si="399"/>
        <v>2040</v>
      </c>
      <c r="D478" t="str">
        <f t="shared" si="400"/>
        <v>BAL_ELC</v>
      </c>
      <c r="E478" s="155">
        <f t="shared" si="397"/>
        <v>2800967.0211376501</v>
      </c>
      <c r="F478" t="str">
        <f t="shared" si="401"/>
        <v>hi_ren</v>
      </c>
      <c r="G478" t="str">
        <f t="shared" si="402"/>
        <v>bio_all</v>
      </c>
      <c r="H478">
        <f t="shared" si="404"/>
        <v>1</v>
      </c>
      <c r="I478">
        <f t="shared" si="405"/>
        <v>6</v>
      </c>
      <c r="J478">
        <f t="shared" si="406"/>
        <v>1</v>
      </c>
      <c r="K478">
        <f t="shared" si="407"/>
        <v>2</v>
      </c>
      <c r="L478" t="str">
        <f t="shared" si="403"/>
        <v>POM E</v>
      </c>
      <c r="N478">
        <f t="shared" si="395"/>
        <v>8.5000000000000006E-2</v>
      </c>
      <c r="O478" s="155">
        <f t="shared" si="396"/>
        <v>3061166.1433198359</v>
      </c>
    </row>
    <row r="479" spans="2:15">
      <c r="B479" t="str">
        <f t="shared" si="398"/>
        <v>CH0</v>
      </c>
      <c r="C479">
        <f t="shared" si="399"/>
        <v>2045</v>
      </c>
      <c r="D479" t="str">
        <f t="shared" si="400"/>
        <v>BAL_ELC</v>
      </c>
      <c r="E479" s="155">
        <f t="shared" si="397"/>
        <v>2844033.4042275287</v>
      </c>
      <c r="F479" t="str">
        <f t="shared" si="401"/>
        <v>hi_ren</v>
      </c>
      <c r="G479" t="str">
        <f t="shared" si="402"/>
        <v>bio_all</v>
      </c>
      <c r="H479">
        <f t="shared" si="404"/>
        <v>1</v>
      </c>
      <c r="I479">
        <f t="shared" si="405"/>
        <v>7</v>
      </c>
      <c r="J479">
        <f t="shared" si="406"/>
        <v>1</v>
      </c>
      <c r="K479">
        <f t="shared" si="407"/>
        <v>2</v>
      </c>
      <c r="L479" t="str">
        <f t="shared" si="403"/>
        <v>POM E</v>
      </c>
      <c r="N479">
        <f t="shared" si="395"/>
        <v>8.5000000000000006E-2</v>
      </c>
      <c r="O479" s="155">
        <f t="shared" si="396"/>
        <v>3108233.2286639656</v>
      </c>
    </row>
    <row r="480" spans="2:15">
      <c r="B480" t="str">
        <f t="shared" si="398"/>
        <v>CH0</v>
      </c>
      <c r="C480">
        <f t="shared" si="399"/>
        <v>2050</v>
      </c>
      <c r="D480" t="str">
        <f t="shared" si="400"/>
        <v>BAL_ELC</v>
      </c>
      <c r="E480" s="155">
        <f t="shared" si="397"/>
        <v>2854800.0000000005</v>
      </c>
      <c r="F480" t="str">
        <f t="shared" si="401"/>
        <v>hi_ren</v>
      </c>
      <c r="G480" t="str">
        <f t="shared" si="402"/>
        <v>bio_all</v>
      </c>
      <c r="H480">
        <f t="shared" si="404"/>
        <v>1</v>
      </c>
      <c r="I480">
        <f t="shared" si="405"/>
        <v>8</v>
      </c>
      <c r="J480">
        <f t="shared" si="406"/>
        <v>1</v>
      </c>
      <c r="K480">
        <f t="shared" si="407"/>
        <v>2</v>
      </c>
      <c r="L480" t="str">
        <f t="shared" si="403"/>
        <v>POM E</v>
      </c>
      <c r="N480">
        <f t="shared" si="395"/>
        <v>8.5000000000000006E-2</v>
      </c>
      <c r="O480" s="155">
        <f t="shared" si="396"/>
        <v>3120000.0000000005</v>
      </c>
    </row>
    <row r="481" spans="2:15">
      <c r="B481" t="str">
        <f t="shared" si="398"/>
        <v>CH0</v>
      </c>
      <c r="C481">
        <f t="shared" si="399"/>
        <v>2015</v>
      </c>
      <c r="D481" t="str">
        <f t="shared" si="400"/>
        <v>GEO_ELC</v>
      </c>
      <c r="E481" s="155">
        <f t="shared" si="397"/>
        <v>0</v>
      </c>
      <c r="F481" t="str">
        <f t="shared" si="401"/>
        <v>hi_ren</v>
      </c>
      <c r="G481" t="str">
        <f t="shared" si="402"/>
        <v>geothermal</v>
      </c>
      <c r="H481">
        <f t="shared" si="404"/>
        <v>1</v>
      </c>
      <c r="I481">
        <f t="shared" si="405"/>
        <v>1</v>
      </c>
      <c r="J481">
        <f t="shared" si="406"/>
        <v>2</v>
      </c>
      <c r="K481">
        <f t="shared" si="407"/>
        <v>2</v>
      </c>
      <c r="L481" t="str">
        <f t="shared" si="403"/>
        <v>POM E</v>
      </c>
      <c r="N481">
        <f t="shared" si="395"/>
        <v>4.7E-2</v>
      </c>
      <c r="O481" s="155">
        <f t="shared" si="396"/>
        <v>0</v>
      </c>
    </row>
    <row r="482" spans="2:15">
      <c r="B482" t="str">
        <f t="shared" si="398"/>
        <v>CH0</v>
      </c>
      <c r="C482">
        <f t="shared" si="399"/>
        <v>2020</v>
      </c>
      <c r="D482" t="str">
        <f t="shared" si="400"/>
        <v>GEO_ELC</v>
      </c>
      <c r="E482" s="155">
        <f t="shared" si="397"/>
        <v>97521.445221445611</v>
      </c>
      <c r="F482" t="str">
        <f t="shared" si="401"/>
        <v>hi_ren</v>
      </c>
      <c r="G482" t="str">
        <f t="shared" si="402"/>
        <v>geothermal</v>
      </c>
      <c r="H482">
        <f t="shared" si="404"/>
        <v>1</v>
      </c>
      <c r="I482">
        <f t="shared" si="405"/>
        <v>2</v>
      </c>
      <c r="J482">
        <f t="shared" si="406"/>
        <v>2</v>
      </c>
      <c r="K482">
        <f t="shared" si="407"/>
        <v>2</v>
      </c>
      <c r="L482" t="str">
        <f t="shared" si="403"/>
        <v>POM E</v>
      </c>
      <c r="N482">
        <f t="shared" si="395"/>
        <v>4.7E-2</v>
      </c>
      <c r="O482" s="155">
        <f t="shared" si="396"/>
        <v>102331.00233100275</v>
      </c>
    </row>
    <row r="483" spans="2:15">
      <c r="B483" t="str">
        <f t="shared" si="398"/>
        <v>CH0</v>
      </c>
      <c r="C483">
        <f t="shared" si="399"/>
        <v>2025</v>
      </c>
      <c r="D483" t="str">
        <f t="shared" si="400"/>
        <v>GEO_ELC</v>
      </c>
      <c r="E483" s="155">
        <f t="shared" si="397"/>
        <v>282812.19114219141</v>
      </c>
      <c r="F483" t="str">
        <f t="shared" si="401"/>
        <v>hi_ren</v>
      </c>
      <c r="G483" t="str">
        <f t="shared" si="402"/>
        <v>geothermal</v>
      </c>
      <c r="H483">
        <f t="shared" si="404"/>
        <v>1</v>
      </c>
      <c r="I483">
        <f t="shared" si="405"/>
        <v>3</v>
      </c>
      <c r="J483">
        <f t="shared" si="406"/>
        <v>2</v>
      </c>
      <c r="K483">
        <f t="shared" si="407"/>
        <v>2</v>
      </c>
      <c r="L483" t="str">
        <f t="shared" si="403"/>
        <v>POM E</v>
      </c>
      <c r="N483">
        <f t="shared" si="395"/>
        <v>4.7E-2</v>
      </c>
      <c r="O483" s="155">
        <f t="shared" si="396"/>
        <v>296759.90675990708</v>
      </c>
    </row>
    <row r="484" spans="2:15">
      <c r="B484" t="str">
        <f t="shared" si="398"/>
        <v>CH0</v>
      </c>
      <c r="C484">
        <f t="shared" si="399"/>
        <v>2030</v>
      </c>
      <c r="D484" t="str">
        <f t="shared" si="400"/>
        <v>GEO_ELC</v>
      </c>
      <c r="E484" s="155">
        <f t="shared" si="397"/>
        <v>663145.82750582765</v>
      </c>
      <c r="F484" t="str">
        <f t="shared" si="401"/>
        <v>hi_ren</v>
      </c>
      <c r="G484" t="str">
        <f t="shared" si="402"/>
        <v>geothermal</v>
      </c>
      <c r="H484">
        <f t="shared" si="404"/>
        <v>1</v>
      </c>
      <c r="I484">
        <f t="shared" si="405"/>
        <v>4</v>
      </c>
      <c r="J484">
        <f t="shared" si="406"/>
        <v>2</v>
      </c>
      <c r="K484">
        <f t="shared" si="407"/>
        <v>2</v>
      </c>
      <c r="L484" t="str">
        <f t="shared" si="403"/>
        <v>POM E</v>
      </c>
      <c r="N484">
        <f t="shared" si="395"/>
        <v>4.7E-2</v>
      </c>
      <c r="O484" s="155">
        <f t="shared" si="396"/>
        <v>695850.81585081609</v>
      </c>
    </row>
    <row r="485" spans="2:15">
      <c r="B485" t="str">
        <f t="shared" si="398"/>
        <v>CH0</v>
      </c>
      <c r="C485">
        <f t="shared" si="399"/>
        <v>2035</v>
      </c>
      <c r="D485" t="str">
        <f t="shared" si="400"/>
        <v>GEO_ELC</v>
      </c>
      <c r="E485" s="155">
        <f t="shared" si="397"/>
        <v>1297035.2214452254</v>
      </c>
      <c r="F485" t="str">
        <f t="shared" si="401"/>
        <v>hi_ren</v>
      </c>
      <c r="G485" t="str">
        <f t="shared" si="402"/>
        <v>geothermal</v>
      </c>
      <c r="H485">
        <f t="shared" si="404"/>
        <v>1</v>
      </c>
      <c r="I485">
        <f t="shared" si="405"/>
        <v>5</v>
      </c>
      <c r="J485">
        <f t="shared" si="406"/>
        <v>2</v>
      </c>
      <c r="K485">
        <f t="shared" si="407"/>
        <v>2</v>
      </c>
      <c r="L485" t="str">
        <f t="shared" si="403"/>
        <v>POM E</v>
      </c>
      <c r="N485">
        <f t="shared" si="395"/>
        <v>4.7E-2</v>
      </c>
      <c r="O485" s="155">
        <f t="shared" si="396"/>
        <v>1361002.3310023353</v>
      </c>
    </row>
    <row r="486" spans="2:15">
      <c r="B486" t="str">
        <f t="shared" si="398"/>
        <v>CH0</v>
      </c>
      <c r="C486">
        <f t="shared" si="399"/>
        <v>2040</v>
      </c>
      <c r="D486" t="str">
        <f t="shared" si="400"/>
        <v>GEO_ELC</v>
      </c>
      <c r="E486" s="155">
        <f t="shared" si="397"/>
        <v>2252745.3846153845</v>
      </c>
      <c r="F486" t="str">
        <f t="shared" si="401"/>
        <v>hi_ren</v>
      </c>
      <c r="G486" t="str">
        <f t="shared" si="402"/>
        <v>geothermal</v>
      </c>
      <c r="H486">
        <f t="shared" si="404"/>
        <v>1</v>
      </c>
      <c r="I486">
        <f t="shared" si="405"/>
        <v>6</v>
      </c>
      <c r="J486">
        <f t="shared" si="406"/>
        <v>2</v>
      </c>
      <c r="K486">
        <f t="shared" si="407"/>
        <v>2</v>
      </c>
      <c r="L486" t="str">
        <f t="shared" si="403"/>
        <v>POM E</v>
      </c>
      <c r="N486">
        <f t="shared" si="395"/>
        <v>4.7E-2</v>
      </c>
      <c r="O486" s="155">
        <f t="shared" si="396"/>
        <v>2363846.153846154</v>
      </c>
    </row>
    <row r="487" spans="2:15">
      <c r="B487" t="str">
        <f t="shared" si="398"/>
        <v>CH0</v>
      </c>
      <c r="C487">
        <f t="shared" si="399"/>
        <v>2045</v>
      </c>
      <c r="D487" t="str">
        <f t="shared" si="400"/>
        <v>GEO_ELC</v>
      </c>
      <c r="E487" s="155">
        <f t="shared" si="397"/>
        <v>3296224.8484848496</v>
      </c>
      <c r="F487" t="str">
        <f t="shared" si="401"/>
        <v>hi_ren</v>
      </c>
      <c r="G487" t="str">
        <f t="shared" si="402"/>
        <v>geothermal</v>
      </c>
      <c r="H487">
        <f t="shared" si="404"/>
        <v>1</v>
      </c>
      <c r="I487">
        <f t="shared" si="405"/>
        <v>7</v>
      </c>
      <c r="J487">
        <f t="shared" si="406"/>
        <v>2</v>
      </c>
      <c r="K487">
        <f t="shared" si="407"/>
        <v>2</v>
      </c>
      <c r="L487" t="str">
        <f t="shared" si="403"/>
        <v>POM E</v>
      </c>
      <c r="N487">
        <f t="shared" si="395"/>
        <v>4.7E-2</v>
      </c>
      <c r="O487" s="155">
        <f t="shared" si="396"/>
        <v>3458787.8787878798</v>
      </c>
    </row>
    <row r="488" spans="2:15">
      <c r="B488" t="str">
        <f t="shared" si="398"/>
        <v>CH0</v>
      </c>
      <c r="C488">
        <f t="shared" si="399"/>
        <v>2050</v>
      </c>
      <c r="D488" t="str">
        <f t="shared" si="400"/>
        <v>GEO_ELC</v>
      </c>
      <c r="E488" s="155">
        <f t="shared" si="397"/>
        <v>4183670</v>
      </c>
      <c r="F488" t="str">
        <f t="shared" si="401"/>
        <v>hi_ren</v>
      </c>
      <c r="G488" t="str">
        <f t="shared" si="402"/>
        <v>geothermal</v>
      </c>
      <c r="H488">
        <f t="shared" si="404"/>
        <v>1</v>
      </c>
      <c r="I488">
        <f t="shared" si="405"/>
        <v>8</v>
      </c>
      <c r="J488">
        <f t="shared" si="406"/>
        <v>2</v>
      </c>
      <c r="K488">
        <f t="shared" si="407"/>
        <v>2</v>
      </c>
      <c r="L488" t="str">
        <f t="shared" si="403"/>
        <v>POM E</v>
      </c>
      <c r="N488">
        <f t="shared" si="395"/>
        <v>4.7E-2</v>
      </c>
      <c r="O488" s="155">
        <f t="shared" si="396"/>
        <v>4390000</v>
      </c>
    </row>
    <row r="489" spans="2:15">
      <c r="B489" t="str">
        <f t="shared" si="398"/>
        <v>CH0</v>
      </c>
      <c r="C489">
        <f t="shared" si="399"/>
        <v>2015</v>
      </c>
      <c r="D489" t="str">
        <f t="shared" si="400"/>
        <v>GAS_OIL</v>
      </c>
      <c r="E489" s="155">
        <f t="shared" si="397"/>
        <v>2673000</v>
      </c>
      <c r="F489" t="str">
        <f t="shared" si="401"/>
        <v>hi_ren</v>
      </c>
      <c r="G489" t="str">
        <f t="shared" si="402"/>
        <v>gas+oil</v>
      </c>
      <c r="H489">
        <f t="shared" si="404"/>
        <v>1</v>
      </c>
      <c r="I489">
        <f t="shared" si="405"/>
        <v>1</v>
      </c>
      <c r="J489">
        <f t="shared" si="406"/>
        <v>3</v>
      </c>
      <c r="K489">
        <f t="shared" si="407"/>
        <v>2</v>
      </c>
      <c r="L489" t="str">
        <f t="shared" si="403"/>
        <v>POM E</v>
      </c>
      <c r="N489">
        <f t="shared" si="395"/>
        <v>0.01</v>
      </c>
      <c r="O489" s="155">
        <f t="shared" si="396"/>
        <v>2700000</v>
      </c>
    </row>
    <row r="490" spans="2:15">
      <c r="B490" t="str">
        <f t="shared" si="398"/>
        <v>CH0</v>
      </c>
      <c r="C490">
        <f t="shared" si="399"/>
        <v>2020</v>
      </c>
      <c r="D490" t="str">
        <f t="shared" si="400"/>
        <v>GAS_OIL</v>
      </c>
      <c r="E490" s="155">
        <f t="shared" si="397"/>
        <v>3098700</v>
      </c>
      <c r="F490" t="str">
        <f t="shared" si="401"/>
        <v>hi_ren</v>
      </c>
      <c r="G490" t="str">
        <f t="shared" si="402"/>
        <v>gas+oil</v>
      </c>
      <c r="H490">
        <f t="shared" si="404"/>
        <v>1</v>
      </c>
      <c r="I490">
        <f t="shared" si="405"/>
        <v>2</v>
      </c>
      <c r="J490">
        <f t="shared" si="406"/>
        <v>3</v>
      </c>
      <c r="K490">
        <f t="shared" si="407"/>
        <v>2</v>
      </c>
      <c r="L490" t="str">
        <f t="shared" si="403"/>
        <v>POM E</v>
      </c>
      <c r="N490">
        <f t="shared" si="395"/>
        <v>0.01</v>
      </c>
      <c r="O490" s="155">
        <f t="shared" si="396"/>
        <v>3130000</v>
      </c>
    </row>
    <row r="491" spans="2:15">
      <c r="B491" t="str">
        <f t="shared" si="398"/>
        <v>CH0</v>
      </c>
      <c r="C491">
        <f t="shared" si="399"/>
        <v>2025</v>
      </c>
      <c r="D491" t="str">
        <f t="shared" si="400"/>
        <v>GAS_OIL</v>
      </c>
      <c r="E491" s="155">
        <f t="shared" si="397"/>
        <v>3356100</v>
      </c>
      <c r="F491" t="str">
        <f t="shared" si="401"/>
        <v>hi_ren</v>
      </c>
      <c r="G491" t="str">
        <f t="shared" si="402"/>
        <v>gas+oil</v>
      </c>
      <c r="H491">
        <f t="shared" si="404"/>
        <v>1</v>
      </c>
      <c r="I491">
        <f t="shared" si="405"/>
        <v>3</v>
      </c>
      <c r="J491">
        <f t="shared" si="406"/>
        <v>3</v>
      </c>
      <c r="K491">
        <f t="shared" si="407"/>
        <v>2</v>
      </c>
      <c r="L491" t="str">
        <f t="shared" si="403"/>
        <v>POM E</v>
      </c>
      <c r="N491">
        <f t="shared" si="395"/>
        <v>0.01</v>
      </c>
      <c r="O491" s="155">
        <f t="shared" si="396"/>
        <v>3390000</v>
      </c>
    </row>
    <row r="492" spans="2:15">
      <c r="B492" t="str">
        <f t="shared" si="398"/>
        <v>CH0</v>
      </c>
      <c r="C492">
        <f t="shared" si="399"/>
        <v>2030</v>
      </c>
      <c r="D492" t="str">
        <f t="shared" si="400"/>
        <v>GAS_OIL</v>
      </c>
      <c r="E492" s="155">
        <f t="shared" si="397"/>
        <v>3583800</v>
      </c>
      <c r="F492" t="str">
        <f t="shared" si="401"/>
        <v>hi_ren</v>
      </c>
      <c r="G492" t="str">
        <f t="shared" si="402"/>
        <v>gas+oil</v>
      </c>
      <c r="H492">
        <f t="shared" si="404"/>
        <v>1</v>
      </c>
      <c r="I492">
        <f t="shared" si="405"/>
        <v>4</v>
      </c>
      <c r="J492">
        <f t="shared" si="406"/>
        <v>3</v>
      </c>
      <c r="K492">
        <f t="shared" si="407"/>
        <v>2</v>
      </c>
      <c r="L492" t="str">
        <f t="shared" si="403"/>
        <v>POM E</v>
      </c>
      <c r="N492">
        <f t="shared" si="395"/>
        <v>0.01</v>
      </c>
      <c r="O492" s="155">
        <f t="shared" si="396"/>
        <v>3620000</v>
      </c>
    </row>
    <row r="493" spans="2:15">
      <c r="B493" t="str">
        <f t="shared" si="398"/>
        <v>CH0</v>
      </c>
      <c r="C493">
        <f t="shared" si="399"/>
        <v>2035</v>
      </c>
      <c r="D493" t="str">
        <f t="shared" si="400"/>
        <v>GAS_OIL</v>
      </c>
      <c r="E493" s="155">
        <f t="shared" si="397"/>
        <v>3544200</v>
      </c>
      <c r="F493" t="str">
        <f t="shared" si="401"/>
        <v>hi_ren</v>
      </c>
      <c r="G493" t="str">
        <f t="shared" si="402"/>
        <v>gas+oil</v>
      </c>
      <c r="H493">
        <f t="shared" si="404"/>
        <v>1</v>
      </c>
      <c r="I493">
        <f t="shared" si="405"/>
        <v>5</v>
      </c>
      <c r="J493">
        <f t="shared" si="406"/>
        <v>3</v>
      </c>
      <c r="K493">
        <f t="shared" si="407"/>
        <v>2</v>
      </c>
      <c r="L493" t="str">
        <f t="shared" si="403"/>
        <v>POM E</v>
      </c>
      <c r="N493">
        <f t="shared" si="395"/>
        <v>0.01</v>
      </c>
      <c r="O493" s="155">
        <f t="shared" si="396"/>
        <v>3580000</v>
      </c>
    </row>
    <row r="494" spans="2:15">
      <c r="B494" t="str">
        <f t="shared" si="398"/>
        <v>CH0</v>
      </c>
      <c r="C494">
        <f t="shared" si="399"/>
        <v>2040</v>
      </c>
      <c r="D494" t="str">
        <f t="shared" si="400"/>
        <v>GAS_OIL</v>
      </c>
      <c r="E494" s="155">
        <f t="shared" si="397"/>
        <v>3405600</v>
      </c>
      <c r="F494" t="str">
        <f t="shared" si="401"/>
        <v>hi_ren</v>
      </c>
      <c r="G494" t="str">
        <f t="shared" si="402"/>
        <v>gas+oil</v>
      </c>
      <c r="H494">
        <f t="shared" si="404"/>
        <v>1</v>
      </c>
      <c r="I494">
        <f t="shared" si="405"/>
        <v>6</v>
      </c>
      <c r="J494">
        <f t="shared" si="406"/>
        <v>3</v>
      </c>
      <c r="K494">
        <f t="shared" si="407"/>
        <v>2</v>
      </c>
      <c r="L494" t="str">
        <f t="shared" si="403"/>
        <v>POM E</v>
      </c>
      <c r="N494">
        <f t="shared" si="395"/>
        <v>0.01</v>
      </c>
      <c r="O494" s="155">
        <f t="shared" si="396"/>
        <v>3440000</v>
      </c>
    </row>
    <row r="495" spans="2:15">
      <c r="B495" t="str">
        <f t="shared" si="398"/>
        <v>CH0</v>
      </c>
      <c r="C495">
        <f t="shared" si="399"/>
        <v>2045</v>
      </c>
      <c r="D495" t="str">
        <f t="shared" si="400"/>
        <v>GAS_OIL</v>
      </c>
      <c r="E495" s="155">
        <f t="shared" si="397"/>
        <v>3415500</v>
      </c>
      <c r="F495" t="str">
        <f t="shared" si="401"/>
        <v>hi_ren</v>
      </c>
      <c r="G495" t="str">
        <f t="shared" si="402"/>
        <v>gas+oil</v>
      </c>
      <c r="H495">
        <f t="shared" si="404"/>
        <v>1</v>
      </c>
      <c r="I495">
        <f t="shared" si="405"/>
        <v>7</v>
      </c>
      <c r="J495">
        <f t="shared" si="406"/>
        <v>3</v>
      </c>
      <c r="K495">
        <f t="shared" si="407"/>
        <v>2</v>
      </c>
      <c r="L495" t="str">
        <f t="shared" si="403"/>
        <v>POM E</v>
      </c>
      <c r="N495">
        <f t="shared" si="395"/>
        <v>0.01</v>
      </c>
      <c r="O495" s="155">
        <f t="shared" si="396"/>
        <v>3450000</v>
      </c>
    </row>
    <row r="496" spans="2:15">
      <c r="B496" t="str">
        <f t="shared" si="398"/>
        <v>CH0</v>
      </c>
      <c r="C496">
        <f t="shared" si="399"/>
        <v>2050</v>
      </c>
      <c r="D496" t="str">
        <f t="shared" si="400"/>
        <v>GAS_OIL</v>
      </c>
      <c r="E496" s="155">
        <f t="shared" si="397"/>
        <v>3415500</v>
      </c>
      <c r="F496" t="str">
        <f t="shared" si="401"/>
        <v>hi_ren</v>
      </c>
      <c r="G496" t="str">
        <f t="shared" si="402"/>
        <v>gas+oil</v>
      </c>
      <c r="H496">
        <f t="shared" si="404"/>
        <v>1</v>
      </c>
      <c r="I496">
        <f t="shared" si="405"/>
        <v>8</v>
      </c>
      <c r="J496">
        <f t="shared" si="406"/>
        <v>3</v>
      </c>
      <c r="K496">
        <f t="shared" si="407"/>
        <v>2</v>
      </c>
      <c r="L496" t="str">
        <f t="shared" si="403"/>
        <v>POM E</v>
      </c>
      <c r="N496">
        <f t="shared" si="395"/>
        <v>0.01</v>
      </c>
      <c r="O496" s="155">
        <f t="shared" si="396"/>
        <v>3450000</v>
      </c>
    </row>
    <row r="497" spans="2:15">
      <c r="B497" t="str">
        <f t="shared" ref="B497:B528" si="408">INDEX(H$424:H$431,H497)</f>
        <v>CH0</v>
      </c>
      <c r="C497">
        <f t="shared" ref="C497:C528" si="409">INDEX(I$424:I$431,I497)</f>
        <v>2015</v>
      </c>
      <c r="D497" t="str">
        <f t="shared" ref="D497:D528" si="410">INDEX(J$424:J$431,J497)</f>
        <v>SOL_PHO</v>
      </c>
      <c r="E497" s="155">
        <f t="shared" si="397"/>
        <v>280000</v>
      </c>
      <c r="F497" t="str">
        <f t="shared" ref="F497:F528" si="411">INDEX(L$424:L$431,K497)</f>
        <v>hi_ren</v>
      </c>
      <c r="G497" t="str">
        <f t="shared" ref="G497:G528" si="412">INDEX(M$424:M$431,J497)</f>
        <v>photovoltaics</v>
      </c>
      <c r="H497">
        <f t="shared" si="404"/>
        <v>1</v>
      </c>
      <c r="I497">
        <f t="shared" si="405"/>
        <v>1</v>
      </c>
      <c r="J497">
        <f t="shared" si="406"/>
        <v>4</v>
      </c>
      <c r="K497">
        <f t="shared" si="407"/>
        <v>2</v>
      </c>
      <c r="L497" t="str">
        <f t="shared" ref="L497:L528" si="413">INDEX(K$424:K$431,K497)</f>
        <v>POM E</v>
      </c>
      <c r="N497">
        <f t="shared" si="395"/>
        <v>0</v>
      </c>
      <c r="O497" s="155">
        <f t="shared" si="396"/>
        <v>280000</v>
      </c>
    </row>
    <row r="498" spans="2:15">
      <c r="B498" t="str">
        <f t="shared" si="408"/>
        <v>CH0</v>
      </c>
      <c r="C498">
        <f t="shared" si="409"/>
        <v>2020</v>
      </c>
      <c r="D498" t="str">
        <f t="shared" si="410"/>
        <v>SOL_PHO</v>
      </c>
      <c r="E498" s="155">
        <f t="shared" si="397"/>
        <v>520000</v>
      </c>
      <c r="F498" t="str">
        <f t="shared" si="411"/>
        <v>hi_ren</v>
      </c>
      <c r="G498" t="str">
        <f t="shared" si="412"/>
        <v>photovoltaics</v>
      </c>
      <c r="H498">
        <f t="shared" ref="H498:H529" si="414">IF(H497=$H$423,1,H497+1)</f>
        <v>1</v>
      </c>
      <c r="I498">
        <f t="shared" ref="I498:I529" si="415">IF(H498=1,IF(I497=$I$423,1,I497+1),I497)</f>
        <v>2</v>
      </c>
      <c r="J498">
        <f t="shared" ref="J498:J529" si="416">IF(AND(I498=1,I497&gt;1),IF(J497=$J$423,1,J497+1),J497)</f>
        <v>4</v>
      </c>
      <c r="K498">
        <f t="shared" ref="K498:K529" si="417">IF(AND(J498=1,J497&gt;1),IF(K497=$K$423,1,K497+1),K497)</f>
        <v>2</v>
      </c>
      <c r="L498" t="str">
        <f t="shared" si="413"/>
        <v>POM E</v>
      </c>
      <c r="N498">
        <f t="shared" ref="N498:N552" si="418">INDEX($AJ$21:$AJ$249,MATCH(B498&amp;"."&amp;D498&amp;"."&amp;L498,$AH$21:$AH$249,0))</f>
        <v>0</v>
      </c>
      <c r="O498" s="155">
        <f t="shared" ref="O498:O552" si="419">INDEX($W$21:$AE$247,MATCH(B498&amp;"."&amp;D498&amp;"."&amp;L498,$AH$21:$AH$246,0),MATCH(C498,$W$20:$AE$20,0))</f>
        <v>520000</v>
      </c>
    </row>
    <row r="499" spans="2:15">
      <c r="B499" t="str">
        <f t="shared" si="408"/>
        <v>CH0</v>
      </c>
      <c r="C499">
        <f t="shared" si="409"/>
        <v>2025</v>
      </c>
      <c r="D499" t="str">
        <f t="shared" si="410"/>
        <v>SOL_PHO</v>
      </c>
      <c r="E499" s="155">
        <f t="shared" si="397"/>
        <v>980000</v>
      </c>
      <c r="F499" t="str">
        <f t="shared" si="411"/>
        <v>hi_ren</v>
      </c>
      <c r="G499" t="str">
        <f t="shared" si="412"/>
        <v>photovoltaics</v>
      </c>
      <c r="H499">
        <f t="shared" si="414"/>
        <v>1</v>
      </c>
      <c r="I499">
        <f t="shared" si="415"/>
        <v>3</v>
      </c>
      <c r="J499">
        <f t="shared" si="416"/>
        <v>4</v>
      </c>
      <c r="K499">
        <f t="shared" si="417"/>
        <v>2</v>
      </c>
      <c r="L499" t="str">
        <f t="shared" si="413"/>
        <v>POM E</v>
      </c>
      <c r="N499">
        <f t="shared" si="418"/>
        <v>0</v>
      </c>
      <c r="O499" s="155">
        <f t="shared" si="419"/>
        <v>980000</v>
      </c>
    </row>
    <row r="500" spans="2:15">
      <c r="B500" t="str">
        <f t="shared" si="408"/>
        <v>CH0</v>
      </c>
      <c r="C500">
        <f t="shared" si="409"/>
        <v>2030</v>
      </c>
      <c r="D500" t="str">
        <f t="shared" si="410"/>
        <v>SOL_PHO</v>
      </c>
      <c r="E500" s="155">
        <f t="shared" si="397"/>
        <v>1910000</v>
      </c>
      <c r="F500" t="str">
        <f t="shared" si="411"/>
        <v>hi_ren</v>
      </c>
      <c r="G500" t="str">
        <f t="shared" si="412"/>
        <v>photovoltaics</v>
      </c>
      <c r="H500">
        <f t="shared" si="414"/>
        <v>1</v>
      </c>
      <c r="I500">
        <f t="shared" si="415"/>
        <v>4</v>
      </c>
      <c r="J500">
        <f t="shared" si="416"/>
        <v>4</v>
      </c>
      <c r="K500">
        <f t="shared" si="417"/>
        <v>2</v>
      </c>
      <c r="L500" t="str">
        <f t="shared" si="413"/>
        <v>POM E</v>
      </c>
      <c r="N500">
        <f t="shared" si="418"/>
        <v>0</v>
      </c>
      <c r="O500" s="155">
        <f t="shared" si="419"/>
        <v>1910000</v>
      </c>
    </row>
    <row r="501" spans="2:15">
      <c r="B501" t="str">
        <f t="shared" si="408"/>
        <v>CH0</v>
      </c>
      <c r="C501">
        <f t="shared" si="409"/>
        <v>2035</v>
      </c>
      <c r="D501" t="str">
        <f t="shared" si="410"/>
        <v>SOL_PHO</v>
      </c>
      <c r="E501" s="155">
        <f t="shared" si="397"/>
        <v>4440000</v>
      </c>
      <c r="F501" t="str">
        <f t="shared" si="411"/>
        <v>hi_ren</v>
      </c>
      <c r="G501" t="str">
        <f t="shared" si="412"/>
        <v>photovoltaics</v>
      </c>
      <c r="H501">
        <f t="shared" si="414"/>
        <v>1</v>
      </c>
      <c r="I501">
        <f t="shared" si="415"/>
        <v>5</v>
      </c>
      <c r="J501">
        <f t="shared" si="416"/>
        <v>4</v>
      </c>
      <c r="K501">
        <f t="shared" si="417"/>
        <v>2</v>
      </c>
      <c r="L501" t="str">
        <f t="shared" si="413"/>
        <v>POM E</v>
      </c>
      <c r="N501">
        <f t="shared" si="418"/>
        <v>0</v>
      </c>
      <c r="O501" s="155">
        <f t="shared" si="419"/>
        <v>4440000</v>
      </c>
    </row>
    <row r="502" spans="2:15">
      <c r="B502" t="str">
        <f t="shared" si="408"/>
        <v>CH0</v>
      </c>
      <c r="C502">
        <f t="shared" si="409"/>
        <v>2040</v>
      </c>
      <c r="D502" t="str">
        <f t="shared" si="410"/>
        <v>SOL_PHO</v>
      </c>
      <c r="E502" s="155">
        <f t="shared" si="397"/>
        <v>6740000</v>
      </c>
      <c r="F502" t="str">
        <f t="shared" si="411"/>
        <v>hi_ren</v>
      </c>
      <c r="G502" t="str">
        <f t="shared" si="412"/>
        <v>photovoltaics</v>
      </c>
      <c r="H502">
        <f t="shared" si="414"/>
        <v>1</v>
      </c>
      <c r="I502">
        <f t="shared" si="415"/>
        <v>6</v>
      </c>
      <c r="J502">
        <f t="shared" si="416"/>
        <v>4</v>
      </c>
      <c r="K502">
        <f t="shared" si="417"/>
        <v>2</v>
      </c>
      <c r="L502" t="str">
        <f t="shared" si="413"/>
        <v>POM E</v>
      </c>
      <c r="N502">
        <f t="shared" si="418"/>
        <v>0</v>
      </c>
      <c r="O502" s="155">
        <f t="shared" si="419"/>
        <v>6740000</v>
      </c>
    </row>
    <row r="503" spans="2:15">
      <c r="B503" t="str">
        <f t="shared" si="408"/>
        <v>CH0</v>
      </c>
      <c r="C503">
        <f t="shared" si="409"/>
        <v>2045</v>
      </c>
      <c r="D503" t="str">
        <f t="shared" si="410"/>
        <v>SOL_PHO</v>
      </c>
      <c r="E503" s="155">
        <f t="shared" si="397"/>
        <v>9230000</v>
      </c>
      <c r="F503" t="str">
        <f t="shared" si="411"/>
        <v>hi_ren</v>
      </c>
      <c r="G503" t="str">
        <f t="shared" si="412"/>
        <v>photovoltaics</v>
      </c>
      <c r="H503">
        <f t="shared" si="414"/>
        <v>1</v>
      </c>
      <c r="I503">
        <f t="shared" si="415"/>
        <v>7</v>
      </c>
      <c r="J503">
        <f t="shared" si="416"/>
        <v>4</v>
      </c>
      <c r="K503">
        <f t="shared" si="417"/>
        <v>2</v>
      </c>
      <c r="L503" t="str">
        <f t="shared" si="413"/>
        <v>POM E</v>
      </c>
      <c r="N503">
        <f t="shared" si="418"/>
        <v>0</v>
      </c>
      <c r="O503" s="155">
        <f t="shared" si="419"/>
        <v>9230000</v>
      </c>
    </row>
    <row r="504" spans="2:15">
      <c r="B504" t="str">
        <f t="shared" si="408"/>
        <v>CH0</v>
      </c>
      <c r="C504">
        <f t="shared" si="409"/>
        <v>2050</v>
      </c>
      <c r="D504" t="str">
        <f t="shared" si="410"/>
        <v>SOL_PHO</v>
      </c>
      <c r="E504" s="155">
        <f t="shared" si="397"/>
        <v>11120000</v>
      </c>
      <c r="F504" t="str">
        <f t="shared" si="411"/>
        <v>hi_ren</v>
      </c>
      <c r="G504" t="str">
        <f t="shared" si="412"/>
        <v>photovoltaics</v>
      </c>
      <c r="H504">
        <f t="shared" si="414"/>
        <v>1</v>
      </c>
      <c r="I504">
        <f t="shared" si="415"/>
        <v>8</v>
      </c>
      <c r="J504">
        <f t="shared" si="416"/>
        <v>4</v>
      </c>
      <c r="K504">
        <f t="shared" si="417"/>
        <v>2</v>
      </c>
      <c r="L504" t="str">
        <f t="shared" si="413"/>
        <v>POM E</v>
      </c>
      <c r="N504">
        <f t="shared" si="418"/>
        <v>0</v>
      </c>
      <c r="O504" s="155">
        <f t="shared" si="419"/>
        <v>11120000</v>
      </c>
    </row>
    <row r="505" spans="2:15">
      <c r="B505" t="str">
        <f t="shared" si="408"/>
        <v>CH0</v>
      </c>
      <c r="C505">
        <f t="shared" si="409"/>
        <v>2015</v>
      </c>
      <c r="D505" t="str">
        <f t="shared" si="410"/>
        <v>WIN_ONS</v>
      </c>
      <c r="E505" s="155">
        <f t="shared" si="397"/>
        <v>346500</v>
      </c>
      <c r="F505" t="str">
        <f t="shared" si="411"/>
        <v>hi_ren</v>
      </c>
      <c r="G505" t="str">
        <f t="shared" si="412"/>
        <v>wind_onshore</v>
      </c>
      <c r="H505">
        <f t="shared" si="414"/>
        <v>1</v>
      </c>
      <c r="I505">
        <f t="shared" si="415"/>
        <v>1</v>
      </c>
      <c r="J505">
        <f t="shared" si="416"/>
        <v>5</v>
      </c>
      <c r="K505">
        <f t="shared" si="417"/>
        <v>2</v>
      </c>
      <c r="L505" t="str">
        <f t="shared" si="413"/>
        <v>POM E</v>
      </c>
      <c r="N505">
        <f t="shared" si="418"/>
        <v>0.01</v>
      </c>
      <c r="O505" s="155">
        <f t="shared" si="419"/>
        <v>350000</v>
      </c>
    </row>
    <row r="506" spans="2:15">
      <c r="B506" t="str">
        <f t="shared" si="408"/>
        <v>CH0</v>
      </c>
      <c r="C506">
        <f t="shared" si="409"/>
        <v>2020</v>
      </c>
      <c r="D506" t="str">
        <f t="shared" si="410"/>
        <v>WIN_ONS</v>
      </c>
      <c r="E506" s="155">
        <f t="shared" si="397"/>
        <v>653400</v>
      </c>
      <c r="F506" t="str">
        <f t="shared" si="411"/>
        <v>hi_ren</v>
      </c>
      <c r="G506" t="str">
        <f t="shared" si="412"/>
        <v>wind_onshore</v>
      </c>
      <c r="H506">
        <f t="shared" si="414"/>
        <v>1</v>
      </c>
      <c r="I506">
        <f t="shared" si="415"/>
        <v>2</v>
      </c>
      <c r="J506">
        <f t="shared" si="416"/>
        <v>5</v>
      </c>
      <c r="K506">
        <f t="shared" si="417"/>
        <v>2</v>
      </c>
      <c r="L506" t="str">
        <f t="shared" si="413"/>
        <v>POM E</v>
      </c>
      <c r="N506">
        <f t="shared" si="418"/>
        <v>0.01</v>
      </c>
      <c r="O506" s="155">
        <f t="shared" si="419"/>
        <v>660000</v>
      </c>
    </row>
    <row r="507" spans="2:15">
      <c r="B507" t="str">
        <f t="shared" si="408"/>
        <v>CH0</v>
      </c>
      <c r="C507">
        <f t="shared" si="409"/>
        <v>2025</v>
      </c>
      <c r="D507" t="str">
        <f t="shared" si="410"/>
        <v>WIN_ONS</v>
      </c>
      <c r="E507" s="155">
        <f t="shared" si="397"/>
        <v>980100</v>
      </c>
      <c r="F507" t="str">
        <f t="shared" si="411"/>
        <v>hi_ren</v>
      </c>
      <c r="G507" t="str">
        <f t="shared" si="412"/>
        <v>wind_onshore</v>
      </c>
      <c r="H507">
        <f t="shared" si="414"/>
        <v>1</v>
      </c>
      <c r="I507">
        <f t="shared" si="415"/>
        <v>3</v>
      </c>
      <c r="J507">
        <f t="shared" si="416"/>
        <v>5</v>
      </c>
      <c r="K507">
        <f t="shared" si="417"/>
        <v>2</v>
      </c>
      <c r="L507" t="str">
        <f t="shared" si="413"/>
        <v>POM E</v>
      </c>
      <c r="N507">
        <f t="shared" si="418"/>
        <v>0.01</v>
      </c>
      <c r="O507" s="155">
        <f t="shared" si="419"/>
        <v>990000</v>
      </c>
    </row>
    <row r="508" spans="2:15">
      <c r="B508" t="str">
        <f t="shared" si="408"/>
        <v>CH0</v>
      </c>
      <c r="C508">
        <f t="shared" si="409"/>
        <v>2030</v>
      </c>
      <c r="D508" t="str">
        <f t="shared" si="410"/>
        <v>WIN_ONS</v>
      </c>
      <c r="E508" s="155">
        <f t="shared" si="397"/>
        <v>1445400</v>
      </c>
      <c r="F508" t="str">
        <f t="shared" si="411"/>
        <v>hi_ren</v>
      </c>
      <c r="G508" t="str">
        <f t="shared" si="412"/>
        <v>wind_onshore</v>
      </c>
      <c r="H508">
        <f t="shared" si="414"/>
        <v>1</v>
      </c>
      <c r="I508">
        <f t="shared" si="415"/>
        <v>4</v>
      </c>
      <c r="J508">
        <f t="shared" si="416"/>
        <v>5</v>
      </c>
      <c r="K508">
        <f t="shared" si="417"/>
        <v>2</v>
      </c>
      <c r="L508" t="str">
        <f t="shared" si="413"/>
        <v>POM E</v>
      </c>
      <c r="N508">
        <f t="shared" si="418"/>
        <v>0.01</v>
      </c>
      <c r="O508" s="155">
        <f t="shared" si="419"/>
        <v>1460000</v>
      </c>
    </row>
    <row r="509" spans="2:15">
      <c r="B509" t="str">
        <f t="shared" si="408"/>
        <v>CH0</v>
      </c>
      <c r="C509">
        <f t="shared" si="409"/>
        <v>2035</v>
      </c>
      <c r="D509" t="str">
        <f t="shared" si="410"/>
        <v>WIN_ONS</v>
      </c>
      <c r="E509" s="155">
        <f t="shared" si="397"/>
        <v>1742400</v>
      </c>
      <c r="F509" t="str">
        <f t="shared" si="411"/>
        <v>hi_ren</v>
      </c>
      <c r="G509" t="str">
        <f t="shared" si="412"/>
        <v>wind_onshore</v>
      </c>
      <c r="H509">
        <f t="shared" si="414"/>
        <v>1</v>
      </c>
      <c r="I509">
        <f t="shared" si="415"/>
        <v>5</v>
      </c>
      <c r="J509">
        <f t="shared" si="416"/>
        <v>5</v>
      </c>
      <c r="K509">
        <f t="shared" si="417"/>
        <v>2</v>
      </c>
      <c r="L509" t="str">
        <f t="shared" si="413"/>
        <v>POM E</v>
      </c>
      <c r="N509">
        <f t="shared" si="418"/>
        <v>0.01</v>
      </c>
      <c r="O509" s="155">
        <f t="shared" si="419"/>
        <v>1760000</v>
      </c>
    </row>
    <row r="510" spans="2:15">
      <c r="B510" t="str">
        <f t="shared" si="408"/>
        <v>CH0</v>
      </c>
      <c r="C510">
        <f t="shared" si="409"/>
        <v>2040</v>
      </c>
      <c r="D510" t="str">
        <f t="shared" si="410"/>
        <v>WIN_ONS</v>
      </c>
      <c r="E510" s="155">
        <f t="shared" si="397"/>
        <v>2564100</v>
      </c>
      <c r="F510" t="str">
        <f t="shared" si="411"/>
        <v>hi_ren</v>
      </c>
      <c r="G510" t="str">
        <f t="shared" si="412"/>
        <v>wind_onshore</v>
      </c>
      <c r="H510">
        <f t="shared" si="414"/>
        <v>1</v>
      </c>
      <c r="I510">
        <f t="shared" si="415"/>
        <v>6</v>
      </c>
      <c r="J510">
        <f t="shared" si="416"/>
        <v>5</v>
      </c>
      <c r="K510">
        <f t="shared" si="417"/>
        <v>2</v>
      </c>
      <c r="L510" t="str">
        <f t="shared" si="413"/>
        <v>POM E</v>
      </c>
      <c r="N510">
        <f t="shared" si="418"/>
        <v>0.01</v>
      </c>
      <c r="O510" s="155">
        <f t="shared" si="419"/>
        <v>2590000</v>
      </c>
    </row>
    <row r="511" spans="2:15">
      <c r="B511" t="str">
        <f t="shared" si="408"/>
        <v>CH0</v>
      </c>
      <c r="C511">
        <f t="shared" si="409"/>
        <v>2045</v>
      </c>
      <c r="D511" t="str">
        <f t="shared" si="410"/>
        <v>WIN_ONS</v>
      </c>
      <c r="E511" s="155">
        <f t="shared" si="397"/>
        <v>3395700</v>
      </c>
      <c r="F511" t="str">
        <f t="shared" si="411"/>
        <v>hi_ren</v>
      </c>
      <c r="G511" t="str">
        <f t="shared" si="412"/>
        <v>wind_onshore</v>
      </c>
      <c r="H511">
        <f t="shared" si="414"/>
        <v>1</v>
      </c>
      <c r="I511">
        <f t="shared" si="415"/>
        <v>7</v>
      </c>
      <c r="J511">
        <f t="shared" si="416"/>
        <v>5</v>
      </c>
      <c r="K511">
        <f t="shared" si="417"/>
        <v>2</v>
      </c>
      <c r="L511" t="str">
        <f t="shared" si="413"/>
        <v>POM E</v>
      </c>
      <c r="N511">
        <f t="shared" si="418"/>
        <v>0.01</v>
      </c>
      <c r="O511" s="155">
        <f t="shared" si="419"/>
        <v>3430000</v>
      </c>
    </row>
    <row r="512" spans="2:15">
      <c r="B512" t="str">
        <f t="shared" si="408"/>
        <v>CH0</v>
      </c>
      <c r="C512">
        <f t="shared" si="409"/>
        <v>2050</v>
      </c>
      <c r="D512" t="str">
        <f t="shared" si="410"/>
        <v>WIN_ONS</v>
      </c>
      <c r="E512" s="155">
        <f t="shared" si="397"/>
        <v>4217400</v>
      </c>
      <c r="F512" t="str">
        <f t="shared" si="411"/>
        <v>hi_ren</v>
      </c>
      <c r="G512" t="str">
        <f t="shared" si="412"/>
        <v>wind_onshore</v>
      </c>
      <c r="H512">
        <f t="shared" si="414"/>
        <v>1</v>
      </c>
      <c r="I512">
        <f t="shared" si="415"/>
        <v>8</v>
      </c>
      <c r="J512">
        <f t="shared" si="416"/>
        <v>5</v>
      </c>
      <c r="K512">
        <f t="shared" si="417"/>
        <v>2</v>
      </c>
      <c r="L512" t="str">
        <f t="shared" si="413"/>
        <v>POM E</v>
      </c>
      <c r="N512">
        <f t="shared" si="418"/>
        <v>0.01</v>
      </c>
      <c r="O512" s="155">
        <f t="shared" si="419"/>
        <v>4260000</v>
      </c>
    </row>
    <row r="513" spans="2:15">
      <c r="B513" t="str">
        <f t="shared" si="408"/>
        <v>CH0</v>
      </c>
      <c r="C513">
        <f t="shared" si="409"/>
        <v>2015</v>
      </c>
      <c r="D513" t="str">
        <f t="shared" si="410"/>
        <v>BAL_ELC</v>
      </c>
      <c r="E513" s="155">
        <f t="shared" si="397"/>
        <v>195450.84420000002</v>
      </c>
      <c r="F513" t="str">
        <f t="shared" si="411"/>
        <v>default</v>
      </c>
      <c r="G513" t="str">
        <f t="shared" si="412"/>
        <v>bio_all</v>
      </c>
      <c r="H513">
        <f t="shared" si="414"/>
        <v>1</v>
      </c>
      <c r="I513">
        <f t="shared" si="415"/>
        <v>1</v>
      </c>
      <c r="J513">
        <f t="shared" si="416"/>
        <v>1</v>
      </c>
      <c r="K513">
        <f t="shared" si="417"/>
        <v>3</v>
      </c>
      <c r="L513" t="str">
        <f t="shared" si="413"/>
        <v>POM C&amp;E</v>
      </c>
      <c r="N513">
        <f t="shared" si="418"/>
        <v>8.5000000000000006E-2</v>
      </c>
      <c r="O513" s="155">
        <f t="shared" si="419"/>
        <v>213607.48</v>
      </c>
    </row>
    <row r="514" spans="2:15">
      <c r="B514" t="str">
        <f t="shared" si="408"/>
        <v>CH0</v>
      </c>
      <c r="C514">
        <f t="shared" si="409"/>
        <v>2020</v>
      </c>
      <c r="D514" t="str">
        <f t="shared" si="410"/>
        <v>BAL_ELC</v>
      </c>
      <c r="E514" s="155">
        <f t="shared" si="397"/>
        <v>809146.80323076842</v>
      </c>
      <c r="F514" t="str">
        <f t="shared" si="411"/>
        <v>default</v>
      </c>
      <c r="G514" t="str">
        <f t="shared" si="412"/>
        <v>bio_all</v>
      </c>
      <c r="H514">
        <f t="shared" si="414"/>
        <v>1</v>
      </c>
      <c r="I514">
        <f t="shared" si="415"/>
        <v>2</v>
      </c>
      <c r="J514">
        <f t="shared" si="416"/>
        <v>1</v>
      </c>
      <c r="K514">
        <f t="shared" si="417"/>
        <v>3</v>
      </c>
      <c r="L514" t="str">
        <f t="shared" si="413"/>
        <v>POM C&amp;E</v>
      </c>
      <c r="N514">
        <f t="shared" si="418"/>
        <v>8.5000000000000006E-2</v>
      </c>
      <c r="O514" s="155">
        <f t="shared" si="419"/>
        <v>884313.44615384517</v>
      </c>
    </row>
    <row r="515" spans="2:15">
      <c r="B515" t="str">
        <f t="shared" si="408"/>
        <v>CH0</v>
      </c>
      <c r="C515">
        <f t="shared" si="409"/>
        <v>2025</v>
      </c>
      <c r="D515" t="str">
        <f t="shared" si="410"/>
        <v>BAL_ELC</v>
      </c>
      <c r="E515" s="155">
        <f t="shared" si="397"/>
        <v>1724307.4438906894</v>
      </c>
      <c r="F515" t="str">
        <f t="shared" si="411"/>
        <v>default</v>
      </c>
      <c r="G515" t="str">
        <f t="shared" si="412"/>
        <v>bio_all</v>
      </c>
      <c r="H515">
        <f t="shared" si="414"/>
        <v>1</v>
      </c>
      <c r="I515">
        <f t="shared" si="415"/>
        <v>3</v>
      </c>
      <c r="J515">
        <f t="shared" si="416"/>
        <v>1</v>
      </c>
      <c r="K515">
        <f t="shared" si="417"/>
        <v>3</v>
      </c>
      <c r="L515" t="str">
        <f t="shared" si="413"/>
        <v>POM C&amp;E</v>
      </c>
      <c r="N515">
        <f t="shared" si="418"/>
        <v>8.5000000000000006E-2</v>
      </c>
      <c r="O515" s="155">
        <f t="shared" si="419"/>
        <v>1884489.0097166004</v>
      </c>
    </row>
    <row r="516" spans="2:15">
      <c r="B516" t="str">
        <f t="shared" si="408"/>
        <v>CH0</v>
      </c>
      <c r="C516">
        <f t="shared" si="409"/>
        <v>2030</v>
      </c>
      <c r="D516" t="str">
        <f t="shared" si="410"/>
        <v>BAL_ELC</v>
      </c>
      <c r="E516" s="155">
        <f t="shared" si="397"/>
        <v>2477969.147963562</v>
      </c>
      <c r="F516" t="str">
        <f t="shared" si="411"/>
        <v>default</v>
      </c>
      <c r="G516" t="str">
        <f t="shared" si="412"/>
        <v>bio_all</v>
      </c>
      <c r="H516">
        <f t="shared" si="414"/>
        <v>1</v>
      </c>
      <c r="I516">
        <f t="shared" si="415"/>
        <v>4</v>
      </c>
      <c r="J516">
        <f t="shared" si="416"/>
        <v>1</v>
      </c>
      <c r="K516">
        <f t="shared" si="417"/>
        <v>3</v>
      </c>
      <c r="L516" t="str">
        <f t="shared" si="413"/>
        <v>POM C&amp;E</v>
      </c>
      <c r="N516">
        <f t="shared" si="418"/>
        <v>8.5000000000000006E-2</v>
      </c>
      <c r="O516" s="155">
        <f t="shared" si="419"/>
        <v>2708163.0032388656</v>
      </c>
    </row>
    <row r="517" spans="2:15">
      <c r="B517" t="str">
        <f t="shared" si="408"/>
        <v>CH0</v>
      </c>
      <c r="C517">
        <f t="shared" si="409"/>
        <v>2035</v>
      </c>
      <c r="D517" t="str">
        <f t="shared" si="410"/>
        <v>BAL_ELC</v>
      </c>
      <c r="E517" s="155">
        <f t="shared" si="397"/>
        <v>2704067.6591854244</v>
      </c>
      <c r="F517" t="str">
        <f t="shared" si="411"/>
        <v>default</v>
      </c>
      <c r="G517" t="str">
        <f t="shared" si="412"/>
        <v>bio_all</v>
      </c>
      <c r="H517">
        <f t="shared" si="414"/>
        <v>1</v>
      </c>
      <c r="I517">
        <f t="shared" si="415"/>
        <v>5</v>
      </c>
      <c r="J517">
        <f t="shared" si="416"/>
        <v>1</v>
      </c>
      <c r="K517">
        <f t="shared" si="417"/>
        <v>3</v>
      </c>
      <c r="L517" t="str">
        <f t="shared" si="413"/>
        <v>POM C&amp;E</v>
      </c>
      <c r="N517">
        <f t="shared" si="418"/>
        <v>8.5000000000000006E-2</v>
      </c>
      <c r="O517" s="155">
        <f t="shared" si="419"/>
        <v>2955265.2012955458</v>
      </c>
    </row>
    <row r="518" spans="2:15">
      <c r="B518" t="str">
        <f t="shared" si="408"/>
        <v>CH0</v>
      </c>
      <c r="C518">
        <f t="shared" si="409"/>
        <v>2040</v>
      </c>
      <c r="D518" t="str">
        <f t="shared" si="410"/>
        <v>BAL_ELC</v>
      </c>
      <c r="E518" s="155">
        <f t="shared" si="397"/>
        <v>2800967.0211376501</v>
      </c>
      <c r="F518" t="str">
        <f t="shared" si="411"/>
        <v>default</v>
      </c>
      <c r="G518" t="str">
        <f t="shared" si="412"/>
        <v>bio_all</v>
      </c>
      <c r="H518">
        <f t="shared" si="414"/>
        <v>1</v>
      </c>
      <c r="I518">
        <f t="shared" si="415"/>
        <v>6</v>
      </c>
      <c r="J518">
        <f t="shared" si="416"/>
        <v>1</v>
      </c>
      <c r="K518">
        <f t="shared" si="417"/>
        <v>3</v>
      </c>
      <c r="L518" t="str">
        <f t="shared" si="413"/>
        <v>POM C&amp;E</v>
      </c>
      <c r="N518">
        <f t="shared" si="418"/>
        <v>8.5000000000000006E-2</v>
      </c>
      <c r="O518" s="155">
        <f t="shared" si="419"/>
        <v>3061166.1433198359</v>
      </c>
    </row>
    <row r="519" spans="2:15">
      <c r="B519" t="str">
        <f t="shared" si="408"/>
        <v>CH0</v>
      </c>
      <c r="C519">
        <f t="shared" si="409"/>
        <v>2045</v>
      </c>
      <c r="D519" t="str">
        <f t="shared" si="410"/>
        <v>BAL_ELC</v>
      </c>
      <c r="E519" s="155">
        <f t="shared" si="397"/>
        <v>2844033.4042275287</v>
      </c>
      <c r="F519" t="str">
        <f t="shared" si="411"/>
        <v>default</v>
      </c>
      <c r="G519" t="str">
        <f t="shared" si="412"/>
        <v>bio_all</v>
      </c>
      <c r="H519">
        <f t="shared" si="414"/>
        <v>1</v>
      </c>
      <c r="I519">
        <f t="shared" si="415"/>
        <v>7</v>
      </c>
      <c r="J519">
        <f t="shared" si="416"/>
        <v>1</v>
      </c>
      <c r="K519">
        <f t="shared" si="417"/>
        <v>3</v>
      </c>
      <c r="L519" t="str">
        <f t="shared" si="413"/>
        <v>POM C&amp;E</v>
      </c>
      <c r="N519">
        <f t="shared" si="418"/>
        <v>8.5000000000000006E-2</v>
      </c>
      <c r="O519" s="155">
        <f t="shared" si="419"/>
        <v>3108233.2286639656</v>
      </c>
    </row>
    <row r="520" spans="2:15">
      <c r="B520" t="str">
        <f t="shared" si="408"/>
        <v>CH0</v>
      </c>
      <c r="C520">
        <f t="shared" si="409"/>
        <v>2050</v>
      </c>
      <c r="D520" t="str">
        <f t="shared" si="410"/>
        <v>BAL_ELC</v>
      </c>
      <c r="E520" s="155">
        <f t="shared" si="397"/>
        <v>2854800.0000000005</v>
      </c>
      <c r="F520" t="str">
        <f t="shared" si="411"/>
        <v>default</v>
      </c>
      <c r="G520" t="str">
        <f t="shared" si="412"/>
        <v>bio_all</v>
      </c>
      <c r="H520">
        <f t="shared" si="414"/>
        <v>1</v>
      </c>
      <c r="I520">
        <f t="shared" si="415"/>
        <v>8</v>
      </c>
      <c r="J520">
        <f t="shared" si="416"/>
        <v>1</v>
      </c>
      <c r="K520">
        <f t="shared" si="417"/>
        <v>3</v>
      </c>
      <c r="L520" t="str">
        <f t="shared" si="413"/>
        <v>POM C&amp;E</v>
      </c>
      <c r="N520">
        <f t="shared" si="418"/>
        <v>8.5000000000000006E-2</v>
      </c>
      <c r="O520" s="155">
        <f t="shared" si="419"/>
        <v>3120000.0000000005</v>
      </c>
    </row>
    <row r="521" spans="2:15">
      <c r="B521" t="str">
        <f t="shared" si="408"/>
        <v>CH0</v>
      </c>
      <c r="C521">
        <f t="shared" si="409"/>
        <v>2015</v>
      </c>
      <c r="D521" t="str">
        <f t="shared" si="410"/>
        <v>GEO_ELC</v>
      </c>
      <c r="E521" s="155">
        <f t="shared" si="397"/>
        <v>0</v>
      </c>
      <c r="F521" t="str">
        <f t="shared" si="411"/>
        <v>default</v>
      </c>
      <c r="G521" t="str">
        <f t="shared" si="412"/>
        <v>geothermal</v>
      </c>
      <c r="H521">
        <f t="shared" si="414"/>
        <v>1</v>
      </c>
      <c r="I521">
        <f t="shared" si="415"/>
        <v>1</v>
      </c>
      <c r="J521">
        <f t="shared" si="416"/>
        <v>2</v>
      </c>
      <c r="K521">
        <f t="shared" si="417"/>
        <v>3</v>
      </c>
      <c r="L521" t="str">
        <f t="shared" si="413"/>
        <v>POM C&amp;E</v>
      </c>
      <c r="N521">
        <f t="shared" si="418"/>
        <v>4.7E-2</v>
      </c>
      <c r="O521" s="155">
        <f t="shared" si="419"/>
        <v>0</v>
      </c>
    </row>
    <row r="522" spans="2:15">
      <c r="B522" t="str">
        <f t="shared" si="408"/>
        <v>CH0</v>
      </c>
      <c r="C522">
        <f t="shared" si="409"/>
        <v>2020</v>
      </c>
      <c r="D522" t="str">
        <f t="shared" si="410"/>
        <v>GEO_ELC</v>
      </c>
      <c r="E522" s="155">
        <f t="shared" si="397"/>
        <v>97521.445221445611</v>
      </c>
      <c r="F522" t="str">
        <f t="shared" si="411"/>
        <v>default</v>
      </c>
      <c r="G522" t="str">
        <f t="shared" si="412"/>
        <v>geothermal</v>
      </c>
      <c r="H522">
        <f t="shared" si="414"/>
        <v>1</v>
      </c>
      <c r="I522">
        <f t="shared" si="415"/>
        <v>2</v>
      </c>
      <c r="J522">
        <f t="shared" si="416"/>
        <v>2</v>
      </c>
      <c r="K522">
        <f t="shared" si="417"/>
        <v>3</v>
      </c>
      <c r="L522" t="str">
        <f t="shared" si="413"/>
        <v>POM C&amp;E</v>
      </c>
      <c r="N522">
        <f t="shared" si="418"/>
        <v>4.7E-2</v>
      </c>
      <c r="O522" s="155">
        <f t="shared" si="419"/>
        <v>102331.00233100275</v>
      </c>
    </row>
    <row r="523" spans="2:15">
      <c r="B523" t="str">
        <f t="shared" si="408"/>
        <v>CH0</v>
      </c>
      <c r="C523">
        <f t="shared" si="409"/>
        <v>2025</v>
      </c>
      <c r="D523" t="str">
        <f t="shared" si="410"/>
        <v>GEO_ELC</v>
      </c>
      <c r="E523" s="155">
        <f t="shared" si="397"/>
        <v>282812.19114219141</v>
      </c>
      <c r="F523" t="str">
        <f t="shared" si="411"/>
        <v>default</v>
      </c>
      <c r="G523" t="str">
        <f t="shared" si="412"/>
        <v>geothermal</v>
      </c>
      <c r="H523">
        <f t="shared" si="414"/>
        <v>1</v>
      </c>
      <c r="I523">
        <f t="shared" si="415"/>
        <v>3</v>
      </c>
      <c r="J523">
        <f t="shared" si="416"/>
        <v>2</v>
      </c>
      <c r="K523">
        <f t="shared" si="417"/>
        <v>3</v>
      </c>
      <c r="L523" t="str">
        <f t="shared" si="413"/>
        <v>POM C&amp;E</v>
      </c>
      <c r="N523">
        <f t="shared" si="418"/>
        <v>4.7E-2</v>
      </c>
      <c r="O523" s="155">
        <f t="shared" si="419"/>
        <v>296759.90675990708</v>
      </c>
    </row>
    <row r="524" spans="2:15">
      <c r="B524" t="str">
        <f t="shared" si="408"/>
        <v>CH0</v>
      </c>
      <c r="C524">
        <f t="shared" si="409"/>
        <v>2030</v>
      </c>
      <c r="D524" t="str">
        <f t="shared" si="410"/>
        <v>GEO_ELC</v>
      </c>
      <c r="E524" s="155">
        <f t="shared" ref="E524:E552" si="420">O524*(1-N524)</f>
        <v>663145.82750582765</v>
      </c>
      <c r="F524" t="str">
        <f t="shared" si="411"/>
        <v>default</v>
      </c>
      <c r="G524" t="str">
        <f t="shared" si="412"/>
        <v>geothermal</v>
      </c>
      <c r="H524">
        <f t="shared" si="414"/>
        <v>1</v>
      </c>
      <c r="I524">
        <f t="shared" si="415"/>
        <v>4</v>
      </c>
      <c r="J524">
        <f t="shared" si="416"/>
        <v>2</v>
      </c>
      <c r="K524">
        <f t="shared" si="417"/>
        <v>3</v>
      </c>
      <c r="L524" t="str">
        <f t="shared" si="413"/>
        <v>POM C&amp;E</v>
      </c>
      <c r="N524">
        <f t="shared" si="418"/>
        <v>4.7E-2</v>
      </c>
      <c r="O524" s="155">
        <f t="shared" si="419"/>
        <v>695850.81585081609</v>
      </c>
    </row>
    <row r="525" spans="2:15">
      <c r="B525" t="str">
        <f t="shared" si="408"/>
        <v>CH0</v>
      </c>
      <c r="C525">
        <f t="shared" si="409"/>
        <v>2035</v>
      </c>
      <c r="D525" t="str">
        <f t="shared" si="410"/>
        <v>GEO_ELC</v>
      </c>
      <c r="E525" s="155">
        <f t="shared" si="420"/>
        <v>1297035.2214452254</v>
      </c>
      <c r="F525" t="str">
        <f t="shared" si="411"/>
        <v>default</v>
      </c>
      <c r="G525" t="str">
        <f t="shared" si="412"/>
        <v>geothermal</v>
      </c>
      <c r="H525">
        <f t="shared" si="414"/>
        <v>1</v>
      </c>
      <c r="I525">
        <f t="shared" si="415"/>
        <v>5</v>
      </c>
      <c r="J525">
        <f t="shared" si="416"/>
        <v>2</v>
      </c>
      <c r="K525">
        <f t="shared" si="417"/>
        <v>3</v>
      </c>
      <c r="L525" t="str">
        <f t="shared" si="413"/>
        <v>POM C&amp;E</v>
      </c>
      <c r="N525">
        <f t="shared" si="418"/>
        <v>4.7E-2</v>
      </c>
      <c r="O525" s="155">
        <f t="shared" si="419"/>
        <v>1361002.3310023353</v>
      </c>
    </row>
    <row r="526" spans="2:15">
      <c r="B526" t="str">
        <f t="shared" si="408"/>
        <v>CH0</v>
      </c>
      <c r="C526">
        <f t="shared" si="409"/>
        <v>2040</v>
      </c>
      <c r="D526" t="str">
        <f t="shared" si="410"/>
        <v>GEO_ELC</v>
      </c>
      <c r="E526" s="155">
        <f t="shared" si="420"/>
        <v>2252745.3846153845</v>
      </c>
      <c r="F526" t="str">
        <f t="shared" si="411"/>
        <v>default</v>
      </c>
      <c r="G526" t="str">
        <f t="shared" si="412"/>
        <v>geothermal</v>
      </c>
      <c r="H526">
        <f t="shared" si="414"/>
        <v>1</v>
      </c>
      <c r="I526">
        <f t="shared" si="415"/>
        <v>6</v>
      </c>
      <c r="J526">
        <f t="shared" si="416"/>
        <v>2</v>
      </c>
      <c r="K526">
        <f t="shared" si="417"/>
        <v>3</v>
      </c>
      <c r="L526" t="str">
        <f t="shared" si="413"/>
        <v>POM C&amp;E</v>
      </c>
      <c r="N526">
        <f t="shared" si="418"/>
        <v>4.7E-2</v>
      </c>
      <c r="O526" s="155">
        <f t="shared" si="419"/>
        <v>2363846.153846154</v>
      </c>
    </row>
    <row r="527" spans="2:15">
      <c r="B527" t="str">
        <f t="shared" si="408"/>
        <v>CH0</v>
      </c>
      <c r="C527">
        <f t="shared" si="409"/>
        <v>2045</v>
      </c>
      <c r="D527" t="str">
        <f t="shared" si="410"/>
        <v>GEO_ELC</v>
      </c>
      <c r="E527" s="155">
        <f t="shared" si="420"/>
        <v>3296224.8484848496</v>
      </c>
      <c r="F527" t="str">
        <f t="shared" si="411"/>
        <v>default</v>
      </c>
      <c r="G527" t="str">
        <f t="shared" si="412"/>
        <v>geothermal</v>
      </c>
      <c r="H527">
        <f t="shared" si="414"/>
        <v>1</v>
      </c>
      <c r="I527">
        <f t="shared" si="415"/>
        <v>7</v>
      </c>
      <c r="J527">
        <f t="shared" si="416"/>
        <v>2</v>
      </c>
      <c r="K527">
        <f t="shared" si="417"/>
        <v>3</v>
      </c>
      <c r="L527" t="str">
        <f t="shared" si="413"/>
        <v>POM C&amp;E</v>
      </c>
      <c r="N527">
        <f t="shared" si="418"/>
        <v>4.7E-2</v>
      </c>
      <c r="O527" s="155">
        <f t="shared" si="419"/>
        <v>3458787.8787878798</v>
      </c>
    </row>
    <row r="528" spans="2:15">
      <c r="B528" t="str">
        <f t="shared" si="408"/>
        <v>CH0</v>
      </c>
      <c r="C528">
        <f t="shared" si="409"/>
        <v>2050</v>
      </c>
      <c r="D528" t="str">
        <f t="shared" si="410"/>
        <v>GEO_ELC</v>
      </c>
      <c r="E528" s="155">
        <f t="shared" si="420"/>
        <v>4183670</v>
      </c>
      <c r="F528" t="str">
        <f t="shared" si="411"/>
        <v>default</v>
      </c>
      <c r="G528" t="str">
        <f t="shared" si="412"/>
        <v>geothermal</v>
      </c>
      <c r="H528">
        <f t="shared" si="414"/>
        <v>1</v>
      </c>
      <c r="I528">
        <f t="shared" si="415"/>
        <v>8</v>
      </c>
      <c r="J528">
        <f t="shared" si="416"/>
        <v>2</v>
      </c>
      <c r="K528">
        <f t="shared" si="417"/>
        <v>3</v>
      </c>
      <c r="L528" t="str">
        <f t="shared" si="413"/>
        <v>POM C&amp;E</v>
      </c>
      <c r="N528">
        <f t="shared" si="418"/>
        <v>4.7E-2</v>
      </c>
      <c r="O528" s="155">
        <f t="shared" si="419"/>
        <v>4390000</v>
      </c>
    </row>
    <row r="529" spans="2:15">
      <c r="B529" t="str">
        <f t="shared" ref="B529:B552" si="421">INDEX(H$424:H$431,H529)</f>
        <v>CH0</v>
      </c>
      <c r="C529">
        <f t="shared" ref="C529:C552" si="422">INDEX(I$424:I$431,I529)</f>
        <v>2015</v>
      </c>
      <c r="D529" t="str">
        <f t="shared" ref="D529:D552" si="423">INDEX(J$424:J$431,J529)</f>
        <v>GAS_OIL</v>
      </c>
      <c r="E529" s="155">
        <f t="shared" si="420"/>
        <v>2673000</v>
      </c>
      <c r="F529" t="str">
        <f t="shared" ref="F529:F552" si="424">INDEX(L$424:L$431,K529)</f>
        <v>default</v>
      </c>
      <c r="G529" t="str">
        <f t="shared" ref="G529:G552" si="425">INDEX(M$424:M$431,J529)</f>
        <v>gas+oil</v>
      </c>
      <c r="H529">
        <f t="shared" si="414"/>
        <v>1</v>
      </c>
      <c r="I529">
        <f t="shared" si="415"/>
        <v>1</v>
      </c>
      <c r="J529">
        <f t="shared" si="416"/>
        <v>3</v>
      </c>
      <c r="K529">
        <f t="shared" si="417"/>
        <v>3</v>
      </c>
      <c r="L529" t="str">
        <f t="shared" ref="L529:L552" si="426">INDEX(K$424:K$431,K529)</f>
        <v>POM C&amp;E</v>
      </c>
      <c r="N529">
        <f t="shared" si="418"/>
        <v>0.01</v>
      </c>
      <c r="O529" s="155">
        <f t="shared" si="419"/>
        <v>2700000</v>
      </c>
    </row>
    <row r="530" spans="2:15">
      <c r="B530" t="str">
        <f t="shared" si="421"/>
        <v>CH0</v>
      </c>
      <c r="C530">
        <f t="shared" si="422"/>
        <v>2020</v>
      </c>
      <c r="D530" t="str">
        <f t="shared" si="423"/>
        <v>GAS_OIL</v>
      </c>
      <c r="E530" s="155">
        <f t="shared" si="420"/>
        <v>3098700</v>
      </c>
      <c r="F530" t="str">
        <f t="shared" si="424"/>
        <v>default</v>
      </c>
      <c r="G530" t="str">
        <f t="shared" si="425"/>
        <v>gas+oil</v>
      </c>
      <c r="H530">
        <f t="shared" ref="H530:H552" si="427">IF(H529=$H$423,1,H529+1)</f>
        <v>1</v>
      </c>
      <c r="I530">
        <f t="shared" ref="I530:I552" si="428">IF(H530=1,IF(I529=$I$423,1,I529+1),I529)</f>
        <v>2</v>
      </c>
      <c r="J530">
        <f t="shared" ref="J530:J552" si="429">IF(AND(I530=1,I529&gt;1),IF(J529=$J$423,1,J529+1),J529)</f>
        <v>3</v>
      </c>
      <c r="K530">
        <f t="shared" ref="K530:K552" si="430">IF(AND(J530=1,J529&gt;1),IF(K529=$K$423,1,K529+1),K529)</f>
        <v>3</v>
      </c>
      <c r="L530" t="str">
        <f t="shared" si="426"/>
        <v>POM C&amp;E</v>
      </c>
      <c r="N530">
        <f t="shared" si="418"/>
        <v>0.01</v>
      </c>
      <c r="O530" s="155">
        <f t="shared" si="419"/>
        <v>3130000</v>
      </c>
    </row>
    <row r="531" spans="2:15">
      <c r="B531" t="str">
        <f t="shared" si="421"/>
        <v>CH0</v>
      </c>
      <c r="C531">
        <f t="shared" si="422"/>
        <v>2025</v>
      </c>
      <c r="D531" t="str">
        <f t="shared" si="423"/>
        <v>GAS_OIL</v>
      </c>
      <c r="E531" s="155">
        <f t="shared" si="420"/>
        <v>5346000</v>
      </c>
      <c r="F531" t="str">
        <f t="shared" si="424"/>
        <v>default</v>
      </c>
      <c r="G531" t="str">
        <f t="shared" si="425"/>
        <v>gas+oil</v>
      </c>
      <c r="H531">
        <f t="shared" si="427"/>
        <v>1</v>
      </c>
      <c r="I531">
        <f t="shared" si="428"/>
        <v>3</v>
      </c>
      <c r="J531">
        <f t="shared" si="429"/>
        <v>3</v>
      </c>
      <c r="K531">
        <f t="shared" si="430"/>
        <v>3</v>
      </c>
      <c r="L531" t="str">
        <f t="shared" si="426"/>
        <v>POM C&amp;E</v>
      </c>
      <c r="N531">
        <f t="shared" si="418"/>
        <v>0.01</v>
      </c>
      <c r="O531" s="155">
        <f t="shared" si="419"/>
        <v>5400000</v>
      </c>
    </row>
    <row r="532" spans="2:15">
      <c r="B532" t="str">
        <f t="shared" si="421"/>
        <v>CH0</v>
      </c>
      <c r="C532">
        <f t="shared" si="422"/>
        <v>2030</v>
      </c>
      <c r="D532" t="str">
        <f t="shared" si="423"/>
        <v>GAS_OIL</v>
      </c>
      <c r="E532" s="155">
        <f t="shared" si="420"/>
        <v>7712100</v>
      </c>
      <c r="F532" t="str">
        <f t="shared" si="424"/>
        <v>default</v>
      </c>
      <c r="G532" t="str">
        <f t="shared" si="425"/>
        <v>gas+oil</v>
      </c>
      <c r="H532">
        <f t="shared" si="427"/>
        <v>1</v>
      </c>
      <c r="I532">
        <f t="shared" si="428"/>
        <v>4</v>
      </c>
      <c r="J532">
        <f t="shared" si="429"/>
        <v>3</v>
      </c>
      <c r="K532">
        <f t="shared" si="430"/>
        <v>3</v>
      </c>
      <c r="L532" t="str">
        <f t="shared" si="426"/>
        <v>POM C&amp;E</v>
      </c>
      <c r="N532">
        <f t="shared" si="418"/>
        <v>0.01</v>
      </c>
      <c r="O532" s="155">
        <f t="shared" si="419"/>
        <v>7790000</v>
      </c>
    </row>
    <row r="533" spans="2:15">
      <c r="B533" t="str">
        <f t="shared" si="421"/>
        <v>CH0</v>
      </c>
      <c r="C533">
        <f t="shared" si="422"/>
        <v>2035</v>
      </c>
      <c r="D533" t="str">
        <f t="shared" si="423"/>
        <v>GAS_OIL</v>
      </c>
      <c r="E533" s="155">
        <f t="shared" si="420"/>
        <v>15057900</v>
      </c>
      <c r="F533" t="str">
        <f t="shared" si="424"/>
        <v>default</v>
      </c>
      <c r="G533" t="str">
        <f t="shared" si="425"/>
        <v>gas+oil</v>
      </c>
      <c r="H533">
        <f t="shared" si="427"/>
        <v>1</v>
      </c>
      <c r="I533">
        <f t="shared" si="428"/>
        <v>5</v>
      </c>
      <c r="J533">
        <f t="shared" si="429"/>
        <v>3</v>
      </c>
      <c r="K533">
        <f t="shared" si="430"/>
        <v>3</v>
      </c>
      <c r="L533" t="str">
        <f t="shared" si="426"/>
        <v>POM C&amp;E</v>
      </c>
      <c r="N533">
        <f t="shared" si="418"/>
        <v>0.01</v>
      </c>
      <c r="O533" s="155">
        <f t="shared" si="419"/>
        <v>15210000</v>
      </c>
    </row>
    <row r="534" spans="2:15">
      <c r="B534" t="str">
        <f t="shared" si="421"/>
        <v>CH0</v>
      </c>
      <c r="C534">
        <f t="shared" si="422"/>
        <v>2040</v>
      </c>
      <c r="D534" t="str">
        <f t="shared" si="423"/>
        <v>GAS_OIL</v>
      </c>
      <c r="E534" s="155">
        <f t="shared" si="420"/>
        <v>12741300</v>
      </c>
      <c r="F534" t="str">
        <f t="shared" si="424"/>
        <v>default</v>
      </c>
      <c r="G534" t="str">
        <f t="shared" si="425"/>
        <v>gas+oil</v>
      </c>
      <c r="H534">
        <f t="shared" si="427"/>
        <v>1</v>
      </c>
      <c r="I534">
        <f t="shared" si="428"/>
        <v>6</v>
      </c>
      <c r="J534">
        <f t="shared" si="429"/>
        <v>3</v>
      </c>
      <c r="K534">
        <f t="shared" si="430"/>
        <v>3</v>
      </c>
      <c r="L534" t="str">
        <f t="shared" si="426"/>
        <v>POM C&amp;E</v>
      </c>
      <c r="N534">
        <f t="shared" si="418"/>
        <v>0.01</v>
      </c>
      <c r="O534" s="155">
        <f t="shared" si="419"/>
        <v>12870000</v>
      </c>
    </row>
    <row r="535" spans="2:15">
      <c r="B535" t="str">
        <f t="shared" si="421"/>
        <v>CH0</v>
      </c>
      <c r="C535">
        <f t="shared" si="422"/>
        <v>2045</v>
      </c>
      <c r="D535" t="str">
        <f t="shared" si="423"/>
        <v>GAS_OIL</v>
      </c>
      <c r="E535" s="155">
        <f t="shared" si="420"/>
        <v>11691899.999999998</v>
      </c>
      <c r="F535" t="str">
        <f t="shared" si="424"/>
        <v>default</v>
      </c>
      <c r="G535" t="str">
        <f t="shared" si="425"/>
        <v>gas+oil</v>
      </c>
      <c r="H535">
        <f t="shared" si="427"/>
        <v>1</v>
      </c>
      <c r="I535">
        <f t="shared" si="428"/>
        <v>7</v>
      </c>
      <c r="J535">
        <f t="shared" si="429"/>
        <v>3</v>
      </c>
      <c r="K535">
        <f t="shared" si="430"/>
        <v>3</v>
      </c>
      <c r="L535" t="str">
        <f t="shared" si="426"/>
        <v>POM C&amp;E</v>
      </c>
      <c r="N535">
        <f t="shared" si="418"/>
        <v>0.01</v>
      </c>
      <c r="O535" s="155">
        <f t="shared" si="419"/>
        <v>11809999.999999998</v>
      </c>
    </row>
    <row r="536" spans="2:15">
      <c r="B536" t="str">
        <f t="shared" si="421"/>
        <v>CH0</v>
      </c>
      <c r="C536">
        <f t="shared" si="422"/>
        <v>2050</v>
      </c>
      <c r="D536" t="str">
        <f t="shared" si="423"/>
        <v>GAS_OIL</v>
      </c>
      <c r="E536" s="155">
        <f t="shared" si="420"/>
        <v>10543500</v>
      </c>
      <c r="F536" t="str">
        <f t="shared" si="424"/>
        <v>default</v>
      </c>
      <c r="G536" t="str">
        <f t="shared" si="425"/>
        <v>gas+oil</v>
      </c>
      <c r="H536">
        <f t="shared" si="427"/>
        <v>1</v>
      </c>
      <c r="I536">
        <f t="shared" si="428"/>
        <v>8</v>
      </c>
      <c r="J536">
        <f t="shared" si="429"/>
        <v>3</v>
      </c>
      <c r="K536">
        <f t="shared" si="430"/>
        <v>3</v>
      </c>
      <c r="L536" t="str">
        <f t="shared" si="426"/>
        <v>POM C&amp;E</v>
      </c>
      <c r="N536">
        <f t="shared" si="418"/>
        <v>0.01</v>
      </c>
      <c r="O536" s="155">
        <f t="shared" si="419"/>
        <v>10650000</v>
      </c>
    </row>
    <row r="537" spans="2:15">
      <c r="B537" t="str">
        <f t="shared" si="421"/>
        <v>CH0</v>
      </c>
      <c r="C537">
        <f t="shared" si="422"/>
        <v>2015</v>
      </c>
      <c r="D537" t="str">
        <f t="shared" si="423"/>
        <v>SOL_PHO</v>
      </c>
      <c r="E537" s="155">
        <f t="shared" si="420"/>
        <v>280000</v>
      </c>
      <c r="F537" t="str">
        <f t="shared" si="424"/>
        <v>default</v>
      </c>
      <c r="G537" t="str">
        <f t="shared" si="425"/>
        <v>photovoltaics</v>
      </c>
      <c r="H537">
        <f t="shared" si="427"/>
        <v>1</v>
      </c>
      <c r="I537">
        <f t="shared" si="428"/>
        <v>1</v>
      </c>
      <c r="J537">
        <f t="shared" si="429"/>
        <v>4</v>
      </c>
      <c r="K537">
        <f t="shared" si="430"/>
        <v>3</v>
      </c>
      <c r="L537" t="str">
        <f t="shared" si="426"/>
        <v>POM C&amp;E</v>
      </c>
      <c r="N537">
        <f t="shared" si="418"/>
        <v>0</v>
      </c>
      <c r="O537" s="155">
        <f t="shared" si="419"/>
        <v>280000</v>
      </c>
    </row>
    <row r="538" spans="2:15">
      <c r="B538" t="str">
        <f t="shared" si="421"/>
        <v>CH0</v>
      </c>
      <c r="C538">
        <f t="shared" si="422"/>
        <v>2020</v>
      </c>
      <c r="D538" t="str">
        <f t="shared" si="423"/>
        <v>SOL_PHO</v>
      </c>
      <c r="E538" s="155">
        <f t="shared" si="420"/>
        <v>520000</v>
      </c>
      <c r="F538" t="str">
        <f t="shared" si="424"/>
        <v>default</v>
      </c>
      <c r="G538" t="str">
        <f t="shared" si="425"/>
        <v>photovoltaics</v>
      </c>
      <c r="H538">
        <f t="shared" si="427"/>
        <v>1</v>
      </c>
      <c r="I538">
        <f t="shared" si="428"/>
        <v>2</v>
      </c>
      <c r="J538">
        <f t="shared" si="429"/>
        <v>4</v>
      </c>
      <c r="K538">
        <f t="shared" si="430"/>
        <v>3</v>
      </c>
      <c r="L538" t="str">
        <f t="shared" si="426"/>
        <v>POM C&amp;E</v>
      </c>
      <c r="N538">
        <f t="shared" si="418"/>
        <v>0</v>
      </c>
      <c r="O538" s="155">
        <f t="shared" si="419"/>
        <v>520000</v>
      </c>
    </row>
    <row r="539" spans="2:15">
      <c r="B539" t="str">
        <f t="shared" si="421"/>
        <v>CH0</v>
      </c>
      <c r="C539">
        <f t="shared" si="422"/>
        <v>2025</v>
      </c>
      <c r="D539" t="str">
        <f t="shared" si="423"/>
        <v>SOL_PHO</v>
      </c>
      <c r="E539" s="155">
        <f t="shared" si="420"/>
        <v>980000</v>
      </c>
      <c r="F539" t="str">
        <f t="shared" si="424"/>
        <v>default</v>
      </c>
      <c r="G539" t="str">
        <f t="shared" si="425"/>
        <v>photovoltaics</v>
      </c>
      <c r="H539">
        <f t="shared" si="427"/>
        <v>1</v>
      </c>
      <c r="I539">
        <f t="shared" si="428"/>
        <v>3</v>
      </c>
      <c r="J539">
        <f t="shared" si="429"/>
        <v>4</v>
      </c>
      <c r="K539">
        <f t="shared" si="430"/>
        <v>3</v>
      </c>
      <c r="L539" t="str">
        <f t="shared" si="426"/>
        <v>POM C&amp;E</v>
      </c>
      <c r="N539">
        <f t="shared" si="418"/>
        <v>0</v>
      </c>
      <c r="O539" s="155">
        <f t="shared" si="419"/>
        <v>980000</v>
      </c>
    </row>
    <row r="540" spans="2:15">
      <c r="B540" t="str">
        <f t="shared" si="421"/>
        <v>CH0</v>
      </c>
      <c r="C540">
        <f t="shared" si="422"/>
        <v>2030</v>
      </c>
      <c r="D540" t="str">
        <f t="shared" si="423"/>
        <v>SOL_PHO</v>
      </c>
      <c r="E540" s="155">
        <f t="shared" si="420"/>
        <v>1910000</v>
      </c>
      <c r="F540" t="str">
        <f t="shared" si="424"/>
        <v>default</v>
      </c>
      <c r="G540" t="str">
        <f t="shared" si="425"/>
        <v>photovoltaics</v>
      </c>
      <c r="H540">
        <f t="shared" si="427"/>
        <v>1</v>
      </c>
      <c r="I540">
        <f t="shared" si="428"/>
        <v>4</v>
      </c>
      <c r="J540">
        <f t="shared" si="429"/>
        <v>4</v>
      </c>
      <c r="K540">
        <f t="shared" si="430"/>
        <v>3</v>
      </c>
      <c r="L540" t="str">
        <f t="shared" si="426"/>
        <v>POM C&amp;E</v>
      </c>
      <c r="N540">
        <f t="shared" si="418"/>
        <v>0</v>
      </c>
      <c r="O540" s="155">
        <f t="shared" si="419"/>
        <v>1910000</v>
      </c>
    </row>
    <row r="541" spans="2:15">
      <c r="B541" t="str">
        <f t="shared" si="421"/>
        <v>CH0</v>
      </c>
      <c r="C541">
        <f t="shared" si="422"/>
        <v>2035</v>
      </c>
      <c r="D541" t="str">
        <f t="shared" si="423"/>
        <v>SOL_PHO</v>
      </c>
      <c r="E541" s="155">
        <f t="shared" si="420"/>
        <v>4440000</v>
      </c>
      <c r="F541" t="str">
        <f t="shared" si="424"/>
        <v>default</v>
      </c>
      <c r="G541" t="str">
        <f t="shared" si="425"/>
        <v>photovoltaics</v>
      </c>
      <c r="H541">
        <f t="shared" si="427"/>
        <v>1</v>
      </c>
      <c r="I541">
        <f t="shared" si="428"/>
        <v>5</v>
      </c>
      <c r="J541">
        <f t="shared" si="429"/>
        <v>4</v>
      </c>
      <c r="K541">
        <f t="shared" si="430"/>
        <v>3</v>
      </c>
      <c r="L541" t="str">
        <f t="shared" si="426"/>
        <v>POM C&amp;E</v>
      </c>
      <c r="N541">
        <f t="shared" si="418"/>
        <v>0</v>
      </c>
      <c r="O541" s="155">
        <f t="shared" si="419"/>
        <v>4440000</v>
      </c>
    </row>
    <row r="542" spans="2:15">
      <c r="B542" t="str">
        <f t="shared" si="421"/>
        <v>CH0</v>
      </c>
      <c r="C542">
        <f t="shared" si="422"/>
        <v>2040</v>
      </c>
      <c r="D542" t="str">
        <f t="shared" si="423"/>
        <v>SOL_PHO</v>
      </c>
      <c r="E542" s="155">
        <f t="shared" si="420"/>
        <v>6740000</v>
      </c>
      <c r="F542" t="str">
        <f t="shared" si="424"/>
        <v>default</v>
      </c>
      <c r="G542" t="str">
        <f t="shared" si="425"/>
        <v>photovoltaics</v>
      </c>
      <c r="H542">
        <f t="shared" si="427"/>
        <v>1</v>
      </c>
      <c r="I542">
        <f t="shared" si="428"/>
        <v>6</v>
      </c>
      <c r="J542">
        <f t="shared" si="429"/>
        <v>4</v>
      </c>
      <c r="K542">
        <f t="shared" si="430"/>
        <v>3</v>
      </c>
      <c r="L542" t="str">
        <f t="shared" si="426"/>
        <v>POM C&amp;E</v>
      </c>
      <c r="N542">
        <f t="shared" si="418"/>
        <v>0</v>
      </c>
      <c r="O542" s="155">
        <f t="shared" si="419"/>
        <v>6740000</v>
      </c>
    </row>
    <row r="543" spans="2:15">
      <c r="B543" t="str">
        <f t="shared" si="421"/>
        <v>CH0</v>
      </c>
      <c r="C543">
        <f t="shared" si="422"/>
        <v>2045</v>
      </c>
      <c r="D543" t="str">
        <f t="shared" si="423"/>
        <v>SOL_PHO</v>
      </c>
      <c r="E543" s="155">
        <f t="shared" si="420"/>
        <v>9230000</v>
      </c>
      <c r="F543" t="str">
        <f t="shared" si="424"/>
        <v>default</v>
      </c>
      <c r="G543" t="str">
        <f t="shared" si="425"/>
        <v>photovoltaics</v>
      </c>
      <c r="H543">
        <f t="shared" si="427"/>
        <v>1</v>
      </c>
      <c r="I543">
        <f t="shared" si="428"/>
        <v>7</v>
      </c>
      <c r="J543">
        <f t="shared" si="429"/>
        <v>4</v>
      </c>
      <c r="K543">
        <f t="shared" si="430"/>
        <v>3</v>
      </c>
      <c r="L543" t="str">
        <f t="shared" si="426"/>
        <v>POM C&amp;E</v>
      </c>
      <c r="N543">
        <f t="shared" si="418"/>
        <v>0</v>
      </c>
      <c r="O543" s="155">
        <f t="shared" si="419"/>
        <v>9230000</v>
      </c>
    </row>
    <row r="544" spans="2:15">
      <c r="B544" t="str">
        <f t="shared" si="421"/>
        <v>CH0</v>
      </c>
      <c r="C544">
        <f t="shared" si="422"/>
        <v>2050</v>
      </c>
      <c r="D544" t="str">
        <f t="shared" si="423"/>
        <v>SOL_PHO</v>
      </c>
      <c r="E544" s="155">
        <f t="shared" si="420"/>
        <v>11120000</v>
      </c>
      <c r="F544" t="str">
        <f t="shared" si="424"/>
        <v>default</v>
      </c>
      <c r="G544" t="str">
        <f t="shared" si="425"/>
        <v>photovoltaics</v>
      </c>
      <c r="H544">
        <f t="shared" si="427"/>
        <v>1</v>
      </c>
      <c r="I544">
        <f t="shared" si="428"/>
        <v>8</v>
      </c>
      <c r="J544">
        <f t="shared" si="429"/>
        <v>4</v>
      </c>
      <c r="K544">
        <f t="shared" si="430"/>
        <v>3</v>
      </c>
      <c r="L544" t="str">
        <f t="shared" si="426"/>
        <v>POM C&amp;E</v>
      </c>
      <c r="N544">
        <f t="shared" si="418"/>
        <v>0</v>
      </c>
      <c r="O544" s="155">
        <f t="shared" si="419"/>
        <v>11120000</v>
      </c>
    </row>
    <row r="545" spans="2:15">
      <c r="B545" t="str">
        <f t="shared" si="421"/>
        <v>CH0</v>
      </c>
      <c r="C545">
        <f t="shared" si="422"/>
        <v>2015</v>
      </c>
      <c r="D545" t="str">
        <f t="shared" si="423"/>
        <v>WIN_ONS</v>
      </c>
      <c r="E545" s="155">
        <f t="shared" si="420"/>
        <v>346500</v>
      </c>
      <c r="F545" t="str">
        <f t="shared" si="424"/>
        <v>default</v>
      </c>
      <c r="G545" t="str">
        <f t="shared" si="425"/>
        <v>wind_onshore</v>
      </c>
      <c r="H545">
        <f t="shared" si="427"/>
        <v>1</v>
      </c>
      <c r="I545">
        <f t="shared" si="428"/>
        <v>1</v>
      </c>
      <c r="J545">
        <f t="shared" si="429"/>
        <v>5</v>
      </c>
      <c r="K545">
        <f t="shared" si="430"/>
        <v>3</v>
      </c>
      <c r="L545" t="str">
        <f t="shared" si="426"/>
        <v>POM C&amp;E</v>
      </c>
      <c r="N545">
        <f t="shared" si="418"/>
        <v>0.01</v>
      </c>
      <c r="O545" s="155">
        <f t="shared" si="419"/>
        <v>350000</v>
      </c>
    </row>
    <row r="546" spans="2:15">
      <c r="B546" t="str">
        <f t="shared" si="421"/>
        <v>CH0</v>
      </c>
      <c r="C546">
        <f t="shared" si="422"/>
        <v>2020</v>
      </c>
      <c r="D546" t="str">
        <f t="shared" si="423"/>
        <v>WIN_ONS</v>
      </c>
      <c r="E546" s="155">
        <f t="shared" si="420"/>
        <v>653400</v>
      </c>
      <c r="F546" t="str">
        <f t="shared" si="424"/>
        <v>default</v>
      </c>
      <c r="G546" t="str">
        <f t="shared" si="425"/>
        <v>wind_onshore</v>
      </c>
      <c r="H546">
        <f t="shared" si="427"/>
        <v>1</v>
      </c>
      <c r="I546">
        <f t="shared" si="428"/>
        <v>2</v>
      </c>
      <c r="J546">
        <f t="shared" si="429"/>
        <v>5</v>
      </c>
      <c r="K546">
        <f t="shared" si="430"/>
        <v>3</v>
      </c>
      <c r="L546" t="str">
        <f t="shared" si="426"/>
        <v>POM C&amp;E</v>
      </c>
      <c r="N546">
        <f t="shared" si="418"/>
        <v>0.01</v>
      </c>
      <c r="O546" s="155">
        <f t="shared" si="419"/>
        <v>660000</v>
      </c>
    </row>
    <row r="547" spans="2:15">
      <c r="B547" t="str">
        <f t="shared" si="421"/>
        <v>CH0</v>
      </c>
      <c r="C547">
        <f t="shared" si="422"/>
        <v>2025</v>
      </c>
      <c r="D547" t="str">
        <f t="shared" si="423"/>
        <v>WIN_ONS</v>
      </c>
      <c r="E547" s="155">
        <f t="shared" si="420"/>
        <v>980100</v>
      </c>
      <c r="F547" t="str">
        <f t="shared" si="424"/>
        <v>default</v>
      </c>
      <c r="G547" t="str">
        <f t="shared" si="425"/>
        <v>wind_onshore</v>
      </c>
      <c r="H547">
        <f t="shared" si="427"/>
        <v>1</v>
      </c>
      <c r="I547">
        <f t="shared" si="428"/>
        <v>3</v>
      </c>
      <c r="J547">
        <f t="shared" si="429"/>
        <v>5</v>
      </c>
      <c r="K547">
        <f t="shared" si="430"/>
        <v>3</v>
      </c>
      <c r="L547" t="str">
        <f t="shared" si="426"/>
        <v>POM C&amp;E</v>
      </c>
      <c r="N547">
        <f t="shared" si="418"/>
        <v>0.01</v>
      </c>
      <c r="O547" s="155">
        <f t="shared" si="419"/>
        <v>990000</v>
      </c>
    </row>
    <row r="548" spans="2:15">
      <c r="B548" t="str">
        <f t="shared" si="421"/>
        <v>CH0</v>
      </c>
      <c r="C548">
        <f t="shared" si="422"/>
        <v>2030</v>
      </c>
      <c r="D548" t="str">
        <f t="shared" si="423"/>
        <v>WIN_ONS</v>
      </c>
      <c r="E548" s="155">
        <f t="shared" si="420"/>
        <v>1445400</v>
      </c>
      <c r="F548" t="str">
        <f t="shared" si="424"/>
        <v>default</v>
      </c>
      <c r="G548" t="str">
        <f t="shared" si="425"/>
        <v>wind_onshore</v>
      </c>
      <c r="H548">
        <f t="shared" si="427"/>
        <v>1</v>
      </c>
      <c r="I548">
        <f t="shared" si="428"/>
        <v>4</v>
      </c>
      <c r="J548">
        <f t="shared" si="429"/>
        <v>5</v>
      </c>
      <c r="K548">
        <f t="shared" si="430"/>
        <v>3</v>
      </c>
      <c r="L548" t="str">
        <f t="shared" si="426"/>
        <v>POM C&amp;E</v>
      </c>
      <c r="N548">
        <f t="shared" si="418"/>
        <v>0.01</v>
      </c>
      <c r="O548" s="155">
        <f t="shared" si="419"/>
        <v>1460000</v>
      </c>
    </row>
    <row r="549" spans="2:15">
      <c r="B549" t="str">
        <f t="shared" si="421"/>
        <v>CH0</v>
      </c>
      <c r="C549">
        <f t="shared" si="422"/>
        <v>2035</v>
      </c>
      <c r="D549" t="str">
        <f t="shared" si="423"/>
        <v>WIN_ONS</v>
      </c>
      <c r="E549" s="155">
        <f t="shared" si="420"/>
        <v>1742400</v>
      </c>
      <c r="F549" t="str">
        <f t="shared" si="424"/>
        <v>default</v>
      </c>
      <c r="G549" t="str">
        <f t="shared" si="425"/>
        <v>wind_onshore</v>
      </c>
      <c r="H549">
        <f t="shared" si="427"/>
        <v>1</v>
      </c>
      <c r="I549">
        <f t="shared" si="428"/>
        <v>5</v>
      </c>
      <c r="J549">
        <f t="shared" si="429"/>
        <v>5</v>
      </c>
      <c r="K549">
        <f t="shared" si="430"/>
        <v>3</v>
      </c>
      <c r="L549" t="str">
        <f t="shared" si="426"/>
        <v>POM C&amp;E</v>
      </c>
      <c r="N549">
        <f t="shared" si="418"/>
        <v>0.01</v>
      </c>
      <c r="O549" s="155">
        <f t="shared" si="419"/>
        <v>1760000</v>
      </c>
    </row>
    <row r="550" spans="2:15">
      <c r="B550" t="str">
        <f t="shared" si="421"/>
        <v>CH0</v>
      </c>
      <c r="C550">
        <f t="shared" si="422"/>
        <v>2040</v>
      </c>
      <c r="D550" t="str">
        <f t="shared" si="423"/>
        <v>WIN_ONS</v>
      </c>
      <c r="E550" s="155">
        <f t="shared" si="420"/>
        <v>2564100</v>
      </c>
      <c r="F550" t="str">
        <f t="shared" si="424"/>
        <v>default</v>
      </c>
      <c r="G550" t="str">
        <f t="shared" si="425"/>
        <v>wind_onshore</v>
      </c>
      <c r="H550">
        <f t="shared" si="427"/>
        <v>1</v>
      </c>
      <c r="I550">
        <f t="shared" si="428"/>
        <v>6</v>
      </c>
      <c r="J550">
        <f t="shared" si="429"/>
        <v>5</v>
      </c>
      <c r="K550">
        <f t="shared" si="430"/>
        <v>3</v>
      </c>
      <c r="L550" t="str">
        <f t="shared" si="426"/>
        <v>POM C&amp;E</v>
      </c>
      <c r="N550">
        <f t="shared" si="418"/>
        <v>0.01</v>
      </c>
      <c r="O550" s="155">
        <f t="shared" si="419"/>
        <v>2590000</v>
      </c>
    </row>
    <row r="551" spans="2:15">
      <c r="B551" t="str">
        <f t="shared" si="421"/>
        <v>CH0</v>
      </c>
      <c r="C551">
        <f t="shared" si="422"/>
        <v>2045</v>
      </c>
      <c r="D551" t="str">
        <f t="shared" si="423"/>
        <v>WIN_ONS</v>
      </c>
      <c r="E551" s="155">
        <f t="shared" si="420"/>
        <v>3395700</v>
      </c>
      <c r="F551" t="str">
        <f t="shared" si="424"/>
        <v>default</v>
      </c>
      <c r="G551" t="str">
        <f t="shared" si="425"/>
        <v>wind_onshore</v>
      </c>
      <c r="H551">
        <f t="shared" si="427"/>
        <v>1</v>
      </c>
      <c r="I551">
        <f t="shared" si="428"/>
        <v>7</v>
      </c>
      <c r="J551">
        <f t="shared" si="429"/>
        <v>5</v>
      </c>
      <c r="K551">
        <f t="shared" si="430"/>
        <v>3</v>
      </c>
      <c r="L551" t="str">
        <f t="shared" si="426"/>
        <v>POM C&amp;E</v>
      </c>
      <c r="N551">
        <f t="shared" si="418"/>
        <v>0.01</v>
      </c>
      <c r="O551" s="155">
        <f t="shared" si="419"/>
        <v>3430000</v>
      </c>
    </row>
    <row r="552" spans="2:15">
      <c r="B552" t="str">
        <f t="shared" si="421"/>
        <v>CH0</v>
      </c>
      <c r="C552">
        <f t="shared" si="422"/>
        <v>2050</v>
      </c>
      <c r="D552" t="str">
        <f t="shared" si="423"/>
        <v>WIN_ONS</v>
      </c>
      <c r="E552" s="155">
        <f t="shared" si="420"/>
        <v>4217400</v>
      </c>
      <c r="F552" t="str">
        <f t="shared" si="424"/>
        <v>default</v>
      </c>
      <c r="G552" t="str">
        <f t="shared" si="425"/>
        <v>wind_onshore</v>
      </c>
      <c r="H552">
        <f t="shared" si="427"/>
        <v>1</v>
      </c>
      <c r="I552">
        <f t="shared" si="428"/>
        <v>8</v>
      </c>
      <c r="J552">
        <f t="shared" si="429"/>
        <v>5</v>
      </c>
      <c r="K552">
        <f t="shared" si="430"/>
        <v>3</v>
      </c>
      <c r="L552" t="str">
        <f t="shared" si="426"/>
        <v>POM C&amp;E</v>
      </c>
      <c r="N552">
        <f t="shared" si="418"/>
        <v>0.01</v>
      </c>
      <c r="O552" s="155">
        <f t="shared" si="419"/>
        <v>4260000</v>
      </c>
    </row>
    <row r="553" spans="2:15">
      <c r="E553" s="26"/>
    </row>
    <row r="554" spans="2:15">
      <c r="E554" s="26"/>
    </row>
    <row r="555" spans="2:15">
      <c r="E555" s="26"/>
    </row>
    <row r="556" spans="2:15">
      <c r="E556" s="26"/>
    </row>
    <row r="557" spans="2:15">
      <c r="E557" s="26"/>
    </row>
    <row r="558" spans="2:15">
      <c r="E558" s="26"/>
    </row>
    <row r="559" spans="2:15">
      <c r="E559" s="26"/>
    </row>
    <row r="560" spans="2:15">
      <c r="E560" s="26"/>
    </row>
    <row r="561" spans="5:5">
      <c r="E561" s="26"/>
    </row>
    <row r="562" spans="5:5">
      <c r="E562" s="26"/>
    </row>
    <row r="563" spans="5:5">
      <c r="E563" s="26"/>
    </row>
    <row r="564" spans="5:5">
      <c r="E564" s="26"/>
    </row>
    <row r="565" spans="5:5">
      <c r="E565" s="26"/>
    </row>
    <row r="566" spans="5:5">
      <c r="E566" s="26"/>
    </row>
    <row r="567" spans="5:5">
      <c r="E567" s="26"/>
    </row>
    <row r="568" spans="5:5">
      <c r="E568" s="26"/>
    </row>
    <row r="569" spans="5:5">
      <c r="E569" s="26"/>
    </row>
    <row r="570" spans="5:5">
      <c r="E570" s="26"/>
    </row>
    <row r="571" spans="5:5">
      <c r="E571" s="26"/>
    </row>
    <row r="572" spans="5:5">
      <c r="E572" s="26"/>
    </row>
    <row r="573" spans="5:5">
      <c r="E573" s="26"/>
    </row>
    <row r="574" spans="5:5">
      <c r="E574" s="26"/>
    </row>
    <row r="575" spans="5:5">
      <c r="E575" s="26"/>
    </row>
    <row r="576" spans="5:5">
      <c r="E576" s="26"/>
    </row>
    <row r="577" spans="5:5">
      <c r="E577" s="26"/>
    </row>
    <row r="578" spans="5:5">
      <c r="E578" s="26"/>
    </row>
    <row r="579" spans="5:5">
      <c r="E579" s="26"/>
    </row>
    <row r="580" spans="5:5">
      <c r="E580" s="26"/>
    </row>
    <row r="581" spans="5:5">
      <c r="E581" s="26"/>
    </row>
    <row r="582" spans="5:5">
      <c r="E582" s="26"/>
    </row>
    <row r="583" spans="5:5">
      <c r="E583" s="26"/>
    </row>
    <row r="584" spans="5:5">
      <c r="E584" s="26"/>
    </row>
    <row r="585" spans="5:5">
      <c r="E585" s="26"/>
    </row>
    <row r="586" spans="5:5">
      <c r="E586" s="26"/>
    </row>
    <row r="587" spans="5:5">
      <c r="E587" s="26"/>
    </row>
    <row r="588" spans="5:5">
      <c r="E588" s="26"/>
    </row>
    <row r="589" spans="5:5">
      <c r="E589" s="26"/>
    </row>
    <row r="590" spans="5:5">
      <c r="E590" s="26"/>
    </row>
    <row r="591" spans="5:5">
      <c r="E591" s="26"/>
    </row>
    <row r="592" spans="5:5">
      <c r="E592" s="26"/>
    </row>
    <row r="593" spans="5:5">
      <c r="E593" s="26"/>
    </row>
    <row r="594" spans="5:5">
      <c r="E594" s="26"/>
    </row>
    <row r="595" spans="5:5">
      <c r="E595" s="26"/>
    </row>
    <row r="596" spans="5:5">
      <c r="E596" s="26"/>
    </row>
    <row r="597" spans="5:5">
      <c r="E597" s="26"/>
    </row>
    <row r="598" spans="5:5">
      <c r="E598" s="26"/>
    </row>
    <row r="599" spans="5:5">
      <c r="E599" s="26"/>
    </row>
    <row r="600" spans="5:5">
      <c r="E600" s="26"/>
    </row>
    <row r="601" spans="5:5">
      <c r="E601" s="26"/>
    </row>
    <row r="602" spans="5:5">
      <c r="E602" s="26"/>
    </row>
    <row r="603" spans="5:5">
      <c r="E603" s="26"/>
    </row>
    <row r="604" spans="5:5">
      <c r="E604" s="26"/>
    </row>
    <row r="605" spans="5:5">
      <c r="E605" s="26"/>
    </row>
    <row r="606" spans="5:5">
      <c r="E606" s="26"/>
    </row>
    <row r="607" spans="5:5">
      <c r="E607" s="26"/>
    </row>
    <row r="608" spans="5:5">
      <c r="E608" s="26"/>
    </row>
    <row r="609" spans="5:5">
      <c r="E609" s="26"/>
    </row>
    <row r="610" spans="5:5">
      <c r="E610" s="26"/>
    </row>
    <row r="611" spans="5:5">
      <c r="E611" s="26"/>
    </row>
    <row r="612" spans="5:5">
      <c r="E612" s="26"/>
    </row>
    <row r="613" spans="5:5">
      <c r="E613" s="26"/>
    </row>
    <row r="614" spans="5:5">
      <c r="E614" s="26"/>
    </row>
    <row r="615" spans="5:5">
      <c r="E615" s="26"/>
    </row>
    <row r="616" spans="5:5">
      <c r="E616" s="26"/>
    </row>
    <row r="617" spans="5:5">
      <c r="E617" s="26"/>
    </row>
    <row r="618" spans="5:5">
      <c r="E618" s="26"/>
    </row>
    <row r="619" spans="5:5">
      <c r="E619" s="26"/>
    </row>
    <row r="620" spans="5:5">
      <c r="E620" s="26"/>
    </row>
    <row r="621" spans="5:5">
      <c r="E621" s="26"/>
    </row>
    <row r="622" spans="5:5">
      <c r="E622" s="26"/>
    </row>
    <row r="623" spans="5:5">
      <c r="E623" s="26"/>
    </row>
    <row r="624" spans="5:5">
      <c r="E624" s="26"/>
    </row>
    <row r="625" spans="5:5">
      <c r="E625" s="26"/>
    </row>
    <row r="626" spans="5:5">
      <c r="E626" s="26"/>
    </row>
    <row r="627" spans="5:5">
      <c r="E627" s="26"/>
    </row>
    <row r="628" spans="5:5">
      <c r="E628" s="26"/>
    </row>
    <row r="629" spans="5:5">
      <c r="E629" s="26"/>
    </row>
    <row r="630" spans="5:5">
      <c r="E630" s="26"/>
    </row>
    <row r="631" spans="5:5">
      <c r="E631" s="26"/>
    </row>
    <row r="632" spans="5:5">
      <c r="E632" s="26"/>
    </row>
    <row r="633" spans="5:5">
      <c r="E633" s="26"/>
    </row>
    <row r="634" spans="5:5">
      <c r="E634" s="26"/>
    </row>
    <row r="635" spans="5:5">
      <c r="E635" s="26"/>
    </row>
    <row r="636" spans="5:5">
      <c r="E636" s="26"/>
    </row>
    <row r="637" spans="5:5">
      <c r="E637" s="26"/>
    </row>
    <row r="638" spans="5:5">
      <c r="E638" s="26"/>
    </row>
    <row r="639" spans="5:5">
      <c r="E639" s="26"/>
    </row>
    <row r="640" spans="5:5">
      <c r="E640" s="26"/>
    </row>
    <row r="641" spans="5:5">
      <c r="E641" s="26"/>
    </row>
    <row r="642" spans="5:5">
      <c r="E642" s="26"/>
    </row>
    <row r="643" spans="5:5">
      <c r="E643" s="26"/>
    </row>
    <row r="644" spans="5:5">
      <c r="E644" s="26"/>
    </row>
    <row r="645" spans="5:5">
      <c r="E645" s="26"/>
    </row>
    <row r="646" spans="5:5">
      <c r="E646" s="26"/>
    </row>
    <row r="647" spans="5:5">
      <c r="E647" s="26"/>
    </row>
    <row r="648" spans="5:5">
      <c r="E648" s="26"/>
    </row>
    <row r="649" spans="5:5">
      <c r="E649" s="26"/>
    </row>
    <row r="650" spans="5:5">
      <c r="E650" s="26"/>
    </row>
    <row r="651" spans="5:5">
      <c r="E651" s="26"/>
    </row>
    <row r="652" spans="5:5">
      <c r="E652" s="26"/>
    </row>
    <row r="653" spans="5:5">
      <c r="E653" s="26"/>
    </row>
    <row r="654" spans="5:5">
      <c r="E654" s="26"/>
    </row>
    <row r="655" spans="5:5">
      <c r="E655" s="26"/>
    </row>
    <row r="656" spans="5:5">
      <c r="E656" s="26"/>
    </row>
    <row r="657" spans="5:5">
      <c r="E657" s="26"/>
    </row>
    <row r="658" spans="5:5">
      <c r="E658" s="26"/>
    </row>
    <row r="659" spans="5:5">
      <c r="E659" s="26"/>
    </row>
    <row r="660" spans="5:5">
      <c r="E660" s="26"/>
    </row>
    <row r="661" spans="5:5">
      <c r="E661" s="26"/>
    </row>
    <row r="662" spans="5:5">
      <c r="E662" s="26"/>
    </row>
    <row r="663" spans="5:5">
      <c r="E663" s="26"/>
    </row>
    <row r="664" spans="5:5">
      <c r="E664" s="26"/>
    </row>
    <row r="665" spans="5:5">
      <c r="E665" s="26"/>
    </row>
    <row r="666" spans="5:5">
      <c r="E666" s="26"/>
    </row>
    <row r="667" spans="5:5">
      <c r="E667" s="26"/>
    </row>
    <row r="668" spans="5:5">
      <c r="E668" s="26"/>
    </row>
    <row r="669" spans="5:5">
      <c r="E669" s="26"/>
    </row>
    <row r="670" spans="5:5">
      <c r="E670" s="26"/>
    </row>
    <row r="671" spans="5:5">
      <c r="E671" s="26"/>
    </row>
    <row r="672" spans="5:5">
      <c r="E672" s="26"/>
    </row>
    <row r="673" spans="5:5">
      <c r="E673" s="26"/>
    </row>
    <row r="674" spans="5:5">
      <c r="E674" s="26"/>
    </row>
    <row r="675" spans="5:5">
      <c r="E675" s="26"/>
    </row>
    <row r="676" spans="5:5">
      <c r="E676" s="26"/>
    </row>
    <row r="677" spans="5:5">
      <c r="E677" s="26"/>
    </row>
    <row r="678" spans="5:5">
      <c r="E678" s="26"/>
    </row>
    <row r="679" spans="5:5">
      <c r="E679" s="26"/>
    </row>
    <row r="680" spans="5:5">
      <c r="E680" s="26"/>
    </row>
    <row r="681" spans="5:5">
      <c r="E681" s="26"/>
    </row>
    <row r="682" spans="5:5">
      <c r="E682" s="26"/>
    </row>
    <row r="683" spans="5:5">
      <c r="E683" s="26"/>
    </row>
    <row r="684" spans="5:5">
      <c r="E684" s="26"/>
    </row>
    <row r="685" spans="5:5">
      <c r="E685" s="26"/>
    </row>
    <row r="686" spans="5:5">
      <c r="E686" s="26"/>
    </row>
    <row r="687" spans="5:5">
      <c r="E687" s="26"/>
    </row>
    <row r="688" spans="5:5">
      <c r="E688" s="26"/>
    </row>
    <row r="689" spans="5:5">
      <c r="E689" s="26"/>
    </row>
    <row r="690" spans="5:5">
      <c r="E690" s="26"/>
    </row>
    <row r="691" spans="5:5">
      <c r="E691" s="26"/>
    </row>
    <row r="692" spans="5:5">
      <c r="E692" s="26"/>
    </row>
    <row r="693" spans="5:5">
      <c r="E693" s="26"/>
    </row>
    <row r="694" spans="5:5">
      <c r="E694" s="26"/>
    </row>
    <row r="695" spans="5:5">
      <c r="E695" s="26"/>
    </row>
    <row r="696" spans="5:5">
      <c r="E696" s="26"/>
    </row>
    <row r="697" spans="5:5">
      <c r="E697" s="26"/>
    </row>
    <row r="698" spans="5:5">
      <c r="E698" s="26"/>
    </row>
    <row r="699" spans="5:5">
      <c r="E699" s="26"/>
    </row>
    <row r="700" spans="5:5">
      <c r="E700" s="26"/>
    </row>
    <row r="701" spans="5:5">
      <c r="E701" s="26"/>
    </row>
    <row r="702" spans="5:5">
      <c r="E702" s="26"/>
    </row>
    <row r="703" spans="5:5">
      <c r="E703" s="26"/>
    </row>
    <row r="704" spans="5:5">
      <c r="E704" s="26"/>
    </row>
    <row r="705" spans="5:5">
      <c r="E705" s="26"/>
    </row>
    <row r="706" spans="5:5">
      <c r="E706" s="26"/>
    </row>
    <row r="707" spans="5:5">
      <c r="E707" s="26"/>
    </row>
    <row r="708" spans="5:5">
      <c r="E708" s="26"/>
    </row>
    <row r="709" spans="5:5">
      <c r="E709" s="26"/>
    </row>
    <row r="710" spans="5:5">
      <c r="E710" s="26"/>
    </row>
    <row r="711" spans="5:5">
      <c r="E711" s="26"/>
    </row>
    <row r="712" spans="5:5">
      <c r="E712" s="26"/>
    </row>
    <row r="713" spans="5:5">
      <c r="E713" s="26"/>
    </row>
    <row r="714" spans="5:5">
      <c r="E714" s="26"/>
    </row>
    <row r="715" spans="5:5">
      <c r="E715" s="26"/>
    </row>
    <row r="716" spans="5:5">
      <c r="E716" s="26"/>
    </row>
    <row r="717" spans="5:5">
      <c r="E717" s="26"/>
    </row>
    <row r="718" spans="5:5">
      <c r="E718" s="26"/>
    </row>
    <row r="719" spans="5:5">
      <c r="E719" s="26"/>
    </row>
    <row r="720" spans="5:5">
      <c r="E720" s="26"/>
    </row>
    <row r="721" spans="5:5">
      <c r="E721" s="26"/>
    </row>
    <row r="722" spans="5:5">
      <c r="E722" s="26"/>
    </row>
    <row r="723" spans="5:5">
      <c r="E723" s="26"/>
    </row>
    <row r="724" spans="5:5">
      <c r="E724" s="26"/>
    </row>
    <row r="725" spans="5:5">
      <c r="E725" s="26"/>
    </row>
    <row r="726" spans="5:5">
      <c r="E726" s="26"/>
    </row>
    <row r="727" spans="5:5">
      <c r="E727" s="26"/>
    </row>
    <row r="728" spans="5:5">
      <c r="E728" s="26"/>
    </row>
    <row r="729" spans="5:5">
      <c r="E729" s="26"/>
    </row>
    <row r="730" spans="5:5">
      <c r="E730" s="26"/>
    </row>
    <row r="731" spans="5:5">
      <c r="E731" s="26"/>
    </row>
    <row r="732" spans="5:5">
      <c r="E732" s="26"/>
    </row>
    <row r="733" spans="5:5">
      <c r="E733" s="26"/>
    </row>
    <row r="734" spans="5:5">
      <c r="E734" s="26"/>
    </row>
    <row r="735" spans="5:5">
      <c r="E735" s="26"/>
    </row>
    <row r="736" spans="5:5">
      <c r="E736" s="26"/>
    </row>
    <row r="737" spans="5:5">
      <c r="E737" s="26"/>
    </row>
    <row r="738" spans="5:5">
      <c r="E738" s="26"/>
    </row>
    <row r="739" spans="5:5">
      <c r="E739" s="26"/>
    </row>
    <row r="740" spans="5:5">
      <c r="E740" s="26"/>
    </row>
    <row r="741" spans="5:5">
      <c r="E741" s="26"/>
    </row>
    <row r="742" spans="5:5">
      <c r="E742" s="26"/>
    </row>
    <row r="743" spans="5:5">
      <c r="E743" s="26"/>
    </row>
    <row r="744" spans="5:5">
      <c r="E744" s="26"/>
    </row>
    <row r="745" spans="5:5">
      <c r="E745" s="26"/>
    </row>
    <row r="746" spans="5:5">
      <c r="E746" s="26"/>
    </row>
    <row r="747" spans="5:5">
      <c r="E747" s="26"/>
    </row>
    <row r="748" spans="5:5">
      <c r="E748" s="26"/>
    </row>
    <row r="749" spans="5:5">
      <c r="E749" s="26"/>
    </row>
  </sheetData>
  <mergeCells count="2">
    <mergeCell ref="Q38:Q47"/>
    <mergeCell ref="AL354:AL36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11"/>
  <sheetViews>
    <sheetView topLeftCell="A145" zoomScale="70" zoomScaleNormal="70" workbookViewId="0">
      <selection activeCell="E185" sqref="E185"/>
    </sheetView>
  </sheetViews>
  <sheetFormatPr defaultRowHeight="14.25"/>
  <cols>
    <col min="1" max="2" width="10.625" customWidth="1"/>
    <col min="3" max="3" width="13.75" bestFit="1" customWidth="1"/>
    <col min="4" max="4" width="10.625" customWidth="1"/>
    <col min="5" max="5" width="21.625" customWidth="1"/>
    <col min="6" max="8" width="10.625" customWidth="1"/>
    <col min="9" max="12" width="21.625" customWidth="1"/>
    <col min="13" max="13" width="17.625" customWidth="1"/>
    <col min="14" max="14" width="10.625" customWidth="1"/>
    <col min="15" max="15" width="18.875" customWidth="1"/>
    <col min="16" max="16" width="21.625" customWidth="1"/>
    <col min="17" max="18" width="10.625" customWidth="1"/>
    <col min="19" max="19" width="12.125" customWidth="1"/>
    <col min="20" max="33" width="10.625" customWidth="1"/>
    <col min="34" max="34" width="8.5" customWidth="1"/>
    <col min="35" max="49" width="10.625" customWidth="1"/>
  </cols>
  <sheetData>
    <row r="1" spans="2:49">
      <c r="F1">
        <f>COUNTA(F2:F9)</f>
        <v>8</v>
      </c>
      <c r="G1">
        <f>COUNTA(G2:G9)</f>
        <v>3</v>
      </c>
      <c r="H1">
        <f>COUNTA(H2:H9)</f>
        <v>1</v>
      </c>
    </row>
    <row r="2" spans="2:49">
      <c r="F2">
        <v>2015</v>
      </c>
      <c r="G2" t="s">
        <v>60</v>
      </c>
      <c r="H2" t="s">
        <v>14</v>
      </c>
    </row>
    <row r="3" spans="2:49">
      <c r="F3">
        <v>2020</v>
      </c>
      <c r="G3" t="s">
        <v>100</v>
      </c>
    </row>
    <row r="4" spans="2:49">
      <c r="F4">
        <v>2025</v>
      </c>
      <c r="G4" t="s">
        <v>441</v>
      </c>
    </row>
    <row r="5" spans="2:49">
      <c r="F5">
        <v>2030</v>
      </c>
    </row>
    <row r="6" spans="2:49">
      <c r="F6">
        <v>2035</v>
      </c>
      <c r="AO6" t="s">
        <v>127</v>
      </c>
      <c r="AP6" t="s">
        <v>128</v>
      </c>
      <c r="AQ6" t="s">
        <v>33</v>
      </c>
      <c r="AR6" t="s">
        <v>32</v>
      </c>
      <c r="AS6" t="s">
        <v>8</v>
      </c>
      <c r="AT6" t="s">
        <v>10</v>
      </c>
      <c r="AU6" t="s">
        <v>408</v>
      </c>
      <c r="AV6" t="s">
        <v>51</v>
      </c>
      <c r="AW6" t="s">
        <v>129</v>
      </c>
    </row>
    <row r="7" spans="2:49">
      <c r="F7">
        <v>2040</v>
      </c>
      <c r="AO7" t="s">
        <v>52</v>
      </c>
      <c r="AP7" t="s">
        <v>55</v>
      </c>
      <c r="AQ7" t="s">
        <v>11</v>
      </c>
      <c r="AR7" t="s">
        <v>12</v>
      </c>
      <c r="AS7">
        <v>4120629.6161127202</v>
      </c>
      <c r="AT7">
        <v>2142873.3326516799</v>
      </c>
      <c r="AU7">
        <v>0.52003541504252204</v>
      </c>
      <c r="AV7">
        <v>616.39374999999995</v>
      </c>
      <c r="AW7">
        <v>6685.0606712230901</v>
      </c>
    </row>
    <row r="8" spans="2:49">
      <c r="F8">
        <v>2045</v>
      </c>
      <c r="AO8" t="s">
        <v>54</v>
      </c>
      <c r="AP8" t="s">
        <v>55</v>
      </c>
      <c r="AQ8" t="s">
        <v>11</v>
      </c>
      <c r="AR8" t="s">
        <v>14</v>
      </c>
      <c r="AS8">
        <v>213607.48</v>
      </c>
      <c r="AT8">
        <v>498400</v>
      </c>
      <c r="AU8">
        <v>2.3332516258325802</v>
      </c>
      <c r="AV8">
        <v>46.2</v>
      </c>
      <c r="AW8">
        <v>4623.5385281385297</v>
      </c>
    </row>
    <row r="9" spans="2:49">
      <c r="F9">
        <v>2050</v>
      </c>
      <c r="AO9" t="s">
        <v>56</v>
      </c>
      <c r="AP9" t="s">
        <v>55</v>
      </c>
      <c r="AQ9" t="s">
        <v>11</v>
      </c>
      <c r="AR9" t="s">
        <v>15</v>
      </c>
      <c r="AS9">
        <v>44573000</v>
      </c>
      <c r="AT9">
        <v>25085659.287776701</v>
      </c>
      <c r="AU9">
        <v>0.56279943660459697</v>
      </c>
      <c r="AV9">
        <v>7467</v>
      </c>
      <c r="AW9">
        <v>5969.3317262622204</v>
      </c>
    </row>
    <row r="10" spans="2:49">
      <c r="B10" t="s">
        <v>130</v>
      </c>
      <c r="C10" t="s">
        <v>128</v>
      </c>
      <c r="D10" t="s">
        <v>32</v>
      </c>
      <c r="E10" t="s">
        <v>10</v>
      </c>
      <c r="AO10" t="s">
        <v>57</v>
      </c>
      <c r="AP10" t="s">
        <v>55</v>
      </c>
      <c r="AQ10" t="s">
        <v>11</v>
      </c>
      <c r="AR10" t="s">
        <v>16</v>
      </c>
      <c r="AS10">
        <v>7964700</v>
      </c>
      <c r="AT10">
        <v>2284996.7527002301</v>
      </c>
      <c r="AU10">
        <v>0.28689049841177</v>
      </c>
      <c r="AV10">
        <v>922.97180000000003</v>
      </c>
      <c r="AW10">
        <v>8629.4077457187705</v>
      </c>
    </row>
    <row r="11" spans="2:49">
      <c r="B11">
        <f t="shared" ref="B11:B26" si="0">INDEX(F$2:F$9,F11)</f>
        <v>2015</v>
      </c>
      <c r="C11" t="str">
        <f t="shared" ref="C11:C26" si="1">INDEX(G$2:G$9,G11)</f>
        <v>GAS_LIN</v>
      </c>
      <c r="D11" t="str">
        <f t="shared" ref="D11:D26" si="2">INDEX(H$2:H$9,H11)</f>
        <v>CH0</v>
      </c>
      <c r="E11" s="26">
        <f>K11*(1-J11)</f>
        <v>570972.81107925263</v>
      </c>
      <c r="F11">
        <v>1</v>
      </c>
      <c r="G11">
        <v>1</v>
      </c>
      <c r="H11">
        <v>1</v>
      </c>
      <c r="J11" s="200">
        <f>INDEX($AF$59:$AF$96,MATCH(C11,$AE$59:$AE$96,0))</f>
        <v>0.01</v>
      </c>
      <c r="K11">
        <f>INDEX($R$12:$AB$50,MATCH(C11,$M$12:$M$50,0),MATCH(B11,$R$11:$AB$11,0))</f>
        <v>576740.21321136632</v>
      </c>
      <c r="R11">
        <v>2000</v>
      </c>
      <c r="S11">
        <v>2005</v>
      </c>
      <c r="T11">
        <v>2010</v>
      </c>
      <c r="U11">
        <v>2015</v>
      </c>
      <c r="V11">
        <v>2020</v>
      </c>
      <c r="W11">
        <v>2025</v>
      </c>
      <c r="X11">
        <v>2030</v>
      </c>
      <c r="Y11">
        <v>2035</v>
      </c>
      <c r="Z11">
        <v>2040</v>
      </c>
      <c r="AA11">
        <v>2045</v>
      </c>
      <c r="AB11">
        <v>2050</v>
      </c>
      <c r="AO11" t="s">
        <v>58</v>
      </c>
      <c r="AP11" t="s">
        <v>55</v>
      </c>
      <c r="AQ11" t="s">
        <v>11</v>
      </c>
      <c r="AR11" t="s">
        <v>17</v>
      </c>
      <c r="AS11">
        <v>18175800</v>
      </c>
      <c r="AT11">
        <v>4679300</v>
      </c>
      <c r="AU11">
        <v>0.25744671486262</v>
      </c>
      <c r="AV11">
        <v>2984.4095869118501</v>
      </c>
      <c r="AW11">
        <v>6090.2498369225596</v>
      </c>
    </row>
    <row r="12" spans="2:49">
      <c r="B12">
        <f t="shared" si="0"/>
        <v>2020</v>
      </c>
      <c r="C12" t="str">
        <f t="shared" si="1"/>
        <v>GAS_LIN</v>
      </c>
      <c r="D12" t="str">
        <f t="shared" si="2"/>
        <v>CH0</v>
      </c>
      <c r="E12" s="26">
        <f t="shared" ref="E12:E34" si="3">K12*(1-J12)</f>
        <v>571446.25453785842</v>
      </c>
      <c r="F12">
        <f t="shared" ref="F12:F34" si="4">IF(F11=$F$1,1,F11+1)</f>
        <v>2</v>
      </c>
      <c r="G12">
        <f t="shared" ref="G12:G26" si="5">IF(F12=1,IF(G11=$G$1,1,G11+1),G11)</f>
        <v>1</v>
      </c>
      <c r="H12">
        <f t="shared" ref="H12:H26" si="6">IF(AND(G12=1,G11&gt;1),IF(H11=$H$1,1,H11+1),H11)</f>
        <v>1</v>
      </c>
      <c r="J12" s="200">
        <f t="shared" ref="J12:J34" si="7">INDEX($AF$59:$AF$96,MATCH(C12,$AE$59:$AE$96,0))</f>
        <v>0.01</v>
      </c>
      <c r="K12">
        <f t="shared" ref="K12:K34" si="8">INDEX($R$12:$AB$50,MATCH(C12,$M$12:$M$50,0),MATCH(B12,$R$11:$AB$11,0))</f>
        <v>577218.43892712973</v>
      </c>
      <c r="P12" t="s">
        <v>409</v>
      </c>
      <c r="Q12" t="s">
        <v>296</v>
      </c>
      <c r="R12">
        <v>1.79</v>
      </c>
      <c r="S12">
        <v>2.0699999999999998</v>
      </c>
      <c r="T12">
        <v>2.1800000000000002</v>
      </c>
      <c r="U12">
        <v>2.7</v>
      </c>
      <c r="V12">
        <v>3.13</v>
      </c>
      <c r="W12">
        <v>5.39</v>
      </c>
      <c r="X12">
        <v>7.79</v>
      </c>
      <c r="Y12">
        <v>15.2</v>
      </c>
      <c r="Z12">
        <v>12.87</v>
      </c>
      <c r="AA12">
        <v>11.81</v>
      </c>
      <c r="AB12">
        <v>10.65</v>
      </c>
      <c r="AC12" t="s">
        <v>410</v>
      </c>
      <c r="AO12" t="s">
        <v>67</v>
      </c>
      <c r="AP12" t="s">
        <v>65</v>
      </c>
      <c r="AQ12" t="s">
        <v>23</v>
      </c>
      <c r="AR12" t="s">
        <v>17</v>
      </c>
      <c r="AS12">
        <v>6185000</v>
      </c>
      <c r="AT12">
        <v>0</v>
      </c>
      <c r="AU12">
        <v>0</v>
      </c>
      <c r="AV12">
        <v>773.21817824699201</v>
      </c>
      <c r="AW12">
        <v>7999.0359435449</v>
      </c>
    </row>
    <row r="13" spans="2:49">
      <c r="B13">
        <f t="shared" si="0"/>
        <v>2025</v>
      </c>
      <c r="C13" t="str">
        <f t="shared" si="1"/>
        <v>GAS_LIN</v>
      </c>
      <c r="D13" t="str">
        <f t="shared" si="2"/>
        <v>CH0</v>
      </c>
      <c r="E13" s="26">
        <f t="shared" si="3"/>
        <v>266436.81617827696</v>
      </c>
      <c r="F13">
        <f t="shared" si="4"/>
        <v>3</v>
      </c>
      <c r="G13">
        <f t="shared" si="5"/>
        <v>1</v>
      </c>
      <c r="H13">
        <f t="shared" si="6"/>
        <v>1</v>
      </c>
      <c r="J13" s="200">
        <f t="shared" si="7"/>
        <v>0.01</v>
      </c>
      <c r="K13">
        <f t="shared" si="8"/>
        <v>269128.09714977472</v>
      </c>
      <c r="P13" t="s">
        <v>411</v>
      </c>
      <c r="Q13" t="s">
        <v>296</v>
      </c>
      <c r="R13">
        <v>1.79</v>
      </c>
      <c r="S13">
        <v>2.0699999999999998</v>
      </c>
      <c r="T13">
        <v>2.1800000000000002</v>
      </c>
      <c r="U13">
        <v>1.76</v>
      </c>
      <c r="V13">
        <v>1.48</v>
      </c>
      <c r="W13">
        <v>0.92</v>
      </c>
      <c r="X13">
        <v>0.57999999999999996</v>
      </c>
      <c r="Y13">
        <v>0.32</v>
      </c>
      <c r="Z13" t="s">
        <v>195</v>
      </c>
      <c r="AA13" t="s">
        <v>195</v>
      </c>
      <c r="AB13" t="s">
        <v>195</v>
      </c>
      <c r="AC13" t="s">
        <v>410</v>
      </c>
      <c r="AO13" t="s">
        <v>68</v>
      </c>
      <c r="AP13" t="s">
        <v>70</v>
      </c>
      <c r="AQ13" t="s">
        <v>18</v>
      </c>
      <c r="AR13" t="s">
        <v>12</v>
      </c>
      <c r="AS13">
        <v>2733327.3221901301</v>
      </c>
      <c r="AT13">
        <v>527062.47240580001</v>
      </c>
      <c r="AU13">
        <v>0.19282815787444099</v>
      </c>
      <c r="AV13">
        <v>1100</v>
      </c>
      <c r="AW13">
        <v>2484.8430201728402</v>
      </c>
    </row>
    <row r="14" spans="2:49">
      <c r="B14">
        <f t="shared" si="0"/>
        <v>2030</v>
      </c>
      <c r="C14" t="str">
        <f t="shared" si="1"/>
        <v>GAS_LIN</v>
      </c>
      <c r="D14" t="str">
        <f t="shared" si="2"/>
        <v>CH0</v>
      </c>
      <c r="E14" s="26">
        <f t="shared" si="3"/>
        <v>152147.56527070494</v>
      </c>
      <c r="F14">
        <f t="shared" si="4"/>
        <v>4</v>
      </c>
      <c r="G14">
        <f t="shared" si="5"/>
        <v>1</v>
      </c>
      <c r="H14">
        <f t="shared" si="6"/>
        <v>1</v>
      </c>
      <c r="J14" s="200">
        <f t="shared" si="7"/>
        <v>0.01</v>
      </c>
      <c r="K14">
        <f t="shared" si="8"/>
        <v>153684.40936434842</v>
      </c>
      <c r="P14" t="s">
        <v>412</v>
      </c>
      <c r="Q14" t="s">
        <v>296</v>
      </c>
      <c r="R14" t="s">
        <v>195</v>
      </c>
      <c r="S14" t="s">
        <v>195</v>
      </c>
      <c r="T14" t="s">
        <v>195</v>
      </c>
      <c r="U14" t="s">
        <v>195</v>
      </c>
      <c r="V14" t="s">
        <v>195</v>
      </c>
      <c r="W14">
        <v>2.0099999999999998</v>
      </c>
      <c r="X14">
        <v>4.17</v>
      </c>
      <c r="Y14">
        <v>11.63</v>
      </c>
      <c r="Z14">
        <v>9.43</v>
      </c>
      <c r="AA14">
        <v>8.36</v>
      </c>
      <c r="AB14">
        <v>7.2</v>
      </c>
      <c r="AC14" t="s">
        <v>410</v>
      </c>
      <c r="AO14" t="s">
        <v>69</v>
      </c>
      <c r="AP14" t="s">
        <v>70</v>
      </c>
      <c r="AQ14" t="s">
        <v>18</v>
      </c>
      <c r="AR14" t="s">
        <v>15</v>
      </c>
      <c r="AS14">
        <v>107964248.539</v>
      </c>
      <c r="AT14">
        <v>8900082.3646997791</v>
      </c>
      <c r="AU14">
        <v>8.2435458822137805E-2</v>
      </c>
      <c r="AV14">
        <v>24612.6</v>
      </c>
      <c r="AW14">
        <v>4386.5438246670401</v>
      </c>
    </row>
    <row r="15" spans="2:49">
      <c r="B15">
        <f t="shared" si="0"/>
        <v>2035</v>
      </c>
      <c r="C15" t="str">
        <f t="shared" si="1"/>
        <v>GAS_LIN</v>
      </c>
      <c r="D15" t="str">
        <f t="shared" si="2"/>
        <v>CH0</v>
      </c>
      <c r="E15" s="26">
        <f t="shared" si="3"/>
        <v>151909.46266464752</v>
      </c>
      <c r="F15">
        <f t="shared" si="4"/>
        <v>5</v>
      </c>
      <c r="G15">
        <f t="shared" si="5"/>
        <v>1</v>
      </c>
      <c r="H15">
        <f t="shared" si="6"/>
        <v>1</v>
      </c>
      <c r="J15" s="200">
        <f t="shared" si="7"/>
        <v>0.01</v>
      </c>
      <c r="K15">
        <f t="shared" si="8"/>
        <v>153443.90168146216</v>
      </c>
      <c r="O15" t="s">
        <v>442</v>
      </c>
      <c r="P15" t="s">
        <v>354</v>
      </c>
      <c r="Q15" t="s">
        <v>296</v>
      </c>
      <c r="R15" t="s">
        <v>195</v>
      </c>
      <c r="S15" t="s">
        <v>195</v>
      </c>
      <c r="T15" t="s">
        <v>195</v>
      </c>
      <c r="U15">
        <v>0.94</v>
      </c>
      <c r="V15">
        <v>1.65</v>
      </c>
      <c r="W15">
        <v>2.4700000000000002</v>
      </c>
      <c r="X15">
        <v>3.04</v>
      </c>
      <c r="Y15">
        <v>3.26</v>
      </c>
      <c r="Z15">
        <v>3.44</v>
      </c>
      <c r="AA15">
        <v>3.45</v>
      </c>
      <c r="AB15">
        <v>3.45</v>
      </c>
      <c r="AC15" t="s">
        <v>410</v>
      </c>
      <c r="AO15" t="s">
        <v>71</v>
      </c>
      <c r="AP15" t="s">
        <v>70</v>
      </c>
      <c r="AQ15" t="s">
        <v>18</v>
      </c>
      <c r="AR15" t="s">
        <v>16</v>
      </c>
      <c r="AS15">
        <v>8600000</v>
      </c>
      <c r="AT15">
        <v>827638.94120131899</v>
      </c>
      <c r="AU15">
        <v>9.6237086186199902E-2</v>
      </c>
      <c r="AV15">
        <v>3007</v>
      </c>
      <c r="AW15">
        <v>2859.9933488526799</v>
      </c>
    </row>
    <row r="16" spans="2:49">
      <c r="B16">
        <f t="shared" si="0"/>
        <v>2040</v>
      </c>
      <c r="C16" t="str">
        <f t="shared" si="1"/>
        <v>GAS_LIN</v>
      </c>
      <c r="D16" t="str">
        <f t="shared" si="2"/>
        <v>CH0</v>
      </c>
      <c r="E16" s="26">
        <f t="shared" si="3"/>
        <v>0</v>
      </c>
      <c r="F16">
        <f t="shared" si="4"/>
        <v>6</v>
      </c>
      <c r="G16">
        <f t="shared" si="5"/>
        <v>1</v>
      </c>
      <c r="H16">
        <f t="shared" si="6"/>
        <v>1</v>
      </c>
      <c r="J16" s="200">
        <f t="shared" si="7"/>
        <v>0.01</v>
      </c>
      <c r="K16">
        <f t="shared" si="8"/>
        <v>0</v>
      </c>
      <c r="AO16" t="s">
        <v>72</v>
      </c>
      <c r="AP16" t="s">
        <v>70</v>
      </c>
      <c r="AQ16" t="s">
        <v>18</v>
      </c>
      <c r="AR16" t="s">
        <v>17</v>
      </c>
      <c r="AS16">
        <v>39315500</v>
      </c>
      <c r="AT16">
        <v>122600</v>
      </c>
      <c r="AU16">
        <v>3.1183629866083401E-3</v>
      </c>
      <c r="AV16">
        <v>8700.2000000000007</v>
      </c>
      <c r="AW16">
        <v>4518.9191053079203</v>
      </c>
    </row>
    <row r="17" spans="2:49">
      <c r="B17">
        <f t="shared" si="0"/>
        <v>2045</v>
      </c>
      <c r="C17" t="str">
        <f t="shared" si="1"/>
        <v>GAS_LIN</v>
      </c>
      <c r="D17" t="str">
        <f t="shared" si="2"/>
        <v>CH0</v>
      </c>
      <c r="E17" s="26">
        <f t="shared" si="3"/>
        <v>0</v>
      </c>
      <c r="F17">
        <f t="shared" si="4"/>
        <v>7</v>
      </c>
      <c r="G17">
        <f t="shared" si="5"/>
        <v>1</v>
      </c>
      <c r="H17">
        <f t="shared" si="6"/>
        <v>1</v>
      </c>
      <c r="J17" s="200">
        <f t="shared" si="7"/>
        <v>0.01</v>
      </c>
      <c r="K17">
        <f t="shared" si="8"/>
        <v>0</v>
      </c>
      <c r="P17" t="s">
        <v>409</v>
      </c>
      <c r="Q17" t="s">
        <v>143</v>
      </c>
      <c r="R17">
        <v>1.79</v>
      </c>
      <c r="S17">
        <v>2.0699999999999998</v>
      </c>
      <c r="T17">
        <v>2.1800000000000002</v>
      </c>
      <c r="U17">
        <v>2.7</v>
      </c>
      <c r="V17">
        <v>3.13</v>
      </c>
      <c r="W17">
        <v>3.38</v>
      </c>
      <c r="X17">
        <v>3.62</v>
      </c>
      <c r="Y17">
        <v>3.58</v>
      </c>
      <c r="Z17">
        <v>3.44</v>
      </c>
      <c r="AA17">
        <v>3.45</v>
      </c>
      <c r="AB17">
        <v>3.45</v>
      </c>
      <c r="AC17" t="s">
        <v>413</v>
      </c>
      <c r="AQ17" t="s">
        <v>19</v>
      </c>
      <c r="AR17" t="s">
        <v>12</v>
      </c>
      <c r="AS17">
        <v>0</v>
      </c>
      <c r="AT17">
        <v>0</v>
      </c>
    </row>
    <row r="18" spans="2:49">
      <c r="B18">
        <f t="shared" si="0"/>
        <v>2050</v>
      </c>
      <c r="C18" t="str">
        <f t="shared" si="1"/>
        <v>GAS_LIN</v>
      </c>
      <c r="D18" t="str">
        <f t="shared" si="2"/>
        <v>CH0</v>
      </c>
      <c r="E18" s="26">
        <f t="shared" si="3"/>
        <v>0</v>
      </c>
      <c r="F18">
        <f t="shared" si="4"/>
        <v>8</v>
      </c>
      <c r="G18">
        <f t="shared" si="5"/>
        <v>1</v>
      </c>
      <c r="H18">
        <f t="shared" si="6"/>
        <v>1</v>
      </c>
      <c r="J18" s="200">
        <f t="shared" si="7"/>
        <v>0.01</v>
      </c>
      <c r="K18">
        <f t="shared" si="8"/>
        <v>0</v>
      </c>
      <c r="P18" t="s">
        <v>411</v>
      </c>
      <c r="Q18" t="s">
        <v>143</v>
      </c>
      <c r="R18">
        <v>1.79</v>
      </c>
      <c r="S18">
        <v>2.0699999999999998</v>
      </c>
      <c r="T18">
        <v>2.1800000000000002</v>
      </c>
      <c r="U18">
        <v>1.76</v>
      </c>
      <c r="V18">
        <v>1.48</v>
      </c>
      <c r="W18">
        <v>0.92</v>
      </c>
      <c r="X18">
        <v>0.57999999999999996</v>
      </c>
      <c r="Y18">
        <v>0.32</v>
      </c>
      <c r="Z18" t="s">
        <v>195</v>
      </c>
      <c r="AA18" t="s">
        <v>195</v>
      </c>
      <c r="AB18" t="s">
        <v>195</v>
      </c>
      <c r="AC18" t="s">
        <v>413</v>
      </c>
      <c r="AO18" t="s">
        <v>92</v>
      </c>
      <c r="AP18" t="s">
        <v>91</v>
      </c>
      <c r="AQ18" t="s">
        <v>19</v>
      </c>
      <c r="AR18" t="s">
        <v>15</v>
      </c>
      <c r="AS18">
        <v>143496528.32800001</v>
      </c>
      <c r="AT18">
        <v>4740747.3902420998</v>
      </c>
      <c r="AU18">
        <v>3.3037366446983601E-2</v>
      </c>
      <c r="AV18">
        <v>20679</v>
      </c>
      <c r="AW18">
        <v>6939.2392440640297</v>
      </c>
    </row>
    <row r="19" spans="2:49">
      <c r="B19">
        <f t="shared" si="0"/>
        <v>2015</v>
      </c>
      <c r="C19" t="str">
        <f t="shared" si="1"/>
        <v>OIL_LIN</v>
      </c>
      <c r="D19" t="str">
        <f t="shared" si="2"/>
        <v>CH0</v>
      </c>
      <c r="E19" s="26">
        <f t="shared" si="3"/>
        <v>17918.02580493749</v>
      </c>
      <c r="F19">
        <f t="shared" si="4"/>
        <v>1</v>
      </c>
      <c r="G19">
        <f t="shared" si="5"/>
        <v>2</v>
      </c>
      <c r="H19">
        <f t="shared" si="6"/>
        <v>1</v>
      </c>
      <c r="J19" s="200">
        <f t="shared" si="7"/>
        <v>8.5000000000000006E-2</v>
      </c>
      <c r="K19">
        <f t="shared" si="8"/>
        <v>19582.54186331966</v>
      </c>
      <c r="P19" t="s">
        <v>412</v>
      </c>
      <c r="Q19" t="s">
        <v>143</v>
      </c>
      <c r="R19" t="s">
        <v>195</v>
      </c>
      <c r="S19" t="s">
        <v>195</v>
      </c>
      <c r="T19" t="s">
        <v>195</v>
      </c>
      <c r="U19" t="s">
        <v>195</v>
      </c>
      <c r="V19" t="s">
        <v>195</v>
      </c>
      <c r="W19" t="s">
        <v>195</v>
      </c>
      <c r="X19" t="s">
        <v>195</v>
      </c>
      <c r="Y19" t="s">
        <v>195</v>
      </c>
      <c r="Z19" t="s">
        <v>195</v>
      </c>
      <c r="AA19" t="s">
        <v>195</v>
      </c>
      <c r="AB19" t="s">
        <v>195</v>
      </c>
      <c r="AC19" t="s">
        <v>413</v>
      </c>
      <c r="AQ19" t="s">
        <v>19</v>
      </c>
      <c r="AR19" t="s">
        <v>17</v>
      </c>
      <c r="AS19">
        <v>0</v>
      </c>
      <c r="AT19">
        <v>0</v>
      </c>
    </row>
    <row r="20" spans="2:49">
      <c r="B20">
        <f t="shared" si="0"/>
        <v>2020</v>
      </c>
      <c r="C20" t="str">
        <f t="shared" si="1"/>
        <v>OIL_LIN</v>
      </c>
      <c r="D20" t="str">
        <f t="shared" si="2"/>
        <v>CH0</v>
      </c>
      <c r="E20" s="26">
        <f t="shared" si="3"/>
        <v>17932.88320610243</v>
      </c>
      <c r="F20">
        <f t="shared" si="4"/>
        <v>2</v>
      </c>
      <c r="G20">
        <f t="shared" si="5"/>
        <v>2</v>
      </c>
      <c r="H20">
        <f t="shared" si="6"/>
        <v>1</v>
      </c>
      <c r="J20" s="200">
        <f t="shared" si="7"/>
        <v>8.5000000000000006E-2</v>
      </c>
      <c r="K20">
        <f t="shared" si="8"/>
        <v>19598.779460221234</v>
      </c>
      <c r="O20" t="s">
        <v>442</v>
      </c>
      <c r="P20" t="s">
        <v>354</v>
      </c>
      <c r="Q20" t="s">
        <v>143</v>
      </c>
      <c r="R20" t="s">
        <v>195</v>
      </c>
      <c r="S20" t="s">
        <v>195</v>
      </c>
      <c r="T20" t="s">
        <v>195</v>
      </c>
      <c r="U20">
        <v>0.94</v>
      </c>
      <c r="V20">
        <v>1.65</v>
      </c>
      <c r="W20">
        <v>2.4700000000000002</v>
      </c>
      <c r="X20">
        <v>3.04</v>
      </c>
      <c r="Y20">
        <v>3.26</v>
      </c>
      <c r="Z20">
        <v>3.44</v>
      </c>
      <c r="AA20">
        <v>3.45</v>
      </c>
      <c r="AB20">
        <v>3.45</v>
      </c>
      <c r="AC20" t="s">
        <v>413</v>
      </c>
      <c r="AO20" t="s">
        <v>97</v>
      </c>
      <c r="AP20" t="s">
        <v>100</v>
      </c>
      <c r="AQ20" t="s">
        <v>20</v>
      </c>
      <c r="AR20" t="s">
        <v>12</v>
      </c>
      <c r="AS20">
        <v>832452.63103857404</v>
      </c>
      <c r="AT20">
        <v>574399.18360372202</v>
      </c>
      <c r="AU20">
        <v>0.69000825054405501</v>
      </c>
      <c r="AV20">
        <v>174</v>
      </c>
      <c r="AW20">
        <v>4784.2105232102003</v>
      </c>
    </row>
    <row r="21" spans="2:49">
      <c r="B21">
        <f t="shared" si="0"/>
        <v>2025</v>
      </c>
      <c r="C21" t="str">
        <f t="shared" si="1"/>
        <v>OIL_LIN</v>
      </c>
      <c r="D21" t="str">
        <f t="shared" si="2"/>
        <v>CH0</v>
      </c>
      <c r="E21" s="26">
        <f t="shared" si="3"/>
        <v>8361.2067948452732</v>
      </c>
      <c r="F21">
        <f t="shared" si="4"/>
        <v>3</v>
      </c>
      <c r="G21">
        <f t="shared" si="5"/>
        <v>2</v>
      </c>
      <c r="H21">
        <f t="shared" si="6"/>
        <v>1</v>
      </c>
      <c r="J21" s="200">
        <f t="shared" si="7"/>
        <v>8.5000000000000006E-2</v>
      </c>
      <c r="K21">
        <f t="shared" si="8"/>
        <v>9137.9309233281674</v>
      </c>
      <c r="AO21" t="s">
        <v>98</v>
      </c>
      <c r="AP21" t="s">
        <v>100</v>
      </c>
      <c r="AQ21" t="s">
        <v>20</v>
      </c>
      <c r="AR21" t="s">
        <v>14</v>
      </c>
      <c r="AS21">
        <v>32397.443837237799</v>
      </c>
      <c r="AT21">
        <v>22800</v>
      </c>
      <c r="AU21">
        <v>0.70375922602244101</v>
      </c>
      <c r="AV21">
        <v>75</v>
      </c>
      <c r="AW21">
        <v>431.96591782983802</v>
      </c>
    </row>
    <row r="22" spans="2:49">
      <c r="B22">
        <f t="shared" si="0"/>
        <v>2030</v>
      </c>
      <c r="C22" t="str">
        <f t="shared" si="1"/>
        <v>OIL_LIN</v>
      </c>
      <c r="D22" t="str">
        <f t="shared" si="2"/>
        <v>CH0</v>
      </c>
      <c r="E22" s="26">
        <f t="shared" si="3"/>
        <v>4774.6301536247756</v>
      </c>
      <c r="F22">
        <f t="shared" si="4"/>
        <v>4</v>
      </c>
      <c r="G22">
        <f t="shared" si="5"/>
        <v>2</v>
      </c>
      <c r="H22">
        <f t="shared" si="6"/>
        <v>1</v>
      </c>
      <c r="J22" s="200">
        <f t="shared" si="7"/>
        <v>8.5000000000000006E-2</v>
      </c>
      <c r="K22">
        <f t="shared" si="8"/>
        <v>5218.1750312839076</v>
      </c>
      <c r="AO22" t="s">
        <v>99</v>
      </c>
      <c r="AP22" t="s">
        <v>100</v>
      </c>
      <c r="AQ22" t="s">
        <v>20</v>
      </c>
      <c r="AR22" t="s">
        <v>15</v>
      </c>
      <c r="AS22">
        <v>6208011</v>
      </c>
      <c r="AT22">
        <v>2404042.3484119298</v>
      </c>
      <c r="AU22">
        <v>0.38724840345997003</v>
      </c>
      <c r="AV22">
        <v>4200</v>
      </c>
      <c r="AW22">
        <v>1478.09785714286</v>
      </c>
    </row>
    <row r="23" spans="2:49">
      <c r="B23">
        <f t="shared" si="0"/>
        <v>2035</v>
      </c>
      <c r="C23" t="str">
        <f t="shared" si="1"/>
        <v>OIL_LIN</v>
      </c>
      <c r="D23" t="str">
        <f t="shared" si="2"/>
        <v>CH0</v>
      </c>
      <c r="E23" s="26">
        <f t="shared" si="3"/>
        <v>4767.1581189555682</v>
      </c>
      <c r="F23">
        <f t="shared" si="4"/>
        <v>5</v>
      </c>
      <c r="G23">
        <f t="shared" si="5"/>
        <v>2</v>
      </c>
      <c r="H23">
        <f t="shared" si="6"/>
        <v>1</v>
      </c>
      <c r="J23" s="200">
        <f t="shared" si="7"/>
        <v>8.5000000000000006E-2</v>
      </c>
      <c r="K23">
        <f t="shared" si="8"/>
        <v>5210.008873175484</v>
      </c>
      <c r="P23" t="s">
        <v>409</v>
      </c>
      <c r="Q23" t="s">
        <v>142</v>
      </c>
      <c r="R23">
        <v>0.79</v>
      </c>
      <c r="S23">
        <v>2.0699999999999998</v>
      </c>
      <c r="T23">
        <v>2.1800000000000002</v>
      </c>
      <c r="U23">
        <v>2.65</v>
      </c>
      <c r="V23">
        <v>3.94</v>
      </c>
      <c r="W23">
        <v>6.9</v>
      </c>
      <c r="X23">
        <v>10.02</v>
      </c>
      <c r="Y23">
        <v>22.28</v>
      </c>
      <c r="Z23">
        <v>21.6</v>
      </c>
      <c r="AA23">
        <v>21.98</v>
      </c>
      <c r="AB23">
        <v>21.66</v>
      </c>
      <c r="AC23" t="s">
        <v>414</v>
      </c>
      <c r="AO23" t="s">
        <v>101</v>
      </c>
      <c r="AP23" t="s">
        <v>100</v>
      </c>
      <c r="AQ23" t="s">
        <v>20</v>
      </c>
      <c r="AR23" t="s">
        <v>16</v>
      </c>
      <c r="AS23">
        <v>3800000</v>
      </c>
      <c r="AT23">
        <v>619198.95493290597</v>
      </c>
      <c r="AU23">
        <v>0.162947093403396</v>
      </c>
      <c r="AV23">
        <v>8496.5</v>
      </c>
      <c r="AW23">
        <v>447.24298240451998</v>
      </c>
    </row>
    <row r="24" spans="2:49">
      <c r="B24">
        <f t="shared" si="0"/>
        <v>2040</v>
      </c>
      <c r="C24" t="str">
        <f t="shared" si="1"/>
        <v>OIL_LIN</v>
      </c>
      <c r="D24" t="str">
        <f t="shared" si="2"/>
        <v>CH0</v>
      </c>
      <c r="E24" s="26">
        <f t="shared" si="3"/>
        <v>0</v>
      </c>
      <c r="F24">
        <f t="shared" si="4"/>
        <v>6</v>
      </c>
      <c r="G24">
        <f t="shared" si="5"/>
        <v>2</v>
      </c>
      <c r="H24">
        <f t="shared" si="6"/>
        <v>1</v>
      </c>
      <c r="J24" s="200">
        <f t="shared" si="7"/>
        <v>8.5000000000000006E-2</v>
      </c>
      <c r="K24">
        <f t="shared" si="8"/>
        <v>0</v>
      </c>
      <c r="P24" t="s">
        <v>411</v>
      </c>
      <c r="Q24" t="s">
        <v>142</v>
      </c>
      <c r="R24">
        <v>1.79</v>
      </c>
      <c r="S24">
        <v>2.0699999999999998</v>
      </c>
      <c r="T24">
        <v>2.1800000000000002</v>
      </c>
      <c r="U24">
        <v>1.76</v>
      </c>
      <c r="V24">
        <v>1.48</v>
      </c>
      <c r="W24">
        <v>0.92</v>
      </c>
      <c r="X24">
        <v>0.57999999999999996</v>
      </c>
      <c r="Y24">
        <v>0.32</v>
      </c>
      <c r="Z24" t="s">
        <v>195</v>
      </c>
      <c r="AA24" t="s">
        <v>195</v>
      </c>
      <c r="AB24" t="s">
        <v>195</v>
      </c>
      <c r="AC24" t="s">
        <v>414</v>
      </c>
      <c r="AO24" t="s">
        <v>102</v>
      </c>
      <c r="AP24" t="s">
        <v>100</v>
      </c>
      <c r="AQ24" t="s">
        <v>20</v>
      </c>
      <c r="AR24" t="s">
        <v>17</v>
      </c>
      <c r="AS24">
        <v>12721100</v>
      </c>
      <c r="AT24">
        <v>2270800</v>
      </c>
      <c r="AU24">
        <v>0.178506575689209</v>
      </c>
      <c r="AV24">
        <v>3197.9</v>
      </c>
      <c r="AW24">
        <v>3977.9542824978898</v>
      </c>
    </row>
    <row r="25" spans="2:49">
      <c r="B25">
        <f t="shared" si="0"/>
        <v>2045</v>
      </c>
      <c r="C25" t="str">
        <f t="shared" si="1"/>
        <v>OIL_LIN</v>
      </c>
      <c r="D25" t="str">
        <f t="shared" si="2"/>
        <v>CH0</v>
      </c>
      <c r="E25" s="26">
        <f t="shared" si="3"/>
        <v>0</v>
      </c>
      <c r="F25">
        <f t="shared" si="4"/>
        <v>7</v>
      </c>
      <c r="G25">
        <f t="shared" si="5"/>
        <v>2</v>
      </c>
      <c r="H25">
        <f t="shared" si="6"/>
        <v>1</v>
      </c>
      <c r="J25" s="200">
        <f t="shared" si="7"/>
        <v>8.5000000000000006E-2</v>
      </c>
      <c r="K25">
        <f t="shared" si="8"/>
        <v>0</v>
      </c>
      <c r="P25" t="s">
        <v>412</v>
      </c>
      <c r="Q25" t="s">
        <v>142</v>
      </c>
      <c r="R25" t="s">
        <v>195</v>
      </c>
      <c r="S25" t="s">
        <v>195</v>
      </c>
      <c r="T25" t="s">
        <v>195</v>
      </c>
      <c r="U25" t="s">
        <v>195</v>
      </c>
      <c r="V25">
        <v>0.97</v>
      </c>
      <c r="W25">
        <v>3.78</v>
      </c>
      <c r="X25">
        <v>6.74</v>
      </c>
      <c r="Y25">
        <v>19.05</v>
      </c>
      <c r="Z25">
        <v>18.5</v>
      </c>
      <c r="AA25">
        <v>18.87</v>
      </c>
      <c r="AB25">
        <v>18.54</v>
      </c>
      <c r="AC25" t="s">
        <v>414</v>
      </c>
      <c r="AO25" t="s">
        <v>59</v>
      </c>
      <c r="AP25" t="s">
        <v>60</v>
      </c>
      <c r="AQ25" t="s">
        <v>21</v>
      </c>
      <c r="AR25" t="s">
        <v>12</v>
      </c>
      <c r="AS25">
        <v>9547025.7580425404</v>
      </c>
      <c r="AT25">
        <v>4924840.9102881001</v>
      </c>
      <c r="AU25">
        <v>0.51585080370599701</v>
      </c>
      <c r="AV25">
        <v>3996.3</v>
      </c>
      <c r="AW25">
        <v>2388.9662332764101</v>
      </c>
    </row>
    <row r="26" spans="2:49">
      <c r="B26">
        <f t="shared" si="0"/>
        <v>2050</v>
      </c>
      <c r="C26" t="str">
        <f t="shared" si="1"/>
        <v>OIL_LIN</v>
      </c>
      <c r="D26" t="str">
        <f t="shared" si="2"/>
        <v>CH0</v>
      </c>
      <c r="E26" s="26">
        <f t="shared" si="3"/>
        <v>0</v>
      </c>
      <c r="F26">
        <f t="shared" si="4"/>
        <v>8</v>
      </c>
      <c r="G26">
        <f t="shared" si="5"/>
        <v>2</v>
      </c>
      <c r="H26">
        <f t="shared" si="6"/>
        <v>1</v>
      </c>
      <c r="J26" s="200">
        <f t="shared" si="7"/>
        <v>8.5000000000000006E-2</v>
      </c>
      <c r="K26">
        <f t="shared" si="8"/>
        <v>0</v>
      </c>
      <c r="O26" t="s">
        <v>442</v>
      </c>
      <c r="P26" t="s">
        <v>354</v>
      </c>
      <c r="Q26" t="s">
        <v>142</v>
      </c>
      <c r="R26" t="s">
        <v>195</v>
      </c>
      <c r="S26" t="s">
        <v>195</v>
      </c>
      <c r="T26" t="s">
        <v>195</v>
      </c>
      <c r="U26">
        <v>0.89</v>
      </c>
      <c r="V26">
        <v>1.49</v>
      </c>
      <c r="W26">
        <v>2.2000000000000002</v>
      </c>
      <c r="X26">
        <v>2.7</v>
      </c>
      <c r="Y26">
        <v>2.92</v>
      </c>
      <c r="Z26">
        <v>3.1</v>
      </c>
      <c r="AA26">
        <v>3.11</v>
      </c>
      <c r="AB26">
        <v>3.11</v>
      </c>
      <c r="AC26" t="s">
        <v>414</v>
      </c>
      <c r="AO26" t="s">
        <v>61</v>
      </c>
      <c r="AP26" t="s">
        <v>60</v>
      </c>
      <c r="AQ26" t="s">
        <v>21</v>
      </c>
      <c r="AR26" t="s">
        <v>14</v>
      </c>
      <c r="AS26">
        <v>597103.01553705905</v>
      </c>
      <c r="AT26">
        <v>671500</v>
      </c>
      <c r="AU26">
        <v>1.1245965646246601</v>
      </c>
      <c r="AV26">
        <v>310.85000000000002</v>
      </c>
      <c r="AW26">
        <v>1920.8718531029699</v>
      </c>
    </row>
    <row r="27" spans="2:49">
      <c r="B27">
        <f t="shared" ref="B27:B34" si="9">INDEX(F$2:F$9,F27)</f>
        <v>2015</v>
      </c>
      <c r="C27" t="str">
        <f t="shared" ref="C27:C34" si="10">INDEX(G$2:G$9,G27)</f>
        <v>GAS_NEW</v>
      </c>
      <c r="D27" t="str">
        <f t="shared" ref="D27:D34" si="11">INDEX(H$2:H$9,H27)</f>
        <v>CH0</v>
      </c>
      <c r="E27" s="26">
        <f t="shared" si="3"/>
        <v>930600</v>
      </c>
      <c r="F27">
        <f t="shared" si="4"/>
        <v>1</v>
      </c>
      <c r="G27">
        <f t="shared" ref="G27:G34" si="12">IF(F27=1,IF(G26=$G$1,1,G26+1),G26)</f>
        <v>3</v>
      </c>
      <c r="H27">
        <f t="shared" ref="H27:H34" si="13">IF(AND(G27=1,G26&gt;1),IF(H26=$H$1,1,H26+1),H26)</f>
        <v>1</v>
      </c>
      <c r="J27" s="200">
        <f t="shared" si="7"/>
        <v>0.01</v>
      </c>
      <c r="K27">
        <f t="shared" si="8"/>
        <v>940000</v>
      </c>
      <c r="AO27" t="s">
        <v>62</v>
      </c>
      <c r="AP27" t="s">
        <v>60</v>
      </c>
      <c r="AQ27" t="s">
        <v>21</v>
      </c>
      <c r="AR27" t="s">
        <v>15</v>
      </c>
      <c r="AS27">
        <v>59924643.071999997</v>
      </c>
      <c r="AT27">
        <v>52679884.504331097</v>
      </c>
      <c r="AU27">
        <v>0.879102182403251</v>
      </c>
      <c r="AV27">
        <v>24038.880000000001</v>
      </c>
      <c r="AW27">
        <v>2492.8217567540601</v>
      </c>
    </row>
    <row r="28" spans="2:49">
      <c r="B28">
        <f t="shared" si="9"/>
        <v>2020</v>
      </c>
      <c r="C28" t="str">
        <f t="shared" si="10"/>
        <v>GAS_NEW</v>
      </c>
      <c r="D28" t="str">
        <f t="shared" si="11"/>
        <v>CH0</v>
      </c>
      <c r="E28" s="26">
        <f t="shared" si="3"/>
        <v>1633500</v>
      </c>
      <c r="F28">
        <f t="shared" si="4"/>
        <v>2</v>
      </c>
      <c r="G28">
        <f t="shared" si="12"/>
        <v>3</v>
      </c>
      <c r="H28">
        <f t="shared" si="13"/>
        <v>1</v>
      </c>
      <c r="J28" s="200">
        <f t="shared" si="7"/>
        <v>0.01</v>
      </c>
      <c r="K28">
        <f t="shared" si="8"/>
        <v>1650000</v>
      </c>
      <c r="AO28" t="s">
        <v>63</v>
      </c>
      <c r="AP28" t="s">
        <v>60</v>
      </c>
      <c r="AQ28" t="s">
        <v>21</v>
      </c>
      <c r="AR28" t="s">
        <v>16</v>
      </c>
      <c r="AS28">
        <v>21900000</v>
      </c>
      <c r="AT28">
        <v>6442574.5589260403</v>
      </c>
      <c r="AU28">
        <v>0.294181486708951</v>
      </c>
      <c r="AV28">
        <v>10236</v>
      </c>
      <c r="AW28">
        <v>2139.50762016413</v>
      </c>
    </row>
    <row r="29" spans="2:49" ht="15">
      <c r="B29">
        <f t="shared" si="9"/>
        <v>2025</v>
      </c>
      <c r="C29" t="str">
        <f t="shared" si="10"/>
        <v>GAS_NEW</v>
      </c>
      <c r="D29" t="str">
        <f t="shared" si="11"/>
        <v>CH0</v>
      </c>
      <c r="E29" s="26">
        <f t="shared" si="3"/>
        <v>2445300</v>
      </c>
      <c r="F29">
        <f t="shared" si="4"/>
        <v>3</v>
      </c>
      <c r="G29">
        <f t="shared" si="12"/>
        <v>3</v>
      </c>
      <c r="H29">
        <f t="shared" si="13"/>
        <v>1</v>
      </c>
      <c r="J29" s="200">
        <f t="shared" si="7"/>
        <v>0.01</v>
      </c>
      <c r="K29">
        <f t="shared" si="8"/>
        <v>2470000</v>
      </c>
      <c r="T29" s="126" t="s">
        <v>126</v>
      </c>
      <c r="U29" s="126">
        <v>2015</v>
      </c>
      <c r="V29" s="126">
        <v>2020</v>
      </c>
      <c r="W29" s="126">
        <v>2025</v>
      </c>
      <c r="X29" s="126">
        <v>2030</v>
      </c>
      <c r="Y29" s="126">
        <v>2035</v>
      </c>
      <c r="Z29" s="126">
        <v>2040</v>
      </c>
      <c r="AA29" s="126">
        <v>2045</v>
      </c>
      <c r="AB29" s="126">
        <v>2050</v>
      </c>
      <c r="AO29" t="s">
        <v>64</v>
      </c>
      <c r="AP29" t="s">
        <v>60</v>
      </c>
      <c r="AQ29" t="s">
        <v>21</v>
      </c>
      <c r="AR29" t="s">
        <v>17</v>
      </c>
      <c r="AS29">
        <v>110230100</v>
      </c>
      <c r="AT29">
        <v>72899700</v>
      </c>
      <c r="AU29">
        <v>0.66134114003343902</v>
      </c>
      <c r="AV29">
        <v>43923.990978955298</v>
      </c>
      <c r="AW29">
        <v>2509.5647627469298</v>
      </c>
    </row>
    <row r="30" spans="2:49">
      <c r="B30">
        <f t="shared" si="9"/>
        <v>2030</v>
      </c>
      <c r="C30" t="str">
        <f t="shared" si="10"/>
        <v>GAS_NEW</v>
      </c>
      <c r="D30" t="str">
        <f t="shared" si="11"/>
        <v>CH0</v>
      </c>
      <c r="E30" s="26">
        <f t="shared" si="3"/>
        <v>3009600</v>
      </c>
      <c r="F30">
        <f t="shared" si="4"/>
        <v>4</v>
      </c>
      <c r="G30">
        <f t="shared" si="12"/>
        <v>3</v>
      </c>
      <c r="H30">
        <f t="shared" si="13"/>
        <v>1</v>
      </c>
      <c r="J30" s="200">
        <f t="shared" si="7"/>
        <v>0.01</v>
      </c>
      <c r="K30">
        <f t="shared" si="8"/>
        <v>3040000</v>
      </c>
      <c r="N30" t="s">
        <v>404</v>
      </c>
      <c r="O30" t="s">
        <v>441</v>
      </c>
      <c r="P30" t="str">
        <f>O30&amp;"."&amp;Q30</f>
        <v>GAS_NEW.POM C&amp;E</v>
      </c>
      <c r="Q30" t="s">
        <v>296</v>
      </c>
      <c r="U30" s="26">
        <f>INDEX(CH!$D$2:$K$37,MATCH($P30,CH!$M$2:$M$37,0),MATCH(U$11,CH!$D$1:$K$1,0))</f>
        <v>154.51532725766401</v>
      </c>
      <c r="V30" s="26">
        <f>INDEX(CH!$D$2:$K$37,MATCH($P30,CH!$M$2:$M$37,0),MATCH(V$11,CH!$D$1:$K$1,0))</f>
        <v>331.67495854062997</v>
      </c>
      <c r="W30" s="26">
        <f>INDEX(CH!$D$2:$K$37,MATCH($P30,CH!$M$2:$M$37,0),MATCH(W$11,CH!$D$1:$K$1,0))</f>
        <v>1039.3864013267</v>
      </c>
      <c r="X30" s="26">
        <f>INDEX(CH!$D$2:$K$37,MATCH($P30,CH!$M$2:$M$37,0),MATCH(X$11,CH!$D$1:$K$1,0))</f>
        <v>1680.624654505247</v>
      </c>
      <c r="Y30" s="26">
        <f>INDEX(CH!$D$2:$K$37,MATCH($P30,CH!$M$2:$M$37,0),MATCH(Y$11,CH!$D$1:$K$1,0))</f>
        <v>3360.69651741294</v>
      </c>
      <c r="Z30" s="26">
        <f>INDEX(CH!$D$2:$K$37,MATCH($P30,CH!$M$2:$M$37,0),MATCH(Z$11,CH!$D$1:$K$1,0))</f>
        <v>3493.2283029297937</v>
      </c>
      <c r="AA30" s="26">
        <f>INDEX(CH!$D$2:$K$37,MATCH($P30,CH!$M$2:$M$37,0),MATCH(AA$11,CH!$D$1:$K$1,0))</f>
        <v>3516.0309563294659</v>
      </c>
      <c r="AB30" s="26">
        <f>INDEX(CH!$D$2:$K$37,MATCH($P30,CH!$M$2:$M$37,0),MATCH(AB$11,CH!$D$1:$K$1,0))</f>
        <v>3449.1431730237746</v>
      </c>
      <c r="AQ30" t="s">
        <v>22</v>
      </c>
      <c r="AR30" t="s">
        <v>12</v>
      </c>
      <c r="AS30">
        <v>0</v>
      </c>
      <c r="AT30">
        <v>0</v>
      </c>
    </row>
    <row r="31" spans="2:49">
      <c r="B31">
        <f t="shared" si="9"/>
        <v>2035</v>
      </c>
      <c r="C31" t="str">
        <f t="shared" si="10"/>
        <v>GAS_NEW</v>
      </c>
      <c r="D31" t="str">
        <f t="shared" si="11"/>
        <v>CH0</v>
      </c>
      <c r="E31" s="26">
        <f t="shared" si="3"/>
        <v>3227400</v>
      </c>
      <c r="F31">
        <f t="shared" si="4"/>
        <v>5</v>
      </c>
      <c r="G31">
        <f t="shared" si="12"/>
        <v>3</v>
      </c>
      <c r="H31">
        <f t="shared" si="13"/>
        <v>1</v>
      </c>
      <c r="J31" s="200">
        <f t="shared" si="7"/>
        <v>0.01</v>
      </c>
      <c r="K31">
        <f t="shared" si="8"/>
        <v>3260000</v>
      </c>
      <c r="N31" t="s">
        <v>404</v>
      </c>
      <c r="O31" t="s">
        <v>441</v>
      </c>
      <c r="P31" t="str">
        <f>O31&amp;"."&amp;Q31</f>
        <v>GAS_NEW.POM C</v>
      </c>
      <c r="Q31" t="s">
        <v>142</v>
      </c>
      <c r="U31" s="26">
        <f>INDEX(CH!$D$2:$K$37,MATCH($P31,CH!$M$2:$M$37,0),MATCH(U$11,CH!$D$1:$K$1,0))</f>
        <v>154.919845218353</v>
      </c>
      <c r="V31" s="26">
        <f>INDEX(CH!$D$2:$K$37,MATCH($P31,CH!$M$2:$M$37,0),MATCH(V$11,CH!$D$1:$K$1,0))</f>
        <v>398.00995024875601</v>
      </c>
      <c r="W31" s="26">
        <f>INDEX(CH!$D$2:$K$37,MATCH($P31,CH!$M$2:$M$37,0),MATCH(W$11,CH!$D$1:$K$1,0))</f>
        <v>1614.2896627971231</v>
      </c>
      <c r="X31" s="26">
        <f>INDEX(CH!$D$2:$K$37,MATCH($P31,CH!$M$2:$M$37,0),MATCH(X$11,CH!$D$1:$K$1,0))</f>
        <v>2211.3045881702569</v>
      </c>
      <c r="Y31" s="26">
        <f>INDEX(CH!$D$2:$K$37,MATCH($P31,CH!$M$2:$M$37,0),MATCH(Y$11,CH!$D$1:$K$1,0))</f>
        <v>3980.2377003869578</v>
      </c>
      <c r="Z31" s="26">
        <f>INDEX(CH!$D$2:$K$37,MATCH($P31,CH!$M$2:$M$37,0),MATCH(Z$11,CH!$D$1:$K$1,0))</f>
        <v>4002.349364289666</v>
      </c>
      <c r="AA31" s="26">
        <f>INDEX(CH!$D$2:$K$37,MATCH($P31,CH!$M$2:$M$37,0),MATCH(AA$11,CH!$D$1:$K$1,0))</f>
        <v>4002.2111663902751</v>
      </c>
      <c r="AB31" s="26">
        <f>INDEX(CH!$D$2:$K$37,MATCH($P31,CH!$M$2:$M$37,0),MATCH(AB$11,CH!$D$1:$K$1,0))</f>
        <v>3979.9613045881661</v>
      </c>
      <c r="AO31" t="s">
        <v>93</v>
      </c>
      <c r="AP31" t="s">
        <v>95</v>
      </c>
      <c r="AQ31" t="s">
        <v>22</v>
      </c>
      <c r="AR31" t="s">
        <v>14</v>
      </c>
      <c r="AS31">
        <v>22095000</v>
      </c>
      <c r="AT31">
        <v>0</v>
      </c>
      <c r="AU31">
        <v>0</v>
      </c>
      <c r="AV31">
        <v>3333</v>
      </c>
      <c r="AW31">
        <v>6629.1629162916297</v>
      </c>
    </row>
    <row r="32" spans="2:49">
      <c r="B32">
        <f t="shared" si="9"/>
        <v>2040</v>
      </c>
      <c r="C32" t="str">
        <f t="shared" si="10"/>
        <v>GAS_NEW</v>
      </c>
      <c r="D32" t="str">
        <f t="shared" si="11"/>
        <v>CH0</v>
      </c>
      <c r="E32" s="26">
        <f t="shared" si="3"/>
        <v>3405600</v>
      </c>
      <c r="F32">
        <f t="shared" si="4"/>
        <v>6</v>
      </c>
      <c r="G32">
        <f t="shared" si="12"/>
        <v>3</v>
      </c>
      <c r="H32">
        <f t="shared" si="13"/>
        <v>1</v>
      </c>
      <c r="J32" s="200">
        <f t="shared" si="7"/>
        <v>0.01</v>
      </c>
      <c r="K32">
        <f t="shared" si="8"/>
        <v>3440000</v>
      </c>
      <c r="N32" t="s">
        <v>404</v>
      </c>
      <c r="O32" t="s">
        <v>441</v>
      </c>
      <c r="P32" t="str">
        <f>O32&amp;"."&amp;Q32</f>
        <v>GAS_NEW.POM E</v>
      </c>
      <c r="Q32" t="s">
        <v>143</v>
      </c>
      <c r="U32" s="26">
        <f>INDEX(CH!$D$2:$K$37,MATCH($P32,CH!$M$2:$M$37,0),MATCH(U$11,CH!$D$1:$K$1,0))</f>
        <v>154.96267625103701</v>
      </c>
      <c r="V32" s="26">
        <f>INDEX(CH!$D$2:$K$37,MATCH($P32,CH!$M$2:$M$37,0),MATCH(V$11,CH!$D$1:$K$1,0))</f>
        <v>309.78711639480201</v>
      </c>
      <c r="W32" s="26">
        <f>INDEX(CH!$D$2:$K$37,MATCH($P32,CH!$M$2:$M$37,0),MATCH(W$11,CH!$D$1:$K$1,0))</f>
        <v>486.59109759469197</v>
      </c>
      <c r="X32" s="26">
        <f>INDEX(CH!$D$2:$K$37,MATCH($P32,CH!$M$2:$M$37,0),MATCH(X$11,CH!$D$1:$K$1,0))</f>
        <v>552.94442908487702</v>
      </c>
      <c r="Y32" s="26">
        <f>INDEX(CH!$D$2:$K$37,MATCH($P32,CH!$M$2:$M$37,0),MATCH(Y$11,CH!$D$1:$K$1,0))</f>
        <v>552.94442908487702</v>
      </c>
      <c r="Z32" s="26">
        <f>INDEX(CH!$D$2:$K$37,MATCH($P32,CH!$M$2:$M$37,0),MATCH(Z$11,CH!$D$1:$K$1,0))</f>
        <v>619.43599668233401</v>
      </c>
      <c r="AA32" s="26">
        <f>INDEX(CH!$D$2:$K$37,MATCH($P32,CH!$M$2:$M$37,0),MATCH(AA$11,CH!$D$1:$K$1,0))</f>
        <v>707.76886922864298</v>
      </c>
      <c r="AB32" s="26">
        <f>INDEX(CH!$D$2:$K$37,MATCH($P32,CH!$M$2:$M$37,0),MATCH(AB$11,CH!$D$1:$K$1,0))</f>
        <v>730.024882499309</v>
      </c>
      <c r="AO32" t="s">
        <v>94</v>
      </c>
      <c r="AP32" t="s">
        <v>95</v>
      </c>
      <c r="AQ32" t="s">
        <v>22</v>
      </c>
      <c r="AR32" t="s">
        <v>15</v>
      </c>
      <c r="AS32">
        <v>86738063.894999996</v>
      </c>
      <c r="AT32">
        <v>0</v>
      </c>
      <c r="AU32">
        <v>0</v>
      </c>
      <c r="AV32">
        <v>10800</v>
      </c>
      <c r="AW32">
        <v>8031.3022124999998</v>
      </c>
    </row>
    <row r="33" spans="2:49">
      <c r="B33">
        <f t="shared" si="9"/>
        <v>2045</v>
      </c>
      <c r="C33" t="str">
        <f t="shared" si="10"/>
        <v>GAS_NEW</v>
      </c>
      <c r="D33" t="str">
        <f t="shared" si="11"/>
        <v>CH0</v>
      </c>
      <c r="E33" s="26">
        <f t="shared" si="3"/>
        <v>3415500</v>
      </c>
      <c r="F33">
        <f t="shared" si="4"/>
        <v>7</v>
      </c>
      <c r="G33">
        <f t="shared" si="12"/>
        <v>3</v>
      </c>
      <c r="H33">
        <f t="shared" si="13"/>
        <v>1</v>
      </c>
      <c r="J33" s="200">
        <f t="shared" si="7"/>
        <v>0.01</v>
      </c>
      <c r="K33">
        <f t="shared" si="8"/>
        <v>3450000</v>
      </c>
      <c r="AO33" t="s">
        <v>96</v>
      </c>
      <c r="AP33" t="s">
        <v>95</v>
      </c>
      <c r="AQ33" t="s">
        <v>22</v>
      </c>
      <c r="AR33" t="s">
        <v>16</v>
      </c>
      <c r="AS33">
        <v>416795000</v>
      </c>
      <c r="AT33">
        <v>0</v>
      </c>
      <c r="AU33">
        <v>0</v>
      </c>
      <c r="AV33">
        <v>63130</v>
      </c>
      <c r="AW33">
        <v>6602.1701251386003</v>
      </c>
    </row>
    <row r="34" spans="2:49">
      <c r="B34">
        <f t="shared" si="9"/>
        <v>2050</v>
      </c>
      <c r="C34" t="str">
        <f t="shared" si="10"/>
        <v>GAS_NEW</v>
      </c>
      <c r="D34" t="str">
        <f t="shared" si="11"/>
        <v>CH0</v>
      </c>
      <c r="E34" s="26">
        <f t="shared" si="3"/>
        <v>3415500</v>
      </c>
      <c r="F34">
        <f t="shared" si="4"/>
        <v>8</v>
      </c>
      <c r="G34">
        <f t="shared" si="12"/>
        <v>3</v>
      </c>
      <c r="H34">
        <f t="shared" si="13"/>
        <v>1</v>
      </c>
      <c r="J34" s="200">
        <f t="shared" si="7"/>
        <v>0.01</v>
      </c>
      <c r="K34">
        <f t="shared" si="8"/>
        <v>3450000</v>
      </c>
      <c r="M34" t="s">
        <v>441</v>
      </c>
      <c r="N34" t="s">
        <v>415</v>
      </c>
      <c r="O34" t="s">
        <v>442</v>
      </c>
      <c r="Q34" t="s">
        <v>296</v>
      </c>
      <c r="U34" s="156">
        <f t="shared" ref="U34:AB36" si="14">1000000*SUMIFS(U$12:U$26,$O$12:$O$26,$O34,$Q$12:$Q$26,$Q34)</f>
        <v>940000</v>
      </c>
      <c r="V34" s="156">
        <f t="shared" si="14"/>
        <v>1650000</v>
      </c>
      <c r="W34" s="156">
        <f t="shared" si="14"/>
        <v>2470000</v>
      </c>
      <c r="X34" s="156">
        <f t="shared" si="14"/>
        <v>3040000</v>
      </c>
      <c r="Y34" s="156">
        <f t="shared" si="14"/>
        <v>3260000</v>
      </c>
      <c r="Z34" s="156">
        <f t="shared" si="14"/>
        <v>3440000</v>
      </c>
      <c r="AA34" s="156">
        <f t="shared" si="14"/>
        <v>3450000</v>
      </c>
      <c r="AB34" s="156">
        <f t="shared" si="14"/>
        <v>3450000</v>
      </c>
      <c r="AQ34" t="s">
        <v>22</v>
      </c>
      <c r="AR34" t="s">
        <v>17</v>
      </c>
      <c r="AS34">
        <v>0</v>
      </c>
      <c r="AT34">
        <v>0</v>
      </c>
    </row>
    <row r="35" spans="2:49">
      <c r="E35" s="26"/>
      <c r="N35" t="s">
        <v>415</v>
      </c>
      <c r="O35" t="s">
        <v>442</v>
      </c>
      <c r="Q35" t="s">
        <v>142</v>
      </c>
      <c r="U35" s="156">
        <f t="shared" si="14"/>
        <v>890000</v>
      </c>
      <c r="V35" s="156">
        <f t="shared" si="14"/>
        <v>1490000</v>
      </c>
      <c r="W35" s="156">
        <f t="shared" si="14"/>
        <v>2200000</v>
      </c>
      <c r="X35" s="156">
        <f t="shared" si="14"/>
        <v>2700000</v>
      </c>
      <c r="Y35" s="156">
        <f t="shared" si="14"/>
        <v>2920000</v>
      </c>
      <c r="Z35" s="156">
        <f t="shared" si="14"/>
        <v>3100000</v>
      </c>
      <c r="AA35" s="156">
        <f t="shared" si="14"/>
        <v>3110000</v>
      </c>
      <c r="AB35" s="156">
        <f t="shared" si="14"/>
        <v>3110000</v>
      </c>
      <c r="AO35" t="s">
        <v>103</v>
      </c>
      <c r="AP35" t="s">
        <v>105</v>
      </c>
      <c r="AQ35" t="s">
        <v>131</v>
      </c>
      <c r="AR35" t="s">
        <v>12</v>
      </c>
      <c r="AS35">
        <v>937098</v>
      </c>
      <c r="AT35">
        <v>0</v>
      </c>
      <c r="AU35">
        <v>0</v>
      </c>
      <c r="AV35">
        <v>931.56299999999999</v>
      </c>
      <c r="AW35">
        <v>1005.94162713633</v>
      </c>
    </row>
    <row r="36" spans="2:49">
      <c r="E36" s="26"/>
      <c r="N36" t="s">
        <v>415</v>
      </c>
      <c r="O36" t="s">
        <v>442</v>
      </c>
      <c r="Q36" t="s">
        <v>143</v>
      </c>
      <c r="U36" s="156">
        <f t="shared" si="14"/>
        <v>940000</v>
      </c>
      <c r="V36" s="156">
        <f t="shared" si="14"/>
        <v>1650000</v>
      </c>
      <c r="W36" s="156">
        <f t="shared" si="14"/>
        <v>2470000</v>
      </c>
      <c r="X36" s="156">
        <f t="shared" si="14"/>
        <v>3040000</v>
      </c>
      <c r="Y36" s="156">
        <f t="shared" si="14"/>
        <v>3260000</v>
      </c>
      <c r="Z36" s="156">
        <f t="shared" si="14"/>
        <v>3440000</v>
      </c>
      <c r="AA36" s="156">
        <f t="shared" si="14"/>
        <v>3450000</v>
      </c>
      <c r="AB36" s="156">
        <f t="shared" si="14"/>
        <v>3450000</v>
      </c>
      <c r="AO36" t="s">
        <v>104</v>
      </c>
      <c r="AP36" t="s">
        <v>105</v>
      </c>
      <c r="AQ36" t="s">
        <v>131</v>
      </c>
      <c r="AR36" t="s">
        <v>14</v>
      </c>
      <c r="AS36">
        <v>1118550</v>
      </c>
      <c r="AT36">
        <v>0</v>
      </c>
      <c r="AU36">
        <v>0</v>
      </c>
      <c r="AV36">
        <v>1390.1</v>
      </c>
      <c r="AW36">
        <v>804.65434141428705</v>
      </c>
    </row>
    <row r="37" spans="2:49">
      <c r="E37" s="26"/>
      <c r="AO37" t="s">
        <v>106</v>
      </c>
      <c r="AP37" t="s">
        <v>105</v>
      </c>
      <c r="AQ37" t="s">
        <v>131</v>
      </c>
      <c r="AR37" t="s">
        <v>15</v>
      </c>
      <c r="AS37">
        <v>38726000</v>
      </c>
      <c r="AT37">
        <v>0</v>
      </c>
      <c r="AU37">
        <v>0</v>
      </c>
      <c r="AV37">
        <v>39224</v>
      </c>
      <c r="AW37">
        <v>987.30369161737701</v>
      </c>
    </row>
    <row r="38" spans="2:49">
      <c r="N38" t="s">
        <v>416</v>
      </c>
      <c r="O38" t="s">
        <v>442</v>
      </c>
      <c r="Q38" t="s">
        <v>296</v>
      </c>
      <c r="W38" s="155">
        <f>W34/W30</f>
        <v>2376.4020741922614</v>
      </c>
      <c r="X38" s="155">
        <f t="shared" ref="X38:AB38" si="15">X34/X30</f>
        <v>1808.8512457857132</v>
      </c>
      <c r="Y38" s="155">
        <f t="shared" si="15"/>
        <v>970.03700962250048</v>
      </c>
      <c r="Z38" s="155">
        <f t="shared" si="15"/>
        <v>984.76243225066321</v>
      </c>
      <c r="AA38" s="155">
        <f t="shared" si="15"/>
        <v>981.22002987186488</v>
      </c>
      <c r="AB38" s="155">
        <f t="shared" si="15"/>
        <v>1000.2484173411318</v>
      </c>
      <c r="AO38" t="s">
        <v>107</v>
      </c>
      <c r="AP38" t="s">
        <v>105</v>
      </c>
      <c r="AQ38" t="s">
        <v>131</v>
      </c>
      <c r="AR38" t="s">
        <v>16</v>
      </c>
      <c r="AS38">
        <v>7262000</v>
      </c>
      <c r="AT38">
        <v>0</v>
      </c>
      <c r="AU38">
        <v>0</v>
      </c>
      <c r="AV38">
        <v>6196.2</v>
      </c>
      <c r="AW38">
        <v>1172.00865046319</v>
      </c>
    </row>
    <row r="39" spans="2:49">
      <c r="F39">
        <f>COUNTA(F40:F47)</f>
        <v>8</v>
      </c>
      <c r="G39">
        <f>COUNTA(G40:G47)</f>
        <v>4</v>
      </c>
      <c r="H39">
        <f>COUNTA(H40:H47)</f>
        <v>3</v>
      </c>
      <c r="N39" t="s">
        <v>416</v>
      </c>
      <c r="O39" t="s">
        <v>442</v>
      </c>
      <c r="Q39" t="s">
        <v>142</v>
      </c>
      <c r="W39" s="155">
        <f t="shared" ref="W39:AB39" si="16">W35/W31</f>
        <v>1362.8285249550572</v>
      </c>
      <c r="X39" s="155">
        <f t="shared" si="16"/>
        <v>1220.9986875820277</v>
      </c>
      <c r="Y39" s="155">
        <f t="shared" si="16"/>
        <v>733.62452692614772</v>
      </c>
      <c r="Z39" s="155">
        <f t="shared" si="16"/>
        <v>774.54507786333284</v>
      </c>
      <c r="AA39" s="155">
        <f t="shared" si="16"/>
        <v>777.07044198894948</v>
      </c>
      <c r="AB39" s="155">
        <f t="shared" si="16"/>
        <v>781.41463245251657</v>
      </c>
      <c r="AO39" t="s">
        <v>108</v>
      </c>
      <c r="AP39" t="s">
        <v>105</v>
      </c>
      <c r="AQ39" t="s">
        <v>131</v>
      </c>
      <c r="AR39" t="s">
        <v>17</v>
      </c>
      <c r="AS39">
        <v>22942200</v>
      </c>
      <c r="AT39">
        <v>0</v>
      </c>
      <c r="AU39">
        <v>0</v>
      </c>
      <c r="AV39">
        <v>18900.79</v>
      </c>
      <c r="AW39">
        <v>1213.8222793862101</v>
      </c>
    </row>
    <row r="40" spans="2:49">
      <c r="F40">
        <v>2015</v>
      </c>
      <c r="G40" t="s">
        <v>60</v>
      </c>
      <c r="H40" t="s">
        <v>12</v>
      </c>
      <c r="N40" t="s">
        <v>416</v>
      </c>
      <c r="O40" t="s">
        <v>442</v>
      </c>
      <c r="Q40" t="s">
        <v>143</v>
      </c>
      <c r="W40" s="155">
        <f t="shared" ref="W40:AB40" si="17">W36/W32</f>
        <v>5076.1306818181793</v>
      </c>
      <c r="X40" s="155">
        <f t="shared" si="17"/>
        <v>5497.8399999999992</v>
      </c>
      <c r="Y40" s="155">
        <f t="shared" si="17"/>
        <v>5895.7099999999991</v>
      </c>
      <c r="Z40" s="155">
        <f t="shared" si="17"/>
        <v>5553.438964516844</v>
      </c>
      <c r="AA40" s="155">
        <f t="shared" si="17"/>
        <v>4874.4726562499964</v>
      </c>
      <c r="AB40" s="155">
        <f t="shared" si="17"/>
        <v>4725.8663131982566</v>
      </c>
      <c r="AO40" t="s">
        <v>86</v>
      </c>
      <c r="AP40" t="s">
        <v>85</v>
      </c>
      <c r="AQ40" t="s">
        <v>132</v>
      </c>
      <c r="AR40" t="s">
        <v>12</v>
      </c>
      <c r="AS40">
        <v>3847637.8580743899</v>
      </c>
      <c r="AT40">
        <v>0</v>
      </c>
      <c r="AU40">
        <v>0</v>
      </c>
      <c r="AV40">
        <v>4000.53958894879</v>
      </c>
      <c r="AW40">
        <v>961.77972309116001</v>
      </c>
    </row>
    <row r="41" spans="2:49">
      <c r="F41">
        <v>2020</v>
      </c>
      <c r="G41" t="s">
        <v>100</v>
      </c>
      <c r="H41" t="s">
        <v>17</v>
      </c>
      <c r="AO41" t="s">
        <v>87</v>
      </c>
      <c r="AP41" t="s">
        <v>85</v>
      </c>
      <c r="AQ41" t="s">
        <v>132</v>
      </c>
      <c r="AR41" t="s">
        <v>14</v>
      </c>
      <c r="AS41">
        <v>1722000</v>
      </c>
      <c r="AT41">
        <v>0</v>
      </c>
      <c r="AU41">
        <v>0</v>
      </c>
      <c r="AV41">
        <v>1898.3</v>
      </c>
      <c r="AW41">
        <v>907.12742980561598</v>
      </c>
    </row>
    <row r="42" spans="2:49">
      <c r="F42">
        <v>2025</v>
      </c>
      <c r="G42" t="s">
        <v>70</v>
      </c>
      <c r="H42" t="s">
        <v>16</v>
      </c>
      <c r="AO42" t="s">
        <v>88</v>
      </c>
      <c r="AP42" t="s">
        <v>85</v>
      </c>
      <c r="AQ42" t="s">
        <v>132</v>
      </c>
      <c r="AR42" t="s">
        <v>15</v>
      </c>
      <c r="AS42">
        <v>5921000</v>
      </c>
      <c r="AT42">
        <v>0</v>
      </c>
      <c r="AU42">
        <v>0</v>
      </c>
      <c r="AV42">
        <v>8149.2</v>
      </c>
      <c r="AW42">
        <v>726.57438766995494</v>
      </c>
    </row>
    <row r="43" spans="2:49">
      <c r="F43">
        <v>2030</v>
      </c>
      <c r="G43" t="s">
        <v>441</v>
      </c>
      <c r="N43" t="s">
        <v>404</v>
      </c>
      <c r="O43" t="s">
        <v>100</v>
      </c>
      <c r="P43" t="str">
        <f>O43&amp;"."&amp;Q43</f>
        <v>OIL_LIN.POM C&amp;E</v>
      </c>
      <c r="Q43" t="s">
        <v>296</v>
      </c>
      <c r="T43">
        <f>SUMIFS($AV$7:$AV$74,$AR$7:$AR$74,"CH0",$AP$7:$AP$74,$O43)</f>
        <v>75</v>
      </c>
      <c r="U43" s="26">
        <f>INDEX(CH!$D$2:$K$37,MATCH($P43,CH!$M$2:$M$37,0),MATCH(U$11,CH!$D$1:$K$1,0))</f>
        <v>64.416256129340994</v>
      </c>
      <c r="V43" s="26">
        <f>INDEX(CH!$D$2:$K$37,MATCH($P43,CH!$M$2:$M$37,0),MATCH(V$11,CH!$D$1:$K$1,0))</f>
        <v>64.469669277043536</v>
      </c>
      <c r="W43" s="26">
        <f>INDEX(CH!$D$2:$K$37,MATCH($P43,CH!$M$2:$M$37,0),MATCH(W$11,CH!$D$1:$K$1,0))</f>
        <v>30.058983300421602</v>
      </c>
      <c r="X43" s="26">
        <f>INDEX(CH!$D$2:$K$37,MATCH($P43,CH!$M$2:$M$37,0),MATCH(X$11,CH!$D$1:$K$1,0))</f>
        <v>17.165049445012855</v>
      </c>
      <c r="Y43" s="26">
        <f>INDEX(CH!$D$2:$K$37,MATCH($P43,CH!$M$2:$M$37,0),MATCH(Y$11,CH!$D$1:$K$1,0))</f>
        <v>17.138187082814092</v>
      </c>
      <c r="Z43" s="26">
        <f>INDEX(CH!$D$2:$K$37,MATCH($P43,CH!$M$2:$M$37,0),MATCH(Z$11,CH!$D$1:$K$1,0))</f>
        <v>0</v>
      </c>
      <c r="AA43" s="26">
        <f>INDEX(CH!$D$2:$K$37,MATCH($P43,CH!$M$2:$M$37,0),MATCH(AA$11,CH!$D$1:$K$1,0))</f>
        <v>0</v>
      </c>
      <c r="AB43" s="26">
        <f>INDEX(CH!$D$2:$K$37,MATCH($P43,CH!$M$2:$M$37,0),MATCH(AB$11,CH!$D$1:$K$1,0))</f>
        <v>0</v>
      </c>
      <c r="AO43" t="s">
        <v>89</v>
      </c>
      <c r="AP43" t="s">
        <v>85</v>
      </c>
      <c r="AQ43" t="s">
        <v>132</v>
      </c>
      <c r="AR43" t="s">
        <v>16</v>
      </c>
      <c r="AS43">
        <v>4896000</v>
      </c>
      <c r="AT43">
        <v>0</v>
      </c>
      <c r="AU43">
        <v>0</v>
      </c>
      <c r="AV43">
        <v>4965</v>
      </c>
      <c r="AW43">
        <v>986.10271903323303</v>
      </c>
    </row>
    <row r="44" spans="2:49">
      <c r="F44">
        <v>2035</v>
      </c>
      <c r="N44" t="s">
        <v>404</v>
      </c>
      <c r="O44" t="s">
        <v>60</v>
      </c>
      <c r="P44" t="str">
        <f>O44&amp;"."&amp;Q44</f>
        <v>GAS_LIN.POM C&amp;E</v>
      </c>
      <c r="Q44" t="s">
        <v>296</v>
      </c>
      <c r="T44">
        <f>SUMIFS($AV$7:$AV$74,$AR$7:$AR$74,"CH0",$AP$7:$AP$74,$O44)</f>
        <v>310.85000000000002</v>
      </c>
      <c r="U44" s="26">
        <f>INDEX(CH!$D$2:$K$37,MATCH($P44,CH!$M$2:$M$37,0),MATCH(U$11,CH!$D$1:$K$1,0))</f>
        <v>266.98390957074196</v>
      </c>
      <c r="V44" s="26">
        <f>INDEX(CH!$D$2:$K$37,MATCH($P44,CH!$M$2:$M$37,0),MATCH(V$11,CH!$D$1:$K$1,0))</f>
        <v>267.20528926358645</v>
      </c>
      <c r="W44" s="26">
        <f>INDEX(CH!$D$2:$K$37,MATCH($P44,CH!$M$2:$M$37,0),MATCH(W$11,CH!$D$1:$K$1,0))</f>
        <v>124.58446611914741</v>
      </c>
      <c r="X44" s="26">
        <f>INDEX(CH!$D$2:$K$37,MATCH($P44,CH!$M$2:$M$37,0),MATCH(X$11,CH!$D$1:$K$1,0))</f>
        <v>71.143408266429944</v>
      </c>
      <c r="Y44" s="26">
        <f>INDEX(CH!$D$2:$K$37,MATCH($P44,CH!$M$2:$M$37,0),MATCH(Y$11,CH!$D$1:$K$1,0))</f>
        <v>71.032072729236802</v>
      </c>
      <c r="Z44" s="26">
        <f>INDEX(CH!$D$2:$K$37,MATCH($P44,CH!$M$2:$M$37,0),MATCH(Z$11,CH!$D$1:$K$1,0))</f>
        <v>0</v>
      </c>
      <c r="AA44" s="26">
        <f>INDEX(CH!$D$2:$K$37,MATCH($P44,CH!$M$2:$M$37,0),MATCH(AA$11,CH!$D$1:$K$1,0))</f>
        <v>0</v>
      </c>
      <c r="AB44" s="26">
        <f>INDEX(CH!$D$2:$K$37,MATCH($P44,CH!$M$2:$M$37,0),MATCH(AB$11,CH!$D$1:$K$1,0))</f>
        <v>0</v>
      </c>
      <c r="AO44" t="s">
        <v>90</v>
      </c>
      <c r="AP44" t="s">
        <v>85</v>
      </c>
      <c r="AQ44" t="s">
        <v>132</v>
      </c>
      <c r="AR44" t="s">
        <v>17</v>
      </c>
      <c r="AS44">
        <v>1432100</v>
      </c>
      <c r="AT44">
        <v>0</v>
      </c>
      <c r="AU44">
        <v>0</v>
      </c>
      <c r="AV44">
        <v>3795.9</v>
      </c>
      <c r="AW44">
        <v>377.27548144050201</v>
      </c>
    </row>
    <row r="45" spans="2:49">
      <c r="F45">
        <v>2040</v>
      </c>
      <c r="AO45" t="s">
        <v>73</v>
      </c>
      <c r="AP45" t="s">
        <v>75</v>
      </c>
      <c r="AQ45" t="s">
        <v>25</v>
      </c>
      <c r="AR45" t="s">
        <v>12</v>
      </c>
      <c r="AS45">
        <v>9350141.4459256101</v>
      </c>
      <c r="AT45">
        <v>0</v>
      </c>
      <c r="AU45">
        <v>0</v>
      </c>
      <c r="AV45">
        <v>3992.46041105121</v>
      </c>
      <c r="AW45">
        <v>2341.9496959930302</v>
      </c>
    </row>
    <row r="46" spans="2:49">
      <c r="F46">
        <v>2045</v>
      </c>
      <c r="M46" t="s">
        <v>100</v>
      </c>
      <c r="N46" t="s">
        <v>417</v>
      </c>
      <c r="O46" t="s">
        <v>100</v>
      </c>
      <c r="T46" s="156">
        <f>SUMIFS($AT$7:$AT$74,$AR$7:$AR$74,"CH0",$AP$7:$AP$74,$O46)</f>
        <v>22800</v>
      </c>
      <c r="U46" s="156">
        <f t="shared" ref="U46:AB46" si="18">U43*$T49</f>
        <v>19582.54186331966</v>
      </c>
      <c r="V46" s="156">
        <f t="shared" si="18"/>
        <v>19598.779460221234</v>
      </c>
      <c r="W46" s="156">
        <f t="shared" si="18"/>
        <v>9137.9309233281674</v>
      </c>
      <c r="X46" s="156">
        <f t="shared" si="18"/>
        <v>5218.1750312839076</v>
      </c>
      <c r="Y46" s="156">
        <f t="shared" si="18"/>
        <v>5210.008873175484</v>
      </c>
      <c r="Z46" s="156">
        <f t="shared" si="18"/>
        <v>0</v>
      </c>
      <c r="AA46" s="156">
        <f t="shared" si="18"/>
        <v>0</v>
      </c>
      <c r="AB46" s="156">
        <f t="shared" si="18"/>
        <v>0</v>
      </c>
      <c r="AO46" t="s">
        <v>74</v>
      </c>
      <c r="AP46" t="s">
        <v>75</v>
      </c>
      <c r="AQ46" t="s">
        <v>25</v>
      </c>
      <c r="AR46" t="s">
        <v>14</v>
      </c>
      <c r="AS46">
        <v>21169000</v>
      </c>
      <c r="AT46">
        <v>0</v>
      </c>
      <c r="AU46">
        <v>0</v>
      </c>
      <c r="AV46">
        <v>7559.2</v>
      </c>
      <c r="AW46">
        <v>2800.42861678485</v>
      </c>
    </row>
    <row r="47" spans="2:49">
      <c r="F47">
        <v>2050</v>
      </c>
      <c r="M47" t="s">
        <v>60</v>
      </c>
      <c r="N47" t="s">
        <v>417</v>
      </c>
      <c r="O47" t="s">
        <v>60</v>
      </c>
      <c r="T47" s="156">
        <f>SUMIFS($AT$7:$AT$74,$AR$7:$AR$74,"CH0",$AP$7:$AP$74,$O47)</f>
        <v>671500</v>
      </c>
      <c r="U47" s="156">
        <f t="shared" ref="U47:AB47" si="19">U44*$T50</f>
        <v>576740.21321136632</v>
      </c>
      <c r="V47" s="156">
        <f t="shared" si="19"/>
        <v>577218.43892712973</v>
      </c>
      <c r="W47" s="156">
        <f t="shared" si="19"/>
        <v>269128.09714977472</v>
      </c>
      <c r="X47" s="156">
        <f t="shared" si="19"/>
        <v>153684.40936434842</v>
      </c>
      <c r="Y47" s="156">
        <f t="shared" si="19"/>
        <v>153443.90168146216</v>
      </c>
      <c r="Z47" s="156">
        <f t="shared" si="19"/>
        <v>0</v>
      </c>
      <c r="AA47" s="156">
        <f t="shared" si="19"/>
        <v>0</v>
      </c>
      <c r="AB47" s="156">
        <f t="shared" si="19"/>
        <v>0</v>
      </c>
      <c r="AO47" t="s">
        <v>76</v>
      </c>
      <c r="AP47" t="s">
        <v>75</v>
      </c>
      <c r="AQ47" t="s">
        <v>25</v>
      </c>
      <c r="AR47" t="s">
        <v>15</v>
      </c>
      <c r="AS47">
        <v>987626.25370606501</v>
      </c>
      <c r="AT47">
        <v>0</v>
      </c>
      <c r="AU47">
        <v>0</v>
      </c>
      <c r="AV47">
        <v>1543.5</v>
      </c>
      <c r="AW47">
        <v>639.86151843606399</v>
      </c>
    </row>
    <row r="48" spans="2:49">
      <c r="AO48" t="s">
        <v>77</v>
      </c>
      <c r="AP48" t="s">
        <v>75</v>
      </c>
      <c r="AQ48" t="s">
        <v>25</v>
      </c>
      <c r="AR48" t="s">
        <v>16</v>
      </c>
      <c r="AS48">
        <v>16337343.5789703</v>
      </c>
      <c r="AT48">
        <v>0</v>
      </c>
      <c r="AU48">
        <v>0</v>
      </c>
      <c r="AV48">
        <v>8214</v>
      </c>
      <c r="AW48">
        <v>1988.9631822461999</v>
      </c>
    </row>
    <row r="49" spans="2:49">
      <c r="B49">
        <f t="shared" ref="B49:B80" si="20">INDEX(F$40:F$47,F49)</f>
        <v>2015</v>
      </c>
      <c r="C49" t="str">
        <f t="shared" ref="C49:C80" si="21">INDEX(G$40:G$47,G49)</f>
        <v>GAS_LIN</v>
      </c>
      <c r="D49" t="str">
        <f t="shared" ref="D49:D80" si="22">INDEX(H$40:H$47,H49)</f>
        <v>AT0</v>
      </c>
      <c r="E49" s="26">
        <f>K49*(1-J49)</f>
        <v>4970233.2014922695</v>
      </c>
      <c r="F49">
        <v>1</v>
      </c>
      <c r="G49">
        <v>1</v>
      </c>
      <c r="H49">
        <v>1</v>
      </c>
      <c r="J49" s="200">
        <f t="shared" ref="J49:J112" si="23">INDEX($AF$59:$AF$96,MATCH(C49,$AE$59:$AE$96,0))</f>
        <v>0.01</v>
      </c>
      <c r="K49">
        <f>INDEX($P$86:$Z$212,MATCH(C49&amp;"."&amp;D49,$M$86:$M$212,0),MATCH(B49,$P$80:$Z$80,0))</f>
        <v>5020437.5772649189</v>
      </c>
      <c r="N49" t="s">
        <v>416</v>
      </c>
      <c r="O49" t="s">
        <v>100</v>
      </c>
      <c r="T49">
        <f>T46/T43</f>
        <v>304</v>
      </c>
      <c r="AO49" t="s">
        <v>78</v>
      </c>
      <c r="AP49" t="s">
        <v>75</v>
      </c>
      <c r="AQ49" t="s">
        <v>25</v>
      </c>
      <c r="AR49" t="s">
        <v>17</v>
      </c>
      <c r="AS49">
        <v>24618600</v>
      </c>
      <c r="AT49">
        <v>0</v>
      </c>
      <c r="AU49">
        <v>0</v>
      </c>
      <c r="AV49">
        <v>13220.9</v>
      </c>
      <c r="AW49">
        <v>1862.09713408316</v>
      </c>
    </row>
    <row r="50" spans="2:49">
      <c r="B50">
        <f t="shared" si="20"/>
        <v>2020</v>
      </c>
      <c r="C50" t="str">
        <f t="shared" si="21"/>
        <v>GAS_LIN</v>
      </c>
      <c r="D50" t="str">
        <f t="shared" si="22"/>
        <v>AT0</v>
      </c>
      <c r="E50" s="26">
        <f t="shared" ref="E50:E113" si="24">K50*(1-J50)</f>
        <v>4303040.9727544188</v>
      </c>
      <c r="F50">
        <f t="shared" ref="F50:F81" si="25">IF(F49=$F$39,1,F49+1)</f>
        <v>2</v>
      </c>
      <c r="G50">
        <f t="shared" ref="G50:G81" si="26">IF(F50=1,IF(G49=$G$39,1,G49+1),G49)</f>
        <v>1</v>
      </c>
      <c r="H50">
        <f t="shared" ref="H50:H81" si="27">IF(AND(G50=1,G49&gt;1),IF(H49=$H$39,1,H49+1),H49)</f>
        <v>1</v>
      </c>
      <c r="J50" s="200">
        <f t="shared" si="23"/>
        <v>0.01</v>
      </c>
      <c r="K50">
        <f t="shared" ref="K50:K113" si="28">INDEX($P$86:$Z$212,MATCH(C50&amp;"."&amp;D50,$M$86:$M$212,0),MATCH(B50,$P$80:$Z$80,0))</f>
        <v>4346506.0330852717</v>
      </c>
      <c r="N50" t="s">
        <v>416</v>
      </c>
      <c r="O50" t="s">
        <v>60</v>
      </c>
      <c r="T50">
        <f>T47/T44</f>
        <v>2160.2058870838023</v>
      </c>
      <c r="AO50" t="s">
        <v>79</v>
      </c>
      <c r="AP50" t="s">
        <v>80</v>
      </c>
      <c r="AQ50" t="s">
        <v>26</v>
      </c>
      <c r="AR50" t="s">
        <v>12</v>
      </c>
      <c r="AS50">
        <v>26717190.677999999</v>
      </c>
      <c r="AT50">
        <v>0</v>
      </c>
      <c r="AU50">
        <v>0</v>
      </c>
      <c r="AV50">
        <v>5656</v>
      </c>
      <c r="AW50">
        <v>4723.6900067185297</v>
      </c>
    </row>
    <row r="51" spans="2:49">
      <c r="B51">
        <f t="shared" si="20"/>
        <v>2025</v>
      </c>
      <c r="C51" t="str">
        <f t="shared" si="21"/>
        <v>GAS_LIN</v>
      </c>
      <c r="D51" t="str">
        <f t="shared" si="22"/>
        <v>AT0</v>
      </c>
      <c r="E51" s="26">
        <f t="shared" si="24"/>
        <v>3897603.1430640556</v>
      </c>
      <c r="F51">
        <f t="shared" si="25"/>
        <v>3</v>
      </c>
      <c r="G51">
        <f t="shared" si="26"/>
        <v>1</v>
      </c>
      <c r="H51">
        <f t="shared" si="27"/>
        <v>1</v>
      </c>
      <c r="J51" s="200">
        <f t="shared" si="23"/>
        <v>0.01</v>
      </c>
      <c r="K51">
        <f t="shared" si="28"/>
        <v>3936972.8717818744</v>
      </c>
      <c r="AO51" t="s">
        <v>81</v>
      </c>
      <c r="AP51" t="s">
        <v>80</v>
      </c>
      <c r="AQ51" t="s">
        <v>26</v>
      </c>
      <c r="AR51" t="s">
        <v>14</v>
      </c>
      <c r="AS51">
        <v>16595000</v>
      </c>
      <c r="AT51">
        <v>0</v>
      </c>
      <c r="AU51">
        <v>0</v>
      </c>
      <c r="AV51">
        <v>4157.78</v>
      </c>
      <c r="AW51">
        <v>3991.31267166613</v>
      </c>
    </row>
    <row r="52" spans="2:49">
      <c r="B52">
        <f t="shared" si="20"/>
        <v>2030</v>
      </c>
      <c r="C52" t="str">
        <f t="shared" si="21"/>
        <v>GAS_LIN</v>
      </c>
      <c r="D52" t="str">
        <f t="shared" si="22"/>
        <v>AT0</v>
      </c>
      <c r="E52" s="26">
        <f t="shared" si="24"/>
        <v>3540963.9804006894</v>
      </c>
      <c r="F52">
        <f t="shared" si="25"/>
        <v>4</v>
      </c>
      <c r="G52">
        <f t="shared" si="26"/>
        <v>1</v>
      </c>
      <c r="H52">
        <f t="shared" si="27"/>
        <v>1</v>
      </c>
      <c r="J52" s="200">
        <f t="shared" si="23"/>
        <v>0.01</v>
      </c>
      <c r="K52">
        <f t="shared" si="28"/>
        <v>3576731.2933340296</v>
      </c>
      <c r="AO52" t="s">
        <v>82</v>
      </c>
      <c r="AP52" t="s">
        <v>80</v>
      </c>
      <c r="AQ52" t="s">
        <v>26</v>
      </c>
      <c r="AR52" t="s">
        <v>15</v>
      </c>
      <c r="AS52">
        <v>17989532.626293901</v>
      </c>
      <c r="AT52">
        <v>0</v>
      </c>
      <c r="AU52">
        <v>0</v>
      </c>
      <c r="AV52">
        <v>3842.2</v>
      </c>
      <c r="AW52">
        <v>4682.0916730763502</v>
      </c>
    </row>
    <row r="53" spans="2:49">
      <c r="B53">
        <f t="shared" si="20"/>
        <v>2035</v>
      </c>
      <c r="C53" t="str">
        <f t="shared" si="21"/>
        <v>GAS_LIN</v>
      </c>
      <c r="D53" t="str">
        <f t="shared" si="22"/>
        <v>AT0</v>
      </c>
      <c r="E53" s="26">
        <f t="shared" si="24"/>
        <v>3800089.6484266873</v>
      </c>
      <c r="F53">
        <f t="shared" si="25"/>
        <v>5</v>
      </c>
      <c r="G53">
        <f t="shared" si="26"/>
        <v>1</v>
      </c>
      <c r="H53">
        <f t="shared" si="27"/>
        <v>1</v>
      </c>
      <c r="J53" s="200">
        <f t="shared" si="23"/>
        <v>0.01</v>
      </c>
      <c r="K53">
        <f t="shared" si="28"/>
        <v>3838474.3923501894</v>
      </c>
      <c r="AO53" t="s">
        <v>83</v>
      </c>
      <c r="AP53" t="s">
        <v>80</v>
      </c>
      <c r="AQ53" t="s">
        <v>26</v>
      </c>
      <c r="AR53" t="s">
        <v>16</v>
      </c>
      <c r="AS53">
        <v>42336656.421029702</v>
      </c>
      <c r="AT53">
        <v>0</v>
      </c>
      <c r="AU53">
        <v>0</v>
      </c>
      <c r="AV53">
        <v>10322.333333</v>
      </c>
      <c r="AW53">
        <v>4101.4618551099702</v>
      </c>
    </row>
    <row r="54" spans="2:49">
      <c r="B54">
        <f t="shared" si="20"/>
        <v>2040</v>
      </c>
      <c r="C54" t="str">
        <f t="shared" si="21"/>
        <v>GAS_LIN</v>
      </c>
      <c r="D54" t="str">
        <f t="shared" si="22"/>
        <v>AT0</v>
      </c>
      <c r="E54" s="26">
        <f t="shared" si="24"/>
        <v>3715593.8550201934</v>
      </c>
      <c r="F54">
        <f t="shared" si="25"/>
        <v>6</v>
      </c>
      <c r="G54">
        <f t="shared" si="26"/>
        <v>1</v>
      </c>
      <c r="H54">
        <f t="shared" si="27"/>
        <v>1</v>
      </c>
      <c r="J54" s="200">
        <f t="shared" si="23"/>
        <v>0.01</v>
      </c>
      <c r="K54">
        <f t="shared" si="28"/>
        <v>3753125.1060810033</v>
      </c>
      <c r="AO54" t="s">
        <v>84</v>
      </c>
      <c r="AP54" t="s">
        <v>80</v>
      </c>
      <c r="AQ54" t="s">
        <v>26</v>
      </c>
      <c r="AR54" t="s">
        <v>17</v>
      </c>
      <c r="AS54">
        <v>20918800</v>
      </c>
      <c r="AT54">
        <v>0</v>
      </c>
      <c r="AU54">
        <v>0</v>
      </c>
      <c r="AV54">
        <v>5203.3</v>
      </c>
      <c r="AW54">
        <v>4020.2948129071901</v>
      </c>
    </row>
    <row r="55" spans="2:49">
      <c r="B55">
        <f t="shared" si="20"/>
        <v>2045</v>
      </c>
      <c r="C55" t="str">
        <f t="shared" si="21"/>
        <v>GAS_LIN</v>
      </c>
      <c r="D55" t="str">
        <f t="shared" si="22"/>
        <v>AT0</v>
      </c>
      <c r="E55" s="26">
        <f t="shared" si="24"/>
        <v>3736715.4525241354</v>
      </c>
      <c r="F55">
        <f t="shared" si="25"/>
        <v>7</v>
      </c>
      <c r="G55">
        <f t="shared" si="26"/>
        <v>1</v>
      </c>
      <c r="H55">
        <f t="shared" si="27"/>
        <v>1</v>
      </c>
      <c r="J55" s="200">
        <f t="shared" si="23"/>
        <v>0.01</v>
      </c>
      <c r="K55">
        <f t="shared" si="28"/>
        <v>3774460.0530546824</v>
      </c>
      <c r="AO55" t="s">
        <v>133</v>
      </c>
      <c r="AP55" t="s">
        <v>134</v>
      </c>
      <c r="AQ55" t="s">
        <v>135</v>
      </c>
      <c r="AR55" t="s">
        <v>12</v>
      </c>
      <c r="AS55">
        <v>0</v>
      </c>
      <c r="AT55">
        <v>0</v>
      </c>
      <c r="AV55">
        <v>1</v>
      </c>
      <c r="AW55">
        <v>0</v>
      </c>
    </row>
    <row r="56" spans="2:49">
      <c r="B56">
        <f t="shared" si="20"/>
        <v>2050</v>
      </c>
      <c r="C56" t="str">
        <f t="shared" si="21"/>
        <v>GAS_LIN</v>
      </c>
      <c r="D56" t="str">
        <f t="shared" si="22"/>
        <v>AT0</v>
      </c>
      <c r="E56" s="26">
        <f t="shared" si="24"/>
        <v>3477626.2037237044</v>
      </c>
      <c r="F56">
        <f t="shared" si="25"/>
        <v>8</v>
      </c>
      <c r="G56">
        <f t="shared" si="26"/>
        <v>1</v>
      </c>
      <c r="H56">
        <f t="shared" si="27"/>
        <v>1</v>
      </c>
      <c r="J56" s="200">
        <f t="shared" si="23"/>
        <v>0.01</v>
      </c>
      <c r="K56">
        <f t="shared" si="28"/>
        <v>3512753.7411350552</v>
      </c>
      <c r="AO56" t="s">
        <v>136</v>
      </c>
      <c r="AP56" t="s">
        <v>134</v>
      </c>
      <c r="AQ56" t="s">
        <v>135</v>
      </c>
      <c r="AR56" t="s">
        <v>14</v>
      </c>
      <c r="AS56">
        <v>0</v>
      </c>
      <c r="AT56">
        <v>0</v>
      </c>
      <c r="AV56">
        <v>1</v>
      </c>
      <c r="AW56">
        <v>0</v>
      </c>
    </row>
    <row r="57" spans="2:49">
      <c r="B57">
        <f t="shared" si="20"/>
        <v>2015</v>
      </c>
      <c r="C57" t="str">
        <f t="shared" si="21"/>
        <v>OIL_LIN</v>
      </c>
      <c r="D57" t="str">
        <f t="shared" si="22"/>
        <v>AT0</v>
      </c>
      <c r="E57" s="26">
        <f t="shared" si="24"/>
        <v>2931692.3497069618</v>
      </c>
      <c r="F57">
        <f t="shared" si="25"/>
        <v>1</v>
      </c>
      <c r="G57">
        <f t="shared" si="26"/>
        <v>2</v>
      </c>
      <c r="H57">
        <f t="shared" si="27"/>
        <v>1</v>
      </c>
      <c r="J57" s="200">
        <f t="shared" si="23"/>
        <v>8.5000000000000006E-2</v>
      </c>
      <c r="K57">
        <f t="shared" si="28"/>
        <v>3204035.3548709964</v>
      </c>
      <c r="AO57" t="s">
        <v>137</v>
      </c>
      <c r="AP57" t="s">
        <v>134</v>
      </c>
      <c r="AQ57" t="s">
        <v>135</v>
      </c>
      <c r="AR57" t="s">
        <v>15</v>
      </c>
      <c r="AS57">
        <v>0</v>
      </c>
      <c r="AT57">
        <v>0</v>
      </c>
      <c r="AV57">
        <v>1</v>
      </c>
      <c r="AW57">
        <v>0</v>
      </c>
    </row>
    <row r="58" spans="2:49" ht="15">
      <c r="B58">
        <f t="shared" si="20"/>
        <v>2020</v>
      </c>
      <c r="C58" t="str">
        <f t="shared" si="21"/>
        <v>OIL_LIN</v>
      </c>
      <c r="D58" t="str">
        <f t="shared" si="22"/>
        <v>AT0</v>
      </c>
      <c r="E58" s="26">
        <f t="shared" si="24"/>
        <v>2461794.8475055401</v>
      </c>
      <c r="F58">
        <f t="shared" si="25"/>
        <v>2</v>
      </c>
      <c r="G58">
        <f t="shared" si="26"/>
        <v>2</v>
      </c>
      <c r="H58">
        <f t="shared" si="27"/>
        <v>1</v>
      </c>
      <c r="J58" s="200">
        <f t="shared" si="23"/>
        <v>8.5000000000000006E-2</v>
      </c>
      <c r="K58">
        <f t="shared" si="28"/>
        <v>2690486.1721372022</v>
      </c>
      <c r="AE58" s="126" t="s">
        <v>500</v>
      </c>
      <c r="AO58" t="s">
        <v>138</v>
      </c>
      <c r="AP58" t="s">
        <v>134</v>
      </c>
      <c r="AQ58" t="s">
        <v>135</v>
      </c>
      <c r="AR58" t="s">
        <v>16</v>
      </c>
      <c r="AS58">
        <v>0</v>
      </c>
      <c r="AT58">
        <v>0</v>
      </c>
      <c r="AV58">
        <v>1</v>
      </c>
      <c r="AW58">
        <v>0</v>
      </c>
    </row>
    <row r="59" spans="2:49">
      <c r="B59">
        <f t="shared" si="20"/>
        <v>2025</v>
      </c>
      <c r="C59" t="str">
        <f t="shared" si="21"/>
        <v>OIL_LIN</v>
      </c>
      <c r="D59" t="str">
        <f t="shared" si="22"/>
        <v>AT0</v>
      </c>
      <c r="E59" s="26">
        <f t="shared" si="24"/>
        <v>1458588.0798601932</v>
      </c>
      <c r="F59">
        <f t="shared" si="25"/>
        <v>3</v>
      </c>
      <c r="G59">
        <f t="shared" si="26"/>
        <v>2</v>
      </c>
      <c r="H59">
        <f t="shared" si="27"/>
        <v>1</v>
      </c>
      <c r="J59" s="200">
        <f t="shared" si="23"/>
        <v>8.5000000000000006E-2</v>
      </c>
      <c r="K59">
        <f t="shared" si="28"/>
        <v>1594085.3331805388</v>
      </c>
      <c r="AE59" t="s">
        <v>481</v>
      </c>
      <c r="AF59" s="200">
        <v>8.5000000000000006E-2</v>
      </c>
      <c r="AG59" t="s">
        <v>482</v>
      </c>
      <c r="AI59" t="e">
        <v>#REF!</v>
      </c>
      <c r="AO59" t="s">
        <v>139</v>
      </c>
      <c r="AP59" t="s">
        <v>134</v>
      </c>
      <c r="AQ59" t="s">
        <v>135</v>
      </c>
      <c r="AR59" t="s">
        <v>17</v>
      </c>
      <c r="AS59">
        <v>0</v>
      </c>
      <c r="AT59">
        <v>0</v>
      </c>
      <c r="AV59">
        <v>1</v>
      </c>
      <c r="AW59">
        <v>0</v>
      </c>
    </row>
    <row r="60" spans="2:49">
      <c r="B60">
        <f t="shared" si="20"/>
        <v>2030</v>
      </c>
      <c r="C60" t="str">
        <f t="shared" si="21"/>
        <v>OIL_LIN</v>
      </c>
      <c r="D60" t="str">
        <f t="shared" si="22"/>
        <v>AT0</v>
      </c>
      <c r="E60" s="26">
        <f t="shared" si="24"/>
        <v>1277564.3464976684</v>
      </c>
      <c r="F60">
        <f t="shared" si="25"/>
        <v>4</v>
      </c>
      <c r="G60">
        <f t="shared" si="26"/>
        <v>2</v>
      </c>
      <c r="H60">
        <f t="shared" si="27"/>
        <v>1</v>
      </c>
      <c r="J60" s="200">
        <f t="shared" si="23"/>
        <v>8.5000000000000006E-2</v>
      </c>
      <c r="K60">
        <f t="shared" si="28"/>
        <v>1396245.1874291457</v>
      </c>
      <c r="AE60" t="s">
        <v>483</v>
      </c>
      <c r="AF60" s="200">
        <v>0</v>
      </c>
      <c r="AG60" t="s">
        <v>484</v>
      </c>
      <c r="AI60" t="e">
        <v>#REF!</v>
      </c>
      <c r="AO60" t="s">
        <v>109</v>
      </c>
      <c r="AP60" t="s">
        <v>110</v>
      </c>
      <c r="AQ60" t="s">
        <v>24</v>
      </c>
      <c r="AR60" t="s">
        <v>12</v>
      </c>
      <c r="AS60">
        <v>1069365.737</v>
      </c>
      <c r="AT60">
        <v>394006.34189319902</v>
      </c>
      <c r="AU60">
        <v>0.36844863105352998</v>
      </c>
      <c r="AV60">
        <v>368.98248725878699</v>
      </c>
      <c r="AW60">
        <v>2898.1476734693902</v>
      </c>
    </row>
    <row r="61" spans="2:49">
      <c r="B61">
        <f t="shared" si="20"/>
        <v>2035</v>
      </c>
      <c r="C61" t="str">
        <f t="shared" si="21"/>
        <v>OIL_LIN</v>
      </c>
      <c r="D61" t="str">
        <f t="shared" si="22"/>
        <v>AT0</v>
      </c>
      <c r="E61" s="26">
        <f t="shared" si="24"/>
        <v>1162252.6829079229</v>
      </c>
      <c r="F61">
        <f t="shared" si="25"/>
        <v>5</v>
      </c>
      <c r="G61">
        <f t="shared" si="26"/>
        <v>2</v>
      </c>
      <c r="H61">
        <f t="shared" si="27"/>
        <v>1</v>
      </c>
      <c r="J61" s="200">
        <f t="shared" si="23"/>
        <v>8.5000000000000006E-2</v>
      </c>
      <c r="K61">
        <f t="shared" si="28"/>
        <v>1270221.511374779</v>
      </c>
      <c r="AE61" t="s">
        <v>75</v>
      </c>
      <c r="AF61" s="200">
        <v>0.01</v>
      </c>
      <c r="AG61" t="s">
        <v>485</v>
      </c>
      <c r="AI61" t="e">
        <v>#REF!</v>
      </c>
      <c r="AO61" t="s">
        <v>111</v>
      </c>
      <c r="AP61" t="s">
        <v>110</v>
      </c>
      <c r="AQ61" t="s">
        <v>24</v>
      </c>
      <c r="AR61" t="s">
        <v>14</v>
      </c>
      <c r="AS61">
        <v>2184173.5</v>
      </c>
      <c r="AT61">
        <v>411700</v>
      </c>
      <c r="AU61">
        <v>0.18849235191252001</v>
      </c>
      <c r="AV61">
        <v>439.268492108766</v>
      </c>
      <c r="AW61">
        <v>4972.2972151145796</v>
      </c>
    </row>
    <row r="62" spans="2:49">
      <c r="B62">
        <f t="shared" si="20"/>
        <v>2040</v>
      </c>
      <c r="C62" t="str">
        <f t="shared" si="21"/>
        <v>OIL_LIN</v>
      </c>
      <c r="D62" t="str">
        <f t="shared" si="22"/>
        <v>AT0</v>
      </c>
      <c r="E62" s="26">
        <f t="shared" si="24"/>
        <v>25486.473058713847</v>
      </c>
      <c r="F62">
        <f t="shared" si="25"/>
        <v>6</v>
      </c>
      <c r="G62">
        <f t="shared" si="26"/>
        <v>2</v>
      </c>
      <c r="H62">
        <f t="shared" si="27"/>
        <v>1</v>
      </c>
      <c r="J62" s="200">
        <f t="shared" si="23"/>
        <v>8.5000000000000006E-2</v>
      </c>
      <c r="K62">
        <f t="shared" si="28"/>
        <v>27854.068916627155</v>
      </c>
      <c r="AE62" t="s">
        <v>95</v>
      </c>
      <c r="AF62" s="200">
        <v>4.7E-2</v>
      </c>
      <c r="AG62" t="s">
        <v>486</v>
      </c>
      <c r="AI62" t="e">
        <v>#REF!</v>
      </c>
      <c r="AO62" t="s">
        <v>112</v>
      </c>
      <c r="AP62" t="s">
        <v>110</v>
      </c>
      <c r="AQ62" t="s">
        <v>24</v>
      </c>
      <c r="AR62" t="s">
        <v>15</v>
      </c>
      <c r="AS62">
        <v>11536853</v>
      </c>
      <c r="AT62">
        <v>3344754.5717035602</v>
      </c>
      <c r="AU62">
        <v>0.289919146209418</v>
      </c>
      <c r="AV62">
        <v>1924</v>
      </c>
      <c r="AW62">
        <v>5996.2853430353398</v>
      </c>
    </row>
    <row r="63" spans="2:49">
      <c r="B63">
        <f t="shared" si="20"/>
        <v>2045</v>
      </c>
      <c r="C63" t="str">
        <f t="shared" si="21"/>
        <v>OIL_LIN</v>
      </c>
      <c r="D63" t="str">
        <f t="shared" si="22"/>
        <v>AT0</v>
      </c>
      <c r="E63" s="26">
        <f t="shared" si="24"/>
        <v>9727.673001598534</v>
      </c>
      <c r="F63">
        <f t="shared" si="25"/>
        <v>7</v>
      </c>
      <c r="G63">
        <f t="shared" si="26"/>
        <v>2</v>
      </c>
      <c r="H63">
        <f t="shared" si="27"/>
        <v>1</v>
      </c>
      <c r="J63" s="200">
        <f t="shared" si="23"/>
        <v>8.5000000000000006E-2</v>
      </c>
      <c r="K63">
        <f t="shared" si="28"/>
        <v>10631.33661376889</v>
      </c>
      <c r="AE63" t="s">
        <v>487</v>
      </c>
      <c r="AF63" s="200">
        <v>8.5000000000000006E-2</v>
      </c>
      <c r="AG63" t="s">
        <v>482</v>
      </c>
      <c r="AI63" t="e">
        <v>#REF!</v>
      </c>
      <c r="AO63" t="s">
        <v>113</v>
      </c>
      <c r="AP63" t="s">
        <v>110</v>
      </c>
      <c r="AQ63" t="s">
        <v>24</v>
      </c>
      <c r="AR63" t="s">
        <v>16</v>
      </c>
      <c r="AS63">
        <v>4244000</v>
      </c>
      <c r="AT63">
        <v>1450510.79223951</v>
      </c>
      <c r="AU63">
        <v>0.34177916876519998</v>
      </c>
      <c r="AV63">
        <v>779.92819999999995</v>
      </c>
      <c r="AW63">
        <v>5441.5265405200098</v>
      </c>
    </row>
    <row r="64" spans="2:49">
      <c r="B64">
        <f t="shared" si="20"/>
        <v>2050</v>
      </c>
      <c r="C64" t="str">
        <f t="shared" si="21"/>
        <v>OIL_LIN</v>
      </c>
      <c r="D64" t="str">
        <f t="shared" si="22"/>
        <v>AT0</v>
      </c>
      <c r="E64" s="26">
        <f t="shared" si="24"/>
        <v>0</v>
      </c>
      <c r="F64">
        <f t="shared" si="25"/>
        <v>8</v>
      </c>
      <c r="G64">
        <f t="shared" si="26"/>
        <v>2</v>
      </c>
      <c r="H64">
        <f t="shared" si="27"/>
        <v>1</v>
      </c>
      <c r="J64" s="200">
        <f t="shared" si="23"/>
        <v>8.5000000000000006E-2</v>
      </c>
      <c r="K64">
        <f t="shared" si="28"/>
        <v>0</v>
      </c>
      <c r="AE64" t="s">
        <v>80</v>
      </c>
      <c r="AF64" s="200">
        <v>0.01</v>
      </c>
      <c r="AG64" t="s">
        <v>485</v>
      </c>
      <c r="AI64" t="e">
        <v>#REF!</v>
      </c>
      <c r="AO64" t="s">
        <v>114</v>
      </c>
      <c r="AP64" t="s">
        <v>110</v>
      </c>
      <c r="AQ64" t="s">
        <v>24</v>
      </c>
      <c r="AR64" t="s">
        <v>17</v>
      </c>
      <c r="AS64">
        <v>2439800</v>
      </c>
      <c r="AT64">
        <v>12723600</v>
      </c>
      <c r="AU64">
        <v>5.2150176243954398</v>
      </c>
      <c r="AV64">
        <v>916.759056476757</v>
      </c>
      <c r="AW64">
        <v>2661.3317673419201</v>
      </c>
    </row>
    <row r="65" spans="2:49">
      <c r="B65">
        <f t="shared" si="20"/>
        <v>2015</v>
      </c>
      <c r="C65" t="str">
        <f t="shared" si="21"/>
        <v>HCO_LIN</v>
      </c>
      <c r="D65" t="str">
        <f t="shared" si="22"/>
        <v>AT0</v>
      </c>
      <c r="E65" s="26">
        <f t="shared" si="24"/>
        <v>382632.93741225201</v>
      </c>
      <c r="F65">
        <f t="shared" si="25"/>
        <v>1</v>
      </c>
      <c r="G65">
        <f t="shared" si="26"/>
        <v>3</v>
      </c>
      <c r="H65">
        <f t="shared" si="27"/>
        <v>1</v>
      </c>
      <c r="J65" s="200">
        <f t="shared" si="23"/>
        <v>8.5000000000000006E-2</v>
      </c>
      <c r="K65">
        <f t="shared" si="28"/>
        <v>418178.07367459236</v>
      </c>
      <c r="AE65" t="s">
        <v>65</v>
      </c>
      <c r="AF65" s="200">
        <v>4.7E-2</v>
      </c>
      <c r="AG65" t="s">
        <v>488</v>
      </c>
      <c r="AI65" t="e">
        <v>#REF!</v>
      </c>
      <c r="AQ65" t="s">
        <v>140</v>
      </c>
      <c r="AR65" t="s">
        <v>14</v>
      </c>
      <c r="AS65">
        <v>0</v>
      </c>
      <c r="AT65">
        <v>0</v>
      </c>
    </row>
    <row r="66" spans="2:49">
      <c r="B66">
        <f t="shared" si="20"/>
        <v>2020</v>
      </c>
      <c r="C66" t="str">
        <f t="shared" si="21"/>
        <v>HCO_LIN</v>
      </c>
      <c r="D66" t="str">
        <f t="shared" si="22"/>
        <v>AT0</v>
      </c>
      <c r="E66" s="26">
        <f t="shared" si="24"/>
        <v>352560.25318024366</v>
      </c>
      <c r="F66">
        <f t="shared" si="25"/>
        <v>2</v>
      </c>
      <c r="G66">
        <f t="shared" si="26"/>
        <v>3</v>
      </c>
      <c r="H66">
        <f t="shared" si="27"/>
        <v>1</v>
      </c>
      <c r="J66" s="200">
        <f t="shared" si="23"/>
        <v>8.5000000000000006E-2</v>
      </c>
      <c r="K66">
        <f t="shared" si="28"/>
        <v>385311.75210955588</v>
      </c>
      <c r="AE66" t="s">
        <v>489</v>
      </c>
      <c r="AF66" s="200">
        <v>8.5000000000000006E-2</v>
      </c>
      <c r="AG66" t="s">
        <v>482</v>
      </c>
      <c r="AI66" t="e">
        <v>#REF!</v>
      </c>
      <c r="AO66" t="s">
        <v>116</v>
      </c>
      <c r="AP66" t="s">
        <v>115</v>
      </c>
      <c r="AQ66" t="s">
        <v>140</v>
      </c>
      <c r="AR66" t="s">
        <v>15</v>
      </c>
      <c r="AS66">
        <v>8284000</v>
      </c>
      <c r="AT66">
        <v>0</v>
      </c>
      <c r="AU66">
        <v>0</v>
      </c>
      <c r="AV66">
        <v>3283</v>
      </c>
      <c r="AW66">
        <v>2523.30185805666</v>
      </c>
    </row>
    <row r="67" spans="2:49">
      <c r="B67">
        <f t="shared" si="20"/>
        <v>2025</v>
      </c>
      <c r="C67" t="str">
        <f t="shared" si="21"/>
        <v>HCO_LIN</v>
      </c>
      <c r="D67" t="str">
        <f t="shared" si="22"/>
        <v>AT0</v>
      </c>
      <c r="E67" s="26">
        <f t="shared" si="24"/>
        <v>341185.88087347284</v>
      </c>
      <c r="F67">
        <f t="shared" si="25"/>
        <v>3</v>
      </c>
      <c r="G67">
        <f t="shared" si="26"/>
        <v>3</v>
      </c>
      <c r="H67">
        <f t="shared" si="27"/>
        <v>1</v>
      </c>
      <c r="J67" s="200">
        <f t="shared" si="23"/>
        <v>8.5000000000000006E-2</v>
      </c>
      <c r="K67">
        <f t="shared" si="28"/>
        <v>372880.74412401405</v>
      </c>
      <c r="AE67" t="s">
        <v>70</v>
      </c>
      <c r="AF67" s="200">
        <v>8.5000000000000006E-2</v>
      </c>
      <c r="AG67" t="s">
        <v>490</v>
      </c>
      <c r="AH67" t="s">
        <v>491</v>
      </c>
      <c r="AI67" t="e">
        <v>#REF!</v>
      </c>
      <c r="AQ67" t="s">
        <v>140</v>
      </c>
      <c r="AR67" t="s">
        <v>16</v>
      </c>
      <c r="AS67">
        <v>0</v>
      </c>
      <c r="AT67">
        <v>0</v>
      </c>
    </row>
    <row r="68" spans="2:49">
      <c r="B68">
        <f t="shared" si="20"/>
        <v>2030</v>
      </c>
      <c r="C68" t="str">
        <f t="shared" si="21"/>
        <v>HCO_LIN</v>
      </c>
      <c r="D68" t="str">
        <f t="shared" si="22"/>
        <v>AT0</v>
      </c>
      <c r="E68" s="26">
        <f t="shared" si="24"/>
        <v>341185.88087347284</v>
      </c>
      <c r="F68">
        <f t="shared" si="25"/>
        <v>4</v>
      </c>
      <c r="G68">
        <f t="shared" si="26"/>
        <v>3</v>
      </c>
      <c r="H68">
        <f t="shared" si="27"/>
        <v>1</v>
      </c>
      <c r="J68" s="200">
        <f t="shared" si="23"/>
        <v>8.5000000000000006E-2</v>
      </c>
      <c r="K68">
        <f t="shared" si="28"/>
        <v>372880.74412401405</v>
      </c>
      <c r="AE68" t="s">
        <v>492</v>
      </c>
      <c r="AF68" s="200">
        <v>0.01</v>
      </c>
      <c r="AG68" t="s">
        <v>485</v>
      </c>
      <c r="AI68" t="e">
        <v>#REF!</v>
      </c>
      <c r="AO68" t="s">
        <v>118</v>
      </c>
      <c r="AP68" t="s">
        <v>120</v>
      </c>
      <c r="AQ68" t="s">
        <v>141</v>
      </c>
      <c r="AR68" t="s">
        <v>12</v>
      </c>
      <c r="AS68">
        <v>4840320.6849378198</v>
      </c>
      <c r="AT68">
        <v>0</v>
      </c>
      <c r="AU68">
        <v>0</v>
      </c>
      <c r="AV68">
        <v>2421</v>
      </c>
      <c r="AW68">
        <v>1999.3063547863801</v>
      </c>
    </row>
    <row r="69" spans="2:49">
      <c r="B69">
        <f t="shared" si="20"/>
        <v>2035</v>
      </c>
      <c r="C69" t="str">
        <f t="shared" si="21"/>
        <v>HCO_LIN</v>
      </c>
      <c r="D69" t="str">
        <f t="shared" si="22"/>
        <v>AT0</v>
      </c>
      <c r="E69" s="26">
        <f t="shared" si="24"/>
        <v>35449.206812044293</v>
      </c>
      <c r="F69">
        <f t="shared" si="25"/>
        <v>5</v>
      </c>
      <c r="G69">
        <f t="shared" si="26"/>
        <v>3</v>
      </c>
      <c r="H69">
        <f t="shared" si="27"/>
        <v>1</v>
      </c>
      <c r="J69" s="200">
        <f t="shared" si="23"/>
        <v>8.5000000000000006E-2</v>
      </c>
      <c r="K69">
        <f t="shared" si="28"/>
        <v>38742.302526824358</v>
      </c>
      <c r="AE69" t="s">
        <v>105</v>
      </c>
      <c r="AF69" s="200">
        <v>0</v>
      </c>
      <c r="AG69" t="s">
        <v>484</v>
      </c>
      <c r="AI69" t="e">
        <v>#REF!</v>
      </c>
    </row>
    <row r="70" spans="2:49">
      <c r="B70">
        <f t="shared" si="20"/>
        <v>2040</v>
      </c>
      <c r="C70" t="str">
        <f t="shared" si="21"/>
        <v>HCO_LIN</v>
      </c>
      <c r="D70" t="str">
        <f t="shared" si="22"/>
        <v>AT0</v>
      </c>
      <c r="E70" s="26">
        <f t="shared" si="24"/>
        <v>31617.41472288391</v>
      </c>
      <c r="F70">
        <f t="shared" si="25"/>
        <v>6</v>
      </c>
      <c r="G70">
        <f t="shared" si="26"/>
        <v>3</v>
      </c>
      <c r="H70">
        <f t="shared" si="27"/>
        <v>1</v>
      </c>
      <c r="J70" s="200">
        <f t="shared" si="23"/>
        <v>8.5000000000000006E-2</v>
      </c>
      <c r="K70">
        <f t="shared" si="28"/>
        <v>34554.55160970919</v>
      </c>
      <c r="AE70" t="s">
        <v>91</v>
      </c>
      <c r="AF70" s="200">
        <v>8.5000000000000006E-2</v>
      </c>
      <c r="AG70" t="s">
        <v>482</v>
      </c>
      <c r="AI70" t="e">
        <v>#REF!</v>
      </c>
      <c r="AO70" t="s">
        <v>119</v>
      </c>
      <c r="AP70" t="s">
        <v>120</v>
      </c>
      <c r="AQ70" t="s">
        <v>141</v>
      </c>
      <c r="AR70" t="s">
        <v>14</v>
      </c>
      <c r="AS70">
        <v>110030</v>
      </c>
      <c r="AT70">
        <v>0</v>
      </c>
      <c r="AU70">
        <v>0</v>
      </c>
      <c r="AV70">
        <v>60.287999999999997</v>
      </c>
      <c r="AW70">
        <v>1825.07298301486</v>
      </c>
    </row>
    <row r="71" spans="2:49">
      <c r="B71">
        <f t="shared" si="20"/>
        <v>2045</v>
      </c>
      <c r="C71" t="str">
        <f t="shared" si="21"/>
        <v>HCO_LIN</v>
      </c>
      <c r="D71" t="str">
        <f t="shared" si="22"/>
        <v>AT0</v>
      </c>
      <c r="E71" s="26">
        <f t="shared" si="24"/>
        <v>15957.047054141462</v>
      </c>
      <c r="F71">
        <f t="shared" si="25"/>
        <v>7</v>
      </c>
      <c r="G71">
        <f t="shared" si="26"/>
        <v>3</v>
      </c>
      <c r="H71">
        <f t="shared" si="27"/>
        <v>1</v>
      </c>
      <c r="J71" s="200">
        <f t="shared" si="23"/>
        <v>8.5000000000000006E-2</v>
      </c>
      <c r="K71">
        <f t="shared" si="28"/>
        <v>17439.395687586297</v>
      </c>
      <c r="AE71" t="s">
        <v>115</v>
      </c>
      <c r="AF71" s="200">
        <v>0.01</v>
      </c>
      <c r="AG71" t="s">
        <v>485</v>
      </c>
      <c r="AI71" t="e">
        <v>#REF!</v>
      </c>
    </row>
    <row r="72" spans="2:49">
      <c r="B72">
        <f t="shared" si="20"/>
        <v>2050</v>
      </c>
      <c r="C72" t="str">
        <f t="shared" si="21"/>
        <v>HCO_LIN</v>
      </c>
      <c r="D72" t="str">
        <f t="shared" si="22"/>
        <v>AT0</v>
      </c>
      <c r="E72" s="26">
        <f t="shared" si="24"/>
        <v>15957.047054141462</v>
      </c>
      <c r="F72">
        <f t="shared" si="25"/>
        <v>8</v>
      </c>
      <c r="G72">
        <f t="shared" si="26"/>
        <v>3</v>
      </c>
      <c r="H72">
        <f t="shared" si="27"/>
        <v>1</v>
      </c>
      <c r="J72" s="200">
        <f t="shared" si="23"/>
        <v>8.5000000000000006E-2</v>
      </c>
      <c r="K72">
        <f t="shared" si="28"/>
        <v>17439.395687586297</v>
      </c>
      <c r="AE72" t="s">
        <v>100</v>
      </c>
      <c r="AF72" s="200">
        <v>8.5000000000000006E-2</v>
      </c>
      <c r="AG72" t="s">
        <v>482</v>
      </c>
      <c r="AI72" t="e">
        <v>#REF!</v>
      </c>
      <c r="AO72" t="s">
        <v>121</v>
      </c>
      <c r="AP72" t="s">
        <v>120</v>
      </c>
      <c r="AQ72" t="s">
        <v>141</v>
      </c>
      <c r="AR72" t="s">
        <v>15</v>
      </c>
      <c r="AS72">
        <v>72340000</v>
      </c>
      <c r="AT72">
        <v>0</v>
      </c>
      <c r="AU72">
        <v>0</v>
      </c>
      <c r="AV72">
        <v>41297</v>
      </c>
      <c r="AW72">
        <v>1751.70109208901</v>
      </c>
    </row>
    <row r="73" spans="2:49">
      <c r="B73">
        <f t="shared" si="20"/>
        <v>2015</v>
      </c>
      <c r="C73" t="str">
        <f t="shared" si="21"/>
        <v>GAS_NEW</v>
      </c>
      <c r="D73" t="str">
        <f t="shared" si="22"/>
        <v>AT0</v>
      </c>
      <c r="E73" s="26">
        <f t="shared" si="24"/>
        <v>0</v>
      </c>
      <c r="F73">
        <f t="shared" si="25"/>
        <v>1</v>
      </c>
      <c r="G73">
        <f t="shared" si="26"/>
        <v>4</v>
      </c>
      <c r="H73">
        <f t="shared" si="27"/>
        <v>1</v>
      </c>
      <c r="J73" s="200">
        <f t="shared" si="23"/>
        <v>0.01</v>
      </c>
      <c r="K73">
        <f t="shared" si="28"/>
        <v>0</v>
      </c>
      <c r="AE73" t="s">
        <v>493</v>
      </c>
      <c r="AF73" s="200">
        <v>8.5000000000000006E-2</v>
      </c>
      <c r="AG73" t="s">
        <v>482</v>
      </c>
      <c r="AI73" t="e">
        <v>#REF!</v>
      </c>
      <c r="AO73" t="s">
        <v>122</v>
      </c>
      <c r="AP73" t="s">
        <v>120</v>
      </c>
      <c r="AQ73" t="s">
        <v>141</v>
      </c>
      <c r="AR73" t="s">
        <v>16</v>
      </c>
      <c r="AS73">
        <v>21249000</v>
      </c>
      <c r="AT73">
        <v>0</v>
      </c>
      <c r="AU73">
        <v>0</v>
      </c>
      <c r="AV73">
        <v>10324.5</v>
      </c>
      <c r="AW73">
        <v>2058.1141943919802</v>
      </c>
    </row>
    <row r="74" spans="2:49">
      <c r="B74">
        <f t="shared" si="20"/>
        <v>2020</v>
      </c>
      <c r="C74" t="str">
        <f t="shared" si="21"/>
        <v>GAS_NEW</v>
      </c>
      <c r="D74" t="str">
        <f t="shared" si="22"/>
        <v>AT0</v>
      </c>
      <c r="E74" s="26">
        <f t="shared" si="24"/>
        <v>0</v>
      </c>
      <c r="F74">
        <f t="shared" si="25"/>
        <v>2</v>
      </c>
      <c r="G74">
        <f t="shared" si="26"/>
        <v>4</v>
      </c>
      <c r="H74">
        <f t="shared" si="27"/>
        <v>1</v>
      </c>
      <c r="J74" s="200">
        <f t="shared" si="23"/>
        <v>0.01</v>
      </c>
      <c r="K74">
        <f t="shared" si="28"/>
        <v>0</v>
      </c>
      <c r="AE74" t="s">
        <v>120</v>
      </c>
      <c r="AF74" s="200">
        <v>0.01</v>
      </c>
      <c r="AG74" t="s">
        <v>485</v>
      </c>
      <c r="AI74" t="e">
        <v>#REF!</v>
      </c>
      <c r="AO74" t="s">
        <v>123</v>
      </c>
      <c r="AP74" t="s">
        <v>120</v>
      </c>
      <c r="AQ74" t="s">
        <v>141</v>
      </c>
      <c r="AR74" t="s">
        <v>17</v>
      </c>
      <c r="AS74">
        <v>14843900</v>
      </c>
      <c r="AT74">
        <v>0</v>
      </c>
      <c r="AU74">
        <v>0</v>
      </c>
      <c r="AV74">
        <v>9136.6291141882502</v>
      </c>
      <c r="AW74">
        <v>1624.6582644959201</v>
      </c>
    </row>
    <row r="75" spans="2:49">
      <c r="B75">
        <f t="shared" si="20"/>
        <v>2025</v>
      </c>
      <c r="C75" t="str">
        <f t="shared" si="21"/>
        <v>GAS_NEW</v>
      </c>
      <c r="D75" t="str">
        <f t="shared" si="22"/>
        <v>AT0</v>
      </c>
      <c r="E75" s="26">
        <f t="shared" si="24"/>
        <v>0</v>
      </c>
      <c r="F75">
        <f t="shared" si="25"/>
        <v>3</v>
      </c>
      <c r="G75">
        <f t="shared" si="26"/>
        <v>4</v>
      </c>
      <c r="H75">
        <f t="shared" si="27"/>
        <v>1</v>
      </c>
      <c r="J75" s="200">
        <f t="shared" si="23"/>
        <v>0.01</v>
      </c>
      <c r="K75">
        <f t="shared" si="28"/>
        <v>0</v>
      </c>
      <c r="AE75" t="s">
        <v>494</v>
      </c>
      <c r="AF75" s="200">
        <v>0.01</v>
      </c>
      <c r="AG75" t="s">
        <v>485</v>
      </c>
      <c r="AI75" t="e">
        <v>#REF!</v>
      </c>
    </row>
    <row r="76" spans="2:49">
      <c r="B76">
        <f t="shared" si="20"/>
        <v>2030</v>
      </c>
      <c r="C76" t="str">
        <f t="shared" si="21"/>
        <v>GAS_NEW</v>
      </c>
      <c r="D76" t="str">
        <f t="shared" si="22"/>
        <v>AT0</v>
      </c>
      <c r="E76" s="26">
        <f t="shared" si="24"/>
        <v>0</v>
      </c>
      <c r="F76">
        <f t="shared" si="25"/>
        <v>4</v>
      </c>
      <c r="G76">
        <f t="shared" si="26"/>
        <v>4</v>
      </c>
      <c r="H76">
        <f t="shared" si="27"/>
        <v>1</v>
      </c>
      <c r="J76" s="200">
        <f t="shared" si="23"/>
        <v>0.01</v>
      </c>
      <c r="K76">
        <f t="shared" si="28"/>
        <v>0</v>
      </c>
      <c r="AE76" t="s">
        <v>495</v>
      </c>
      <c r="AF76" s="200">
        <v>0.01</v>
      </c>
      <c r="AG76" t="s">
        <v>496</v>
      </c>
      <c r="AI76" t="e">
        <v>#REF!</v>
      </c>
    </row>
    <row r="77" spans="2:49">
      <c r="B77">
        <f t="shared" si="20"/>
        <v>2035</v>
      </c>
      <c r="C77" t="str">
        <f t="shared" si="21"/>
        <v>GAS_NEW</v>
      </c>
      <c r="D77" t="str">
        <f t="shared" si="22"/>
        <v>AT0</v>
      </c>
      <c r="E77" s="26">
        <f t="shared" si="24"/>
        <v>0</v>
      </c>
      <c r="F77">
        <f t="shared" si="25"/>
        <v>5</v>
      </c>
      <c r="G77">
        <f t="shared" si="26"/>
        <v>4</v>
      </c>
      <c r="H77">
        <f t="shared" si="27"/>
        <v>1</v>
      </c>
      <c r="J77" s="200">
        <f t="shared" si="23"/>
        <v>0.01</v>
      </c>
      <c r="K77">
        <f t="shared" si="28"/>
        <v>0</v>
      </c>
      <c r="AE77" t="s">
        <v>497</v>
      </c>
      <c r="AF77" s="200">
        <v>0.01</v>
      </c>
    </row>
    <row r="78" spans="2:49">
      <c r="B78">
        <f t="shared" si="20"/>
        <v>2040</v>
      </c>
      <c r="C78" t="str">
        <f t="shared" si="21"/>
        <v>GAS_NEW</v>
      </c>
      <c r="D78" t="str">
        <f t="shared" si="22"/>
        <v>AT0</v>
      </c>
      <c r="E78" s="26">
        <f t="shared" si="24"/>
        <v>0</v>
      </c>
      <c r="F78">
        <f t="shared" si="25"/>
        <v>6</v>
      </c>
      <c r="G78">
        <f t="shared" si="26"/>
        <v>4</v>
      </c>
      <c r="H78">
        <f t="shared" si="27"/>
        <v>1</v>
      </c>
      <c r="J78" s="200">
        <f t="shared" si="23"/>
        <v>0.01</v>
      </c>
      <c r="K78">
        <f t="shared" si="28"/>
        <v>0</v>
      </c>
      <c r="AE78" t="s">
        <v>85</v>
      </c>
      <c r="AF78" s="200">
        <v>0.01</v>
      </c>
    </row>
    <row r="79" spans="2:49">
      <c r="B79">
        <f t="shared" si="20"/>
        <v>2045</v>
      </c>
      <c r="C79" t="str">
        <f t="shared" si="21"/>
        <v>GAS_NEW</v>
      </c>
      <c r="D79" t="str">
        <f t="shared" si="22"/>
        <v>AT0</v>
      </c>
      <c r="E79" s="26">
        <f t="shared" si="24"/>
        <v>0</v>
      </c>
      <c r="F79">
        <f t="shared" si="25"/>
        <v>7</v>
      </c>
      <c r="G79">
        <f t="shared" si="26"/>
        <v>4</v>
      </c>
      <c r="H79">
        <f t="shared" si="27"/>
        <v>1</v>
      </c>
      <c r="J79" s="200">
        <f t="shared" si="23"/>
        <v>0.01</v>
      </c>
      <c r="K79">
        <f t="shared" si="28"/>
        <v>0</v>
      </c>
      <c r="AE79" t="s">
        <v>498</v>
      </c>
      <c r="AF79" s="200">
        <v>0.01</v>
      </c>
    </row>
    <row r="80" spans="2:49">
      <c r="B80">
        <f t="shared" si="20"/>
        <v>2050</v>
      </c>
      <c r="C80" t="str">
        <f t="shared" si="21"/>
        <v>GAS_NEW</v>
      </c>
      <c r="D80" t="str">
        <f t="shared" si="22"/>
        <v>AT0</v>
      </c>
      <c r="E80" s="26">
        <f t="shared" si="24"/>
        <v>0</v>
      </c>
      <c r="F80">
        <f t="shared" si="25"/>
        <v>8</v>
      </c>
      <c r="G80">
        <f t="shared" si="26"/>
        <v>4</v>
      </c>
      <c r="H80">
        <f t="shared" si="27"/>
        <v>1</v>
      </c>
      <c r="J80" s="200">
        <f t="shared" si="23"/>
        <v>0.01</v>
      </c>
      <c r="K80">
        <f t="shared" si="28"/>
        <v>0</v>
      </c>
      <c r="P80">
        <v>2000</v>
      </c>
      <c r="Q80">
        <v>2005</v>
      </c>
      <c r="R80">
        <v>2010</v>
      </c>
      <c r="S80">
        <v>2015</v>
      </c>
      <c r="T80">
        <v>2020</v>
      </c>
      <c r="U80">
        <v>2025</v>
      </c>
      <c r="V80">
        <v>2030</v>
      </c>
      <c r="W80">
        <v>2035</v>
      </c>
      <c r="X80">
        <v>2040</v>
      </c>
      <c r="Y80">
        <v>2045</v>
      </c>
      <c r="Z80">
        <v>2050</v>
      </c>
      <c r="AE80" t="s">
        <v>499</v>
      </c>
      <c r="AF80" s="200">
        <v>4.7E-2</v>
      </c>
    </row>
    <row r="81" spans="2:32">
      <c r="B81">
        <f t="shared" ref="B81:B112" si="29">INDEX(F$40:F$47,F81)</f>
        <v>2015</v>
      </c>
      <c r="C81" t="str">
        <f t="shared" ref="C81:C112" si="30">INDEX(G$40:G$47,G81)</f>
        <v>GAS_LIN</v>
      </c>
      <c r="D81" t="str">
        <f t="shared" ref="D81:D112" si="31">INDEX(H$40:H$47,H81)</f>
        <v>IT0</v>
      </c>
      <c r="E81" s="26">
        <f t="shared" si="24"/>
        <v>85513395.346999824</v>
      </c>
      <c r="F81">
        <f t="shared" si="25"/>
        <v>1</v>
      </c>
      <c r="G81">
        <f t="shared" si="26"/>
        <v>1</v>
      </c>
      <c r="H81">
        <f t="shared" si="27"/>
        <v>2</v>
      </c>
      <c r="J81" s="200">
        <f t="shared" si="23"/>
        <v>0.01</v>
      </c>
      <c r="K81">
        <f t="shared" si="28"/>
        <v>86377167.017171547</v>
      </c>
      <c r="N81" t="s">
        <v>418</v>
      </c>
      <c r="O81" s="49" t="s">
        <v>231</v>
      </c>
      <c r="P81" s="50">
        <v>572313</v>
      </c>
      <c r="Q81" s="50">
        <v>615800</v>
      </c>
      <c r="R81" s="50">
        <v>626583</v>
      </c>
      <c r="S81" s="50">
        <v>645694.18850004894</v>
      </c>
      <c r="T81" s="50">
        <v>599220.42808016797</v>
      </c>
      <c r="U81" s="50">
        <v>603814.508393856</v>
      </c>
      <c r="V81" s="50">
        <v>610832.02121444198</v>
      </c>
      <c r="W81" s="50">
        <v>611628.85561283201</v>
      </c>
      <c r="X81" s="50">
        <v>617685.57124143594</v>
      </c>
      <c r="Y81" s="50">
        <v>623183.70759602997</v>
      </c>
      <c r="Z81" s="50">
        <v>647216.40025216097</v>
      </c>
      <c r="AE81" t="s">
        <v>145</v>
      </c>
      <c r="AF81" s="145">
        <f>AF61</f>
        <v>0.01</v>
      </c>
    </row>
    <row r="82" spans="2:32">
      <c r="B82">
        <f t="shared" si="29"/>
        <v>2020</v>
      </c>
      <c r="C82" t="str">
        <f t="shared" si="30"/>
        <v>GAS_LIN</v>
      </c>
      <c r="D82" t="str">
        <f t="shared" si="31"/>
        <v>IT0</v>
      </c>
      <c r="E82" s="26">
        <f t="shared" si="24"/>
        <v>84376473.757252678</v>
      </c>
      <c r="F82">
        <f t="shared" ref="F82:F113" si="32">IF(F81=$F$39,1,F81+1)</f>
        <v>2</v>
      </c>
      <c r="G82">
        <f t="shared" ref="G82:G113" si="33">IF(F82=1,IF(G81=$G$39,1,G81+1),G81)</f>
        <v>1</v>
      </c>
      <c r="H82">
        <f t="shared" ref="H82:H113" si="34">IF(AND(G82=1,G81&gt;1),IF(H81=$H$39,1,H81+1),H81)</f>
        <v>2</v>
      </c>
      <c r="J82" s="200">
        <f t="shared" si="23"/>
        <v>0.01</v>
      </c>
      <c r="K82">
        <f t="shared" si="28"/>
        <v>85228761.370962307</v>
      </c>
      <c r="O82" s="84" t="s">
        <v>262</v>
      </c>
      <c r="P82" s="78">
        <v>10.6</v>
      </c>
      <c r="Q82" s="78">
        <v>12.550540061260699</v>
      </c>
      <c r="R82" s="78">
        <v>13.2499785003774</v>
      </c>
      <c r="S82" s="78">
        <v>12.771521098781299</v>
      </c>
      <c r="T82" s="78">
        <v>5.8659268734707899</v>
      </c>
      <c r="U82" s="78">
        <v>13.0895021753321</v>
      </c>
      <c r="V82" s="78">
        <v>14.4051718384352</v>
      </c>
      <c r="W82" s="78">
        <v>14.3831705134138</v>
      </c>
      <c r="X82" s="78">
        <v>14.752289937406999</v>
      </c>
      <c r="Y82" s="78">
        <v>15.9446188283708</v>
      </c>
      <c r="Z82" s="78">
        <v>14.8430257504008</v>
      </c>
      <c r="AE82" t="s">
        <v>55</v>
      </c>
      <c r="AF82" s="145">
        <f>AF63</f>
        <v>8.5000000000000006E-2</v>
      </c>
    </row>
    <row r="83" spans="2:32">
      <c r="B83">
        <f t="shared" si="29"/>
        <v>2025</v>
      </c>
      <c r="C83" t="str">
        <f t="shared" si="30"/>
        <v>GAS_LIN</v>
      </c>
      <c r="D83" t="str">
        <f t="shared" si="31"/>
        <v>IT0</v>
      </c>
      <c r="E83" s="26">
        <f t="shared" si="24"/>
        <v>78248630.268193528</v>
      </c>
      <c r="F83">
        <f t="shared" si="32"/>
        <v>3</v>
      </c>
      <c r="G83">
        <f t="shared" si="33"/>
        <v>1</v>
      </c>
      <c r="H83">
        <f t="shared" si="34"/>
        <v>2</v>
      </c>
      <c r="J83" s="200">
        <f t="shared" si="23"/>
        <v>0.01</v>
      </c>
      <c r="K83">
        <f t="shared" si="28"/>
        <v>79039020.472922757</v>
      </c>
      <c r="O83" t="s">
        <v>419</v>
      </c>
      <c r="P83" s="1">
        <f>P81*1000*P82/100</f>
        <v>60665178</v>
      </c>
      <c r="Q83" s="1">
        <f>Q81*1000*Q82/100</f>
        <v>77286225.697243392</v>
      </c>
      <c r="R83" s="1">
        <f>R81*1000*R82/100</f>
        <v>83022112.78701973</v>
      </c>
      <c r="S83" s="1">
        <f>S81*1000*S82/100</f>
        <v>82464969.517888457</v>
      </c>
      <c r="T83" s="1">
        <f>T81*1000*0.5*(U82+S82)/100</f>
        <v>77482267.184527099</v>
      </c>
      <c r="U83" s="1">
        <f t="shared" ref="U83:Z83" si="35">U81*1000*U82/100</f>
        <v>79036313.211184621</v>
      </c>
      <c r="V83" s="1">
        <f t="shared" si="35"/>
        <v>87991402.300127327</v>
      </c>
      <c r="W83" s="1">
        <f t="shared" si="35"/>
        <v>87971621.212035105</v>
      </c>
      <c r="X83" s="1">
        <f t="shared" si="35"/>
        <v>91122766.371065289</v>
      </c>
      <c r="Y83" s="1">
        <f t="shared" si="35"/>
        <v>99364266.776695818</v>
      </c>
      <c r="Z83" s="1">
        <f t="shared" si="35"/>
        <v>96066496.950245366</v>
      </c>
      <c r="AE83" t="s">
        <v>110</v>
      </c>
      <c r="AF83" s="145">
        <f>AF82</f>
        <v>8.5000000000000006E-2</v>
      </c>
    </row>
    <row r="84" spans="2:32">
      <c r="B84">
        <f t="shared" si="29"/>
        <v>2030</v>
      </c>
      <c r="C84" t="str">
        <f t="shared" si="30"/>
        <v>GAS_LIN</v>
      </c>
      <c r="D84" t="str">
        <f t="shared" si="31"/>
        <v>IT0</v>
      </c>
      <c r="E84" s="26">
        <f t="shared" si="24"/>
        <v>68581312.308109388</v>
      </c>
      <c r="F84">
        <f t="shared" si="32"/>
        <v>4</v>
      </c>
      <c r="G84">
        <f t="shared" si="33"/>
        <v>1</v>
      </c>
      <c r="H84">
        <f t="shared" si="34"/>
        <v>2</v>
      </c>
      <c r="J84" s="200">
        <f t="shared" si="23"/>
        <v>0.01</v>
      </c>
      <c r="K84">
        <f t="shared" si="28"/>
        <v>69274052.836474136</v>
      </c>
      <c r="AE84" t="s">
        <v>465</v>
      </c>
      <c r="AF84" s="145">
        <f>AF70</f>
        <v>8.5000000000000006E-2</v>
      </c>
    </row>
    <row r="85" spans="2:32">
      <c r="B85">
        <f t="shared" si="29"/>
        <v>2035</v>
      </c>
      <c r="C85" t="str">
        <f t="shared" si="30"/>
        <v>GAS_LIN</v>
      </c>
      <c r="D85" t="str">
        <f t="shared" si="31"/>
        <v>IT0</v>
      </c>
      <c r="E85" s="26">
        <f t="shared" si="24"/>
        <v>58924403.762748942</v>
      </c>
      <c r="F85">
        <f t="shared" si="32"/>
        <v>5</v>
      </c>
      <c r="G85">
        <f t="shared" si="33"/>
        <v>1</v>
      </c>
      <c r="H85">
        <f t="shared" si="34"/>
        <v>2</v>
      </c>
      <c r="J85" s="200">
        <f t="shared" si="23"/>
        <v>0.01</v>
      </c>
      <c r="K85">
        <f t="shared" si="28"/>
        <v>59519599.76035247</v>
      </c>
      <c r="R85" t="s">
        <v>126</v>
      </c>
      <c r="AE85" s="150" t="s">
        <v>468</v>
      </c>
      <c r="AF85" s="145">
        <f>AF68</f>
        <v>0.01</v>
      </c>
    </row>
    <row r="86" spans="2:32">
      <c r="B86">
        <f t="shared" si="29"/>
        <v>2040</v>
      </c>
      <c r="C86" t="str">
        <f t="shared" si="30"/>
        <v>GAS_LIN</v>
      </c>
      <c r="D86" t="str">
        <f t="shared" si="31"/>
        <v>IT0</v>
      </c>
      <c r="E86" s="26">
        <f t="shared" si="24"/>
        <v>58924403.762748942</v>
      </c>
      <c r="F86">
        <f t="shared" si="32"/>
        <v>6</v>
      </c>
      <c r="G86">
        <f t="shared" si="33"/>
        <v>1</v>
      </c>
      <c r="H86">
        <f t="shared" si="34"/>
        <v>2</v>
      </c>
      <c r="J86" s="200">
        <f t="shared" si="23"/>
        <v>0.01</v>
      </c>
      <c r="K86">
        <f t="shared" si="28"/>
        <v>59519599.76035247</v>
      </c>
      <c r="M86" t="str">
        <f>Q86&amp;"."&amp;P86</f>
        <v>LIG_LIN.DE0</v>
      </c>
      <c r="N86" t="s">
        <v>19</v>
      </c>
      <c r="O86" t="s">
        <v>417</v>
      </c>
      <c r="P86" t="s">
        <v>15</v>
      </c>
      <c r="Q86" t="s">
        <v>91</v>
      </c>
      <c r="R86" s="1">
        <f t="shared" ref="R86:R92" si="36">SUMIFS($AT$7:$AT$74,$AR$7:$AR$74,$P86,$AP$7:$AP$74,$Q86)</f>
        <v>4740747.3902420998</v>
      </c>
      <c r="S86" s="1">
        <f t="shared" ref="S86:Z92" si="37">S95*$R103</f>
        <v>4740747.3902420998</v>
      </c>
      <c r="T86" s="1">
        <f t="shared" si="37"/>
        <v>4360479.109653553</v>
      </c>
      <c r="U86" s="1">
        <f t="shared" si="37"/>
        <v>3854264.4078070577</v>
      </c>
      <c r="V86" s="1">
        <f t="shared" si="37"/>
        <v>3206675.3314372399</v>
      </c>
      <c r="W86" s="1">
        <f t="shared" si="37"/>
        <v>2699680.0489106639</v>
      </c>
      <c r="X86" s="1">
        <f t="shared" si="37"/>
        <v>2407556.8586632153</v>
      </c>
      <c r="Y86" s="1">
        <f t="shared" si="37"/>
        <v>2134202.9209225387</v>
      </c>
      <c r="Z86" s="1">
        <f t="shared" si="37"/>
        <v>2134202.9209225387</v>
      </c>
      <c r="AE86" s="150" t="s">
        <v>60</v>
      </c>
      <c r="AF86" s="145">
        <f>AF85</f>
        <v>0.01</v>
      </c>
    </row>
    <row r="87" spans="2:32">
      <c r="B87">
        <f t="shared" si="29"/>
        <v>2045</v>
      </c>
      <c r="C87" t="str">
        <f t="shared" si="30"/>
        <v>GAS_LIN</v>
      </c>
      <c r="D87" t="str">
        <f t="shared" si="31"/>
        <v>IT0</v>
      </c>
      <c r="E87" s="26">
        <f t="shared" si="24"/>
        <v>58924403.762748942</v>
      </c>
      <c r="F87">
        <f t="shared" si="32"/>
        <v>7</v>
      </c>
      <c r="G87">
        <f t="shared" si="33"/>
        <v>1</v>
      </c>
      <c r="H87">
        <f t="shared" si="34"/>
        <v>2</v>
      </c>
      <c r="J87" s="200">
        <f t="shared" si="23"/>
        <v>0.01</v>
      </c>
      <c r="K87">
        <f t="shared" si="28"/>
        <v>59519599.76035247</v>
      </c>
      <c r="M87" t="str">
        <f>Q87&amp;"."&amp;P87</f>
        <v>HCO_LIN.DE0</v>
      </c>
      <c r="N87" t="s">
        <v>18</v>
      </c>
      <c r="O87" t="s">
        <v>417</v>
      </c>
      <c r="P87" t="s">
        <v>15</v>
      </c>
      <c r="Q87" t="s">
        <v>70</v>
      </c>
      <c r="R87" s="1">
        <f t="shared" si="36"/>
        <v>8900082.3646997791</v>
      </c>
      <c r="S87" s="1">
        <f t="shared" si="37"/>
        <v>8900082.3646997791</v>
      </c>
      <c r="T87" s="1">
        <f t="shared" si="37"/>
        <v>8460806.7756617665</v>
      </c>
      <c r="U87" s="1">
        <f t="shared" si="37"/>
        <v>7797571.201690265</v>
      </c>
      <c r="V87" s="1">
        <f t="shared" si="37"/>
        <v>6777384.4042201182</v>
      </c>
      <c r="W87" s="1">
        <f t="shared" si="37"/>
        <v>4554024.5430745324</v>
      </c>
      <c r="X87" s="1">
        <f t="shared" si="37"/>
        <v>4108752.2368632052</v>
      </c>
      <c r="Y87" s="1">
        <f t="shared" si="37"/>
        <v>3692089.1908152821</v>
      </c>
      <c r="Z87" s="1">
        <f t="shared" si="37"/>
        <v>3692089.1908152821</v>
      </c>
      <c r="AE87" s="150" t="s">
        <v>441</v>
      </c>
      <c r="AF87" s="145">
        <f>AF86</f>
        <v>0.01</v>
      </c>
    </row>
    <row r="88" spans="2:32">
      <c r="B88">
        <f t="shared" si="29"/>
        <v>2050</v>
      </c>
      <c r="C88" t="str">
        <f t="shared" si="30"/>
        <v>GAS_LIN</v>
      </c>
      <c r="D88" t="str">
        <f t="shared" si="31"/>
        <v>IT0</v>
      </c>
      <c r="E88" s="26">
        <f t="shared" si="24"/>
        <v>58924403.762748942</v>
      </c>
      <c r="F88">
        <f t="shared" si="32"/>
        <v>8</v>
      </c>
      <c r="G88">
        <f t="shared" si="33"/>
        <v>1</v>
      </c>
      <c r="H88">
        <f t="shared" si="34"/>
        <v>2</v>
      </c>
      <c r="J88" s="200">
        <f t="shared" si="23"/>
        <v>0.01</v>
      </c>
      <c r="K88">
        <f t="shared" si="28"/>
        <v>59519599.76035247</v>
      </c>
      <c r="M88" t="str">
        <f>Q88&amp;"."&amp;P88</f>
        <v>GAS_LIN.DE0</v>
      </c>
      <c r="N88" t="s">
        <v>21</v>
      </c>
      <c r="O88" t="s">
        <v>417</v>
      </c>
      <c r="P88" t="s">
        <v>15</v>
      </c>
      <c r="Q88" t="s">
        <v>60</v>
      </c>
      <c r="R88" s="1">
        <f t="shared" si="36"/>
        <v>52679884.504331097</v>
      </c>
      <c r="S88" s="1">
        <f t="shared" si="37"/>
        <v>55175694.357078016</v>
      </c>
      <c r="T88" s="1">
        <f t="shared" si="37"/>
        <v>47973433.291361548</v>
      </c>
      <c r="U88" s="1">
        <f t="shared" si="37"/>
        <v>47973433.291361548</v>
      </c>
      <c r="V88" s="1">
        <f t="shared" si="37"/>
        <v>47973433.291361548</v>
      </c>
      <c r="W88" s="1">
        <f t="shared" si="37"/>
        <v>47973433.291361548</v>
      </c>
      <c r="X88" s="1">
        <f t="shared" si="37"/>
        <v>47973433.291361548</v>
      </c>
      <c r="Y88" s="1">
        <f t="shared" si="37"/>
        <v>47973433.291361548</v>
      </c>
      <c r="Z88" s="1">
        <f t="shared" si="37"/>
        <v>43881282.211856261</v>
      </c>
      <c r="AE88" s="150" t="s">
        <v>460</v>
      </c>
      <c r="AF88" s="145">
        <f>AF87</f>
        <v>0.01</v>
      </c>
    </row>
    <row r="89" spans="2:32">
      <c r="B89">
        <f t="shared" si="29"/>
        <v>2015</v>
      </c>
      <c r="C89" t="str">
        <f t="shared" si="30"/>
        <v>OIL_LIN</v>
      </c>
      <c r="D89" t="str">
        <f t="shared" si="31"/>
        <v>IT0</v>
      </c>
      <c r="E89" s="26">
        <f t="shared" si="24"/>
        <v>9049483.3720709719</v>
      </c>
      <c r="F89">
        <f t="shared" si="32"/>
        <v>1</v>
      </c>
      <c r="G89">
        <f t="shared" si="33"/>
        <v>2</v>
      </c>
      <c r="H89">
        <f t="shared" si="34"/>
        <v>2</v>
      </c>
      <c r="J89" s="200">
        <f t="shared" si="23"/>
        <v>8.5000000000000006E-2</v>
      </c>
      <c r="K89">
        <f t="shared" si="28"/>
        <v>9890145.7618261985</v>
      </c>
      <c r="M89" t="str">
        <f>Q89&amp;"."&amp;P89</f>
        <v>OIL_LIN.DE0</v>
      </c>
      <c r="N89" t="s">
        <v>20</v>
      </c>
      <c r="O89" t="s">
        <v>417</v>
      </c>
      <c r="P89" t="s">
        <v>15</v>
      </c>
      <c r="Q89" t="s">
        <v>100</v>
      </c>
      <c r="R89" s="1">
        <f t="shared" si="36"/>
        <v>2404042.3484119298</v>
      </c>
      <c r="S89" s="1">
        <f t="shared" si="37"/>
        <v>2878200.2181025655</v>
      </c>
      <c r="T89" s="1">
        <f t="shared" si="37"/>
        <v>958087.97691461386</v>
      </c>
      <c r="U89" s="1">
        <f t="shared" si="37"/>
        <v>834638.02254614793</v>
      </c>
      <c r="V89" s="1">
        <f t="shared" si="37"/>
        <v>714408.7165513729</v>
      </c>
      <c r="W89" s="1">
        <f t="shared" si="37"/>
        <v>607291.32654862327</v>
      </c>
      <c r="X89" s="1">
        <f t="shared" si="37"/>
        <v>493889.55806244403</v>
      </c>
      <c r="Y89" s="1">
        <f t="shared" si="37"/>
        <v>477017.30771595705</v>
      </c>
      <c r="Z89" s="1">
        <f t="shared" si="37"/>
        <v>385874.76767058397</v>
      </c>
    </row>
    <row r="90" spans="2:32">
      <c r="B90">
        <f t="shared" si="29"/>
        <v>2020</v>
      </c>
      <c r="C90" t="str">
        <f t="shared" si="30"/>
        <v>OIL_LIN</v>
      </c>
      <c r="D90" t="str">
        <f t="shared" si="31"/>
        <v>IT0</v>
      </c>
      <c r="E90" s="26">
        <f t="shared" si="24"/>
        <v>5606685.8234863412</v>
      </c>
      <c r="F90">
        <f t="shared" si="32"/>
        <v>2</v>
      </c>
      <c r="G90">
        <f t="shared" si="33"/>
        <v>2</v>
      </c>
      <c r="H90">
        <f t="shared" si="34"/>
        <v>2</v>
      </c>
      <c r="J90" s="200">
        <f t="shared" si="23"/>
        <v>8.5000000000000006E-2</v>
      </c>
      <c r="K90">
        <f t="shared" si="28"/>
        <v>6127525.4901490062</v>
      </c>
      <c r="O90" t="s">
        <v>417</v>
      </c>
      <c r="P90" t="s">
        <v>15</v>
      </c>
      <c r="Q90" t="s">
        <v>110</v>
      </c>
      <c r="R90" s="1">
        <f t="shared" si="36"/>
        <v>3344754.5717035602</v>
      </c>
      <c r="S90" s="1">
        <f t="shared" si="37"/>
        <v>3344754.5717035602</v>
      </c>
      <c r="T90" s="1">
        <f t="shared" si="37"/>
        <v>3344754.5717035602</v>
      </c>
      <c r="U90" s="1">
        <f t="shared" si="37"/>
        <v>3344754.5717035602</v>
      </c>
      <c r="V90" s="1">
        <f t="shared" si="37"/>
        <v>3344754.5717035602</v>
      </c>
      <c r="W90" s="1">
        <f t="shared" si="37"/>
        <v>3344754.5717035602</v>
      </c>
      <c r="X90" s="1">
        <f t="shared" si="37"/>
        <v>3344754.5717035602</v>
      </c>
      <c r="Y90" s="1">
        <f t="shared" si="37"/>
        <v>3344754.5717035602</v>
      </c>
      <c r="Z90" s="1">
        <f t="shared" si="37"/>
        <v>3344754.5717035602</v>
      </c>
    </row>
    <row r="91" spans="2:32">
      <c r="B91">
        <f t="shared" si="29"/>
        <v>2025</v>
      </c>
      <c r="C91" t="str">
        <f t="shared" si="30"/>
        <v>OIL_LIN</v>
      </c>
      <c r="D91" t="str">
        <f t="shared" si="31"/>
        <v>IT0</v>
      </c>
      <c r="E91" s="26">
        <f t="shared" si="24"/>
        <v>3924186.0526425983</v>
      </c>
      <c r="F91">
        <f t="shared" si="32"/>
        <v>3</v>
      </c>
      <c r="G91">
        <f t="shared" si="33"/>
        <v>2</v>
      </c>
      <c r="H91">
        <f t="shared" si="34"/>
        <v>2</v>
      </c>
      <c r="J91" s="200">
        <f t="shared" si="23"/>
        <v>8.5000000000000006E-2</v>
      </c>
      <c r="K91">
        <f t="shared" si="28"/>
        <v>4288727.9263853533</v>
      </c>
      <c r="O91" t="s">
        <v>417</v>
      </c>
      <c r="P91" t="s">
        <v>15</v>
      </c>
      <c r="Q91" t="s">
        <v>55</v>
      </c>
      <c r="R91" s="1">
        <f t="shared" si="36"/>
        <v>25085659.287776701</v>
      </c>
      <c r="S91" s="1">
        <f t="shared" si="37"/>
        <v>25085659.287776701</v>
      </c>
      <c r="T91" s="1">
        <f t="shared" si="37"/>
        <v>25085659.287776701</v>
      </c>
      <c r="U91" s="1">
        <f t="shared" si="37"/>
        <v>25085659.287776701</v>
      </c>
      <c r="V91" s="1">
        <f t="shared" si="37"/>
        <v>25085659.287776701</v>
      </c>
      <c r="W91" s="1">
        <f t="shared" si="37"/>
        <v>25085659.287776701</v>
      </c>
      <c r="X91" s="1">
        <f t="shared" si="37"/>
        <v>25085659.287776701</v>
      </c>
      <c r="Y91" s="1">
        <f t="shared" si="37"/>
        <v>25085659.287776701</v>
      </c>
      <c r="Z91" s="1">
        <f t="shared" si="37"/>
        <v>25085659.287776701</v>
      </c>
    </row>
    <row r="92" spans="2:32">
      <c r="B92">
        <f t="shared" si="29"/>
        <v>2030</v>
      </c>
      <c r="C92" t="str">
        <f t="shared" si="30"/>
        <v>OIL_LIN</v>
      </c>
      <c r="D92" t="str">
        <f t="shared" si="31"/>
        <v>IT0</v>
      </c>
      <c r="E92" s="26">
        <f t="shared" si="24"/>
        <v>1515156.5290892923</v>
      </c>
      <c r="F92">
        <f t="shared" si="32"/>
        <v>4</v>
      </c>
      <c r="G92">
        <f t="shared" si="33"/>
        <v>2</v>
      </c>
      <c r="H92">
        <f t="shared" si="34"/>
        <v>2</v>
      </c>
      <c r="J92" s="200">
        <f t="shared" si="23"/>
        <v>8.5000000000000006E-2</v>
      </c>
      <c r="K92">
        <f t="shared" si="28"/>
        <v>1655908.7749609752</v>
      </c>
      <c r="M92" t="str">
        <f>Q92&amp;"."&amp;P92</f>
        <v>GAS_NEW.DE0</v>
      </c>
      <c r="N92" t="s">
        <v>21</v>
      </c>
      <c r="O92" t="s">
        <v>417</v>
      </c>
      <c r="P92" t="s">
        <v>15</v>
      </c>
      <c r="Q92" t="s">
        <v>441</v>
      </c>
      <c r="R92" s="1">
        <f t="shared" si="36"/>
        <v>0</v>
      </c>
      <c r="S92" s="1">
        <f t="shared" si="37"/>
        <v>0</v>
      </c>
      <c r="T92" s="1">
        <f t="shared" si="37"/>
        <v>0</v>
      </c>
      <c r="U92" s="1">
        <f t="shared" si="37"/>
        <v>2600899.134550462</v>
      </c>
      <c r="V92" s="1">
        <f t="shared" si="37"/>
        <v>11147335.975427743</v>
      </c>
      <c r="W92" s="1">
        <f t="shared" si="37"/>
        <v>37682069.464903079</v>
      </c>
      <c r="X92" s="1">
        <f t="shared" si="37"/>
        <v>44111146.467081584</v>
      </c>
      <c r="Y92" s="1">
        <f t="shared" si="37"/>
        <v>46901525.650575951</v>
      </c>
      <c r="Z92" s="1">
        <f t="shared" si="37"/>
        <v>46901525.650575951</v>
      </c>
    </row>
    <row r="93" spans="2:32">
      <c r="B93">
        <f t="shared" si="29"/>
        <v>2035</v>
      </c>
      <c r="C93" t="str">
        <f t="shared" si="30"/>
        <v>OIL_LIN</v>
      </c>
      <c r="D93" t="str">
        <f t="shared" si="31"/>
        <v>IT0</v>
      </c>
      <c r="E93" s="26">
        <f t="shared" si="24"/>
        <v>518342.106167135</v>
      </c>
      <c r="F93">
        <f t="shared" si="32"/>
        <v>5</v>
      </c>
      <c r="G93">
        <f t="shared" si="33"/>
        <v>2</v>
      </c>
      <c r="H93">
        <f t="shared" si="34"/>
        <v>2</v>
      </c>
      <c r="J93" s="200">
        <f t="shared" si="23"/>
        <v>8.5000000000000006E-2</v>
      </c>
      <c r="K93">
        <f t="shared" si="28"/>
        <v>566494.105100694</v>
      </c>
      <c r="R93" s="1">
        <f t="shared" ref="R93:Z93" si="38">SUM(R86:R92)</f>
        <v>97155170.467165172</v>
      </c>
      <c r="S93" s="1">
        <f t="shared" si="38"/>
        <v>100125138.1896027</v>
      </c>
      <c r="T93" s="1">
        <f t="shared" si="38"/>
        <v>90183221.013071746</v>
      </c>
      <c r="U93" s="1">
        <f t="shared" si="38"/>
        <v>91491219.91743575</v>
      </c>
      <c r="V93" s="1">
        <f t="shared" si="38"/>
        <v>98249651.578478277</v>
      </c>
      <c r="W93" s="1">
        <f t="shared" si="38"/>
        <v>121946912.53427872</v>
      </c>
      <c r="X93" s="1">
        <f t="shared" si="38"/>
        <v>127525192.27151224</v>
      </c>
      <c r="Y93" s="1">
        <f t="shared" si="38"/>
        <v>129608682.22087155</v>
      </c>
      <c r="Z93" s="1">
        <f t="shared" si="38"/>
        <v>125425388.60132088</v>
      </c>
    </row>
    <row r="94" spans="2:32">
      <c r="B94">
        <f t="shared" si="29"/>
        <v>2040</v>
      </c>
      <c r="C94" t="str">
        <f t="shared" si="30"/>
        <v>OIL_LIN</v>
      </c>
      <c r="D94" t="str">
        <f t="shared" si="31"/>
        <v>IT0</v>
      </c>
      <c r="E94" s="26">
        <f t="shared" si="24"/>
        <v>392054.82605040178</v>
      </c>
      <c r="F94">
        <f t="shared" si="32"/>
        <v>6</v>
      </c>
      <c r="G94">
        <f t="shared" si="33"/>
        <v>2</v>
      </c>
      <c r="H94">
        <f t="shared" si="34"/>
        <v>2</v>
      </c>
      <c r="J94" s="200">
        <f t="shared" si="23"/>
        <v>8.5000000000000006E-2</v>
      </c>
      <c r="K94">
        <f t="shared" si="28"/>
        <v>428475.21972721507</v>
      </c>
      <c r="R94" s="145"/>
      <c r="S94" s="145"/>
      <c r="T94" s="145"/>
      <c r="U94" s="145"/>
      <c r="V94" s="145"/>
      <c r="W94" s="145"/>
      <c r="X94" s="145"/>
      <c r="Y94" s="145"/>
      <c r="Z94" s="145"/>
    </row>
    <row r="95" spans="2:32">
      <c r="B95">
        <f t="shared" si="29"/>
        <v>2045</v>
      </c>
      <c r="C95" t="str">
        <f t="shared" si="30"/>
        <v>OIL_LIN</v>
      </c>
      <c r="D95" t="str">
        <f t="shared" si="31"/>
        <v>IT0</v>
      </c>
      <c r="E95" s="26">
        <f t="shared" si="24"/>
        <v>314079.87883293052</v>
      </c>
      <c r="F95">
        <f t="shared" si="32"/>
        <v>7</v>
      </c>
      <c r="G95">
        <f t="shared" si="33"/>
        <v>2</v>
      </c>
      <c r="H95">
        <f t="shared" si="34"/>
        <v>2</v>
      </c>
      <c r="J95" s="200">
        <f t="shared" si="23"/>
        <v>8.5000000000000006E-2</v>
      </c>
      <c r="K95">
        <f t="shared" si="28"/>
        <v>343256.69817806612</v>
      </c>
      <c r="O95" t="s">
        <v>404</v>
      </c>
      <c r="P95" t="s">
        <v>15</v>
      </c>
      <c r="Q95" t="s">
        <v>91</v>
      </c>
      <c r="R95" s="1">
        <f t="shared" ref="R95:R101" si="39">SUMIFS($AV$7:$AV$74,$AR$7:$AR$74,$P95,$AP$7:$AP$74,$Q95)</f>
        <v>20679</v>
      </c>
      <c r="S95" s="26">
        <f>INDEX(ALL_CAPACITY!$P$6:$X$68,MATCH($P95&amp;"."&amp;$Q95,ALL_CAPACITY!$Z$6:$Z$68,0),MATCH(S$80,ALL_CAPACITY!$P$5:$X$5,0))</f>
        <v>20679</v>
      </c>
      <c r="T95" s="26">
        <f>INDEX(ALL_CAPACITY!$P$6:$X$68,MATCH($P95&amp;"."&amp;$Q95,ALL_CAPACITY!$Z$6:$Z$68,0),MATCH(T$80,ALL_CAPACITY!$P$5:$X$5,0))</f>
        <v>19020.280999178278</v>
      </c>
      <c r="U95" s="26">
        <f>INDEX(ALL_CAPACITY!$P$6:$X$68,MATCH($P95&amp;"."&amp;$Q95,ALL_CAPACITY!$Z$6:$Z$68,0),MATCH(U$80,ALL_CAPACITY!$P$5:$X$5,0))</f>
        <v>16812.187431267441</v>
      </c>
      <c r="V95" s="26">
        <f>INDEX(ALL_CAPACITY!$P$6:$X$68,MATCH($P95&amp;"."&amp;$Q95,ALL_CAPACITY!$Z$6:$Z$68,0),MATCH(V$80,ALL_CAPACITY!$P$5:$X$5,0))</f>
        <v>13987.423020108299</v>
      </c>
      <c r="W95" s="26">
        <f>INDEX(ALL_CAPACITY!$P$6:$X$68,MATCH($P95&amp;"."&amp;$Q95,ALL_CAPACITY!$Z$6:$Z$68,0),MATCH(W$80,ALL_CAPACITY!$P$5:$X$5,0))</f>
        <v>11775.924582341577</v>
      </c>
      <c r="X95" s="26">
        <f>INDEX(ALL_CAPACITY!$P$6:$X$68,MATCH($P95&amp;"."&amp;$Q95,ALL_CAPACITY!$Z$6:$Z$68,0),MATCH(X$80,ALL_CAPACITY!$P$5:$X$5,0))</f>
        <v>10501.691860395493</v>
      </c>
      <c r="Y95" s="26">
        <f>INDEX(ALL_CAPACITY!$P$6:$X$68,MATCH($P95&amp;"."&amp;$Q95,ALL_CAPACITY!$Z$6:$Z$68,0),MATCH(Y$80,ALL_CAPACITY!$P$5:$X$5,0))</f>
        <v>9309.330063145042</v>
      </c>
      <c r="Z95" s="26">
        <f>INDEX(ALL_CAPACITY!$P$6:$X$68,MATCH($P95&amp;"."&amp;$Q95,ALL_CAPACITY!$Z$6:$Z$68,0),MATCH(Z$80,ALL_CAPACITY!$P$5:$X$5,0))</f>
        <v>9309.330063145042</v>
      </c>
    </row>
    <row r="96" spans="2:32">
      <c r="B96">
        <f t="shared" si="29"/>
        <v>2050</v>
      </c>
      <c r="C96" t="str">
        <f t="shared" si="30"/>
        <v>OIL_LIN</v>
      </c>
      <c r="D96" t="str">
        <f t="shared" si="31"/>
        <v>IT0</v>
      </c>
      <c r="E96" s="26">
        <f t="shared" si="24"/>
        <v>83244.887761365404</v>
      </c>
      <c r="F96">
        <f t="shared" si="32"/>
        <v>8</v>
      </c>
      <c r="G96">
        <f t="shared" si="33"/>
        <v>2</v>
      </c>
      <c r="H96">
        <f t="shared" si="34"/>
        <v>2</v>
      </c>
      <c r="J96" s="200">
        <f t="shared" si="23"/>
        <v>8.5000000000000006E-2</v>
      </c>
      <c r="K96">
        <f t="shared" si="28"/>
        <v>90978.019411328307</v>
      </c>
      <c r="O96" t="s">
        <v>404</v>
      </c>
      <c r="P96" t="s">
        <v>15</v>
      </c>
      <c r="Q96" t="s">
        <v>70</v>
      </c>
      <c r="R96" s="1">
        <f t="shared" si="39"/>
        <v>24612.6</v>
      </c>
      <c r="S96" s="26">
        <f>INDEX(ALL_CAPACITY!$P$6:$X$68,MATCH($P96&amp;"."&amp;$Q96,ALL_CAPACITY!$Z$6:$Z$68,0),MATCH(S$80,ALL_CAPACITY!$P$5:$X$5,0))</f>
        <v>24612.6</v>
      </c>
      <c r="T96" s="26">
        <f>INDEX(ALL_CAPACITY!$P$6:$X$68,MATCH($P96&amp;"."&amp;$Q96,ALL_CAPACITY!$Z$6:$Z$68,0),MATCH(T$80,ALL_CAPACITY!$P$5:$X$5,0))</f>
        <v>23397.811875606982</v>
      </c>
      <c r="U96" s="26">
        <f>INDEX(ALL_CAPACITY!$P$6:$X$68,MATCH($P96&amp;"."&amp;$Q96,ALL_CAPACITY!$Z$6:$Z$68,0),MATCH(U$80,ALL_CAPACITY!$P$5:$X$5,0))</f>
        <v>21563.676952016125</v>
      </c>
      <c r="V96" s="26">
        <f>INDEX(ALL_CAPACITY!$P$6:$X$68,MATCH($P96&amp;"."&amp;$Q96,ALL_CAPACITY!$Z$6:$Z$68,0),MATCH(V$80,ALL_CAPACITY!$P$5:$X$5,0))</f>
        <v>18742.41659256093</v>
      </c>
      <c r="W96" s="26">
        <f>INDEX(ALL_CAPACITY!$P$6:$X$68,MATCH($P96&amp;"."&amp;$Q96,ALL_CAPACITY!$Z$6:$Z$68,0),MATCH(W$80,ALL_CAPACITY!$P$5:$X$5,0))</f>
        <v>12593.859233645098</v>
      </c>
      <c r="X96" s="26">
        <f>INDEX(ALL_CAPACITY!$P$6:$X$68,MATCH($P96&amp;"."&amp;$Q96,ALL_CAPACITY!$Z$6:$Z$68,0),MATCH(X$80,ALL_CAPACITY!$P$5:$X$5,0))</f>
        <v>11362.487577206884</v>
      </c>
      <c r="Y96" s="26">
        <f>INDEX(ALL_CAPACITY!$P$6:$X$68,MATCH($P96&amp;"."&amp;$Q96,ALL_CAPACITY!$Z$6:$Z$68,0),MATCH(Y$80,ALL_CAPACITY!$P$5:$X$5,0))</f>
        <v>10210.232972481657</v>
      </c>
      <c r="Z96" s="26">
        <f>INDEX(ALL_CAPACITY!$P$6:$X$68,MATCH($P96&amp;"."&amp;$Q96,ALL_CAPACITY!$Z$6:$Z$68,0),MATCH(Z$80,ALL_CAPACITY!$P$5:$X$5,0))</f>
        <v>10210.232972481657</v>
      </c>
    </row>
    <row r="97" spans="2:26">
      <c r="B97">
        <f t="shared" si="29"/>
        <v>2015</v>
      </c>
      <c r="C97" t="str">
        <f t="shared" si="30"/>
        <v>HCO_LIN</v>
      </c>
      <c r="D97" t="str">
        <f t="shared" si="31"/>
        <v>IT0</v>
      </c>
      <c r="E97" s="26">
        <f t="shared" si="24"/>
        <v>122639.64468747843</v>
      </c>
      <c r="F97">
        <f t="shared" si="32"/>
        <v>1</v>
      </c>
      <c r="G97">
        <f t="shared" si="33"/>
        <v>3</v>
      </c>
      <c r="H97">
        <f t="shared" si="34"/>
        <v>2</v>
      </c>
      <c r="J97" s="200">
        <f t="shared" si="23"/>
        <v>8.5000000000000006E-2</v>
      </c>
      <c r="K97">
        <f t="shared" si="28"/>
        <v>134032.39856555019</v>
      </c>
      <c r="O97" t="s">
        <v>404</v>
      </c>
      <c r="P97" t="s">
        <v>15</v>
      </c>
      <c r="Q97" t="s">
        <v>60</v>
      </c>
      <c r="R97" s="1">
        <f t="shared" si="39"/>
        <v>24038.880000000001</v>
      </c>
      <c r="S97" s="26">
        <f>INDEX(ALL_CAPACITY!$P$6:$X$68,MATCH($P97&amp;"."&amp;$Q97,ALL_CAPACITY!$Z$6:$Z$68,0),MATCH(S$80,ALL_CAPACITY!$P$5:$X$5,0))</f>
        <v>25177.76772</v>
      </c>
      <c r="T97" s="26">
        <f>INDEX(ALL_CAPACITY!$P$6:$X$68,MATCH($P97&amp;"."&amp;$Q97,ALL_CAPACITY!$Z$6:$Z$68,0),MATCH(T$80,ALL_CAPACITY!$P$5:$X$5,0))</f>
        <v>21891.232619999999</v>
      </c>
      <c r="U97" s="26">
        <f>INDEX(ALL_CAPACITY!$P$6:$X$68,MATCH($P97&amp;"."&amp;$Q97,ALL_CAPACITY!$Z$6:$Z$68,0),MATCH(U$80,ALL_CAPACITY!$P$5:$X$5,0))</f>
        <v>21891.232619999999</v>
      </c>
      <c r="V97" s="26">
        <f>INDEX(ALL_CAPACITY!$P$6:$X$68,MATCH($P97&amp;"."&amp;$Q97,ALL_CAPACITY!$Z$6:$Z$68,0),MATCH(V$80,ALL_CAPACITY!$P$5:$X$5,0))</f>
        <v>21891.232619999999</v>
      </c>
      <c r="W97" s="26">
        <f>INDEX(ALL_CAPACITY!$P$6:$X$68,MATCH($P97&amp;"."&amp;$Q97,ALL_CAPACITY!$Z$6:$Z$68,0),MATCH(W$80,ALL_CAPACITY!$P$5:$X$5,0))</f>
        <v>21891.232619999999</v>
      </c>
      <c r="X97" s="26">
        <f>INDEX(ALL_CAPACITY!$P$6:$X$68,MATCH($P97&amp;"."&amp;$Q97,ALL_CAPACITY!$Z$6:$Z$68,0),MATCH(X$80,ALL_CAPACITY!$P$5:$X$5,0))</f>
        <v>21891.232619999999</v>
      </c>
      <c r="Y97" s="26">
        <f>INDEX(ALL_CAPACITY!$P$6:$X$68,MATCH($P97&amp;"."&amp;$Q97,ALL_CAPACITY!$Z$6:$Z$68,0),MATCH(Y$80,ALL_CAPACITY!$P$5:$X$5,0))</f>
        <v>21891.232619999999</v>
      </c>
      <c r="Z97" s="26">
        <f>INDEX(ALL_CAPACITY!$P$6:$X$68,MATCH($P97&amp;"."&amp;$Q97,ALL_CAPACITY!$Z$6:$Z$68,0),MATCH(Z$80,ALL_CAPACITY!$P$5:$X$5,0))</f>
        <v>20023.9026197983</v>
      </c>
    </row>
    <row r="98" spans="2:26">
      <c r="B98">
        <f t="shared" si="29"/>
        <v>2020</v>
      </c>
      <c r="C98" t="str">
        <f t="shared" si="30"/>
        <v>HCO_LIN</v>
      </c>
      <c r="D98" t="str">
        <f t="shared" si="31"/>
        <v>IT0</v>
      </c>
      <c r="E98" s="26">
        <f t="shared" si="24"/>
        <v>114213.89167470827</v>
      </c>
      <c r="F98">
        <f t="shared" si="32"/>
        <v>2</v>
      </c>
      <c r="G98">
        <f t="shared" si="33"/>
        <v>3</v>
      </c>
      <c r="H98">
        <f t="shared" si="34"/>
        <v>2</v>
      </c>
      <c r="J98" s="200">
        <f t="shared" si="23"/>
        <v>8.5000000000000006E-2</v>
      </c>
      <c r="K98">
        <f t="shared" si="28"/>
        <v>124823.92532755001</v>
      </c>
      <c r="O98" t="s">
        <v>404</v>
      </c>
      <c r="P98" t="s">
        <v>15</v>
      </c>
      <c r="Q98" t="s">
        <v>100</v>
      </c>
      <c r="R98" s="1">
        <f t="shared" si="39"/>
        <v>4200</v>
      </c>
      <c r="S98" s="26">
        <f>INDEX(ALL_CAPACITY!$P$6:$X$68,MATCH($P98&amp;"."&amp;$Q98,ALL_CAPACITY!$Z$6:$Z$68,0),MATCH(S$80,ALL_CAPACITY!$P$5:$X$5,0))</f>
        <v>5028.3810199999998</v>
      </c>
      <c r="T98" s="26">
        <f>INDEX(ALL_CAPACITY!$P$6:$X$68,MATCH($P98&amp;"."&amp;$Q98,ALL_CAPACITY!$Z$6:$Z$68,0),MATCH(T$80,ALL_CAPACITY!$P$5:$X$5,0))</f>
        <v>1673.8347000000001</v>
      </c>
      <c r="U98" s="26">
        <f>INDEX(ALL_CAPACITY!$P$6:$X$68,MATCH($P98&amp;"."&amp;$Q98,ALL_CAPACITY!$Z$6:$Z$68,0),MATCH(U$80,ALL_CAPACITY!$P$5:$X$5,0))</f>
        <v>1458.1605423920601</v>
      </c>
      <c r="V98" s="26">
        <f>INDEX(ALL_CAPACITY!$P$6:$X$68,MATCH($P98&amp;"."&amp;$Q98,ALL_CAPACITY!$Z$6:$Z$68,0),MATCH(V$80,ALL_CAPACITY!$P$5:$X$5,0))</f>
        <v>1248.1130423920599</v>
      </c>
      <c r="W98" s="26">
        <f>INDEX(ALL_CAPACITY!$P$6:$X$68,MATCH($P98&amp;"."&amp;$Q98,ALL_CAPACITY!$Z$6:$Z$68,0),MATCH(W$80,ALL_CAPACITY!$P$5:$X$5,0))</f>
        <v>1060.97281239206</v>
      </c>
      <c r="X98" s="26">
        <f>INDEX(ALL_CAPACITY!$P$6:$X$68,MATCH($P98&amp;"."&amp;$Q98,ALL_CAPACITY!$Z$6:$Z$68,0),MATCH(X$80,ALL_CAPACITY!$P$5:$X$5,0))</f>
        <v>862.853412392064</v>
      </c>
      <c r="Y98" s="26">
        <f>INDEX(ALL_CAPACITY!$P$6:$X$68,MATCH($P98&amp;"."&amp;$Q98,ALL_CAPACITY!$Z$6:$Z$68,0),MATCH(Y$80,ALL_CAPACITY!$P$5:$X$5,0))</f>
        <v>833.37662239206395</v>
      </c>
      <c r="Z98" s="26">
        <f>INDEX(ALL_CAPACITY!$P$6:$X$68,MATCH($P98&amp;"."&amp;$Q98,ALL_CAPACITY!$Z$6:$Z$68,0),MATCH(Z$80,ALL_CAPACITY!$P$5:$X$5,0))</f>
        <v>674.14537239206402</v>
      </c>
    </row>
    <row r="99" spans="2:26">
      <c r="B99">
        <f t="shared" si="29"/>
        <v>2025</v>
      </c>
      <c r="C99" t="str">
        <f t="shared" si="30"/>
        <v>HCO_LIN</v>
      </c>
      <c r="D99" t="str">
        <f t="shared" si="31"/>
        <v>IT0</v>
      </c>
      <c r="E99" s="26">
        <f t="shared" si="24"/>
        <v>65803.705807716702</v>
      </c>
      <c r="F99">
        <f t="shared" si="32"/>
        <v>3</v>
      </c>
      <c r="G99">
        <f t="shared" si="33"/>
        <v>3</v>
      </c>
      <c r="H99">
        <f t="shared" si="34"/>
        <v>2</v>
      </c>
      <c r="J99" s="200">
        <f t="shared" si="23"/>
        <v>8.5000000000000006E-2</v>
      </c>
      <c r="K99">
        <f t="shared" si="28"/>
        <v>71916.618369089294</v>
      </c>
      <c r="O99" t="s">
        <v>404</v>
      </c>
      <c r="P99" t="s">
        <v>15</v>
      </c>
      <c r="Q99" t="s">
        <v>110</v>
      </c>
      <c r="R99" s="1">
        <f t="shared" si="39"/>
        <v>1924</v>
      </c>
      <c r="S99" s="26">
        <f>INDEX(ALL_CAPACITY!$P$6:$X$68,MATCH($P99&amp;"."&amp;$Q99,ALL_CAPACITY!$Z$6:$Z$68,0),MATCH(S$80,ALL_CAPACITY!$P$5:$X$5,0))</f>
        <v>1924</v>
      </c>
      <c r="T99" s="26">
        <f>INDEX(ALL_CAPACITY!$P$6:$X$68,MATCH($P99&amp;"."&amp;$Q99,ALL_CAPACITY!$Z$6:$Z$68,0),MATCH(T$80,ALL_CAPACITY!$P$5:$X$5,0))</f>
        <v>1924</v>
      </c>
      <c r="U99" s="26">
        <f>INDEX(ALL_CAPACITY!$P$6:$X$68,MATCH($P99&amp;"."&amp;$Q99,ALL_CAPACITY!$Z$6:$Z$68,0),MATCH(U$80,ALL_CAPACITY!$P$5:$X$5,0))</f>
        <v>1924</v>
      </c>
      <c r="V99" s="26">
        <f>INDEX(ALL_CAPACITY!$P$6:$X$68,MATCH($P99&amp;"."&amp;$Q99,ALL_CAPACITY!$Z$6:$Z$68,0),MATCH(V$80,ALL_CAPACITY!$P$5:$X$5,0))</f>
        <v>1924</v>
      </c>
      <c r="W99" s="26">
        <f>INDEX(ALL_CAPACITY!$P$6:$X$68,MATCH($P99&amp;"."&amp;$Q99,ALL_CAPACITY!$Z$6:$Z$68,0),MATCH(W$80,ALL_CAPACITY!$P$5:$X$5,0))</f>
        <v>1924</v>
      </c>
      <c r="X99" s="26">
        <f>INDEX(ALL_CAPACITY!$P$6:$X$68,MATCH($P99&amp;"."&amp;$Q99,ALL_CAPACITY!$Z$6:$Z$68,0),MATCH(X$80,ALL_CAPACITY!$P$5:$X$5,0))</f>
        <v>1924</v>
      </c>
      <c r="Y99" s="26">
        <f>INDEX(ALL_CAPACITY!$P$6:$X$68,MATCH($P99&amp;"."&amp;$Q99,ALL_CAPACITY!$Z$6:$Z$68,0),MATCH(Y$80,ALL_CAPACITY!$P$5:$X$5,0))</f>
        <v>1924</v>
      </c>
      <c r="Z99" s="26">
        <f>INDEX(ALL_CAPACITY!$P$6:$X$68,MATCH($P99&amp;"."&amp;$Q99,ALL_CAPACITY!$Z$6:$Z$68,0),MATCH(Z$80,ALL_CAPACITY!$P$5:$X$5,0))</f>
        <v>1924</v>
      </c>
    </row>
    <row r="100" spans="2:26">
      <c r="B100">
        <f t="shared" si="29"/>
        <v>2030</v>
      </c>
      <c r="C100" t="str">
        <f t="shared" si="30"/>
        <v>HCO_LIN</v>
      </c>
      <c r="D100" t="str">
        <f t="shared" si="31"/>
        <v>IT0</v>
      </c>
      <c r="E100" s="26">
        <f t="shared" si="24"/>
        <v>65737.560400714559</v>
      </c>
      <c r="F100">
        <f t="shared" si="32"/>
        <v>4</v>
      </c>
      <c r="G100">
        <f t="shared" si="33"/>
        <v>3</v>
      </c>
      <c r="H100">
        <f t="shared" si="34"/>
        <v>2</v>
      </c>
      <c r="J100" s="200">
        <f t="shared" si="23"/>
        <v>8.5000000000000006E-2</v>
      </c>
      <c r="K100">
        <f t="shared" si="28"/>
        <v>71844.328306791867</v>
      </c>
      <c r="O100" t="s">
        <v>404</v>
      </c>
      <c r="P100" t="s">
        <v>15</v>
      </c>
      <c r="Q100" t="s">
        <v>55</v>
      </c>
      <c r="R100" s="1">
        <f t="shared" si="39"/>
        <v>7467</v>
      </c>
      <c r="S100" s="26">
        <f>INDEX(ALL_CAPACITY!$P$6:$X$68,MATCH($P100&amp;"."&amp;$Q100,ALL_CAPACITY!$Z$6:$Z$68,0),MATCH(S$80,ALL_CAPACITY!$P$5:$X$5,0))</f>
        <v>7467</v>
      </c>
      <c r="T100" s="26">
        <f>INDEX(ALL_CAPACITY!$P$6:$X$68,MATCH($P100&amp;"."&amp;$Q100,ALL_CAPACITY!$Z$6:$Z$68,0),MATCH(T$80,ALL_CAPACITY!$P$5:$X$5,0))</f>
        <v>7467</v>
      </c>
      <c r="U100" s="26">
        <f>INDEX(ALL_CAPACITY!$P$6:$X$68,MATCH($P100&amp;"."&amp;$Q100,ALL_CAPACITY!$Z$6:$Z$68,0),MATCH(U$80,ALL_CAPACITY!$P$5:$X$5,0))</f>
        <v>7467</v>
      </c>
      <c r="V100" s="26">
        <f>INDEX(ALL_CAPACITY!$P$6:$X$68,MATCH($P100&amp;"."&amp;$Q100,ALL_CAPACITY!$Z$6:$Z$68,0),MATCH(V$80,ALL_CAPACITY!$P$5:$X$5,0))</f>
        <v>7467</v>
      </c>
      <c r="W100" s="26">
        <f>INDEX(ALL_CAPACITY!$P$6:$X$68,MATCH($P100&amp;"."&amp;$Q100,ALL_CAPACITY!$Z$6:$Z$68,0),MATCH(W$80,ALL_CAPACITY!$P$5:$X$5,0))</f>
        <v>7467</v>
      </c>
      <c r="X100" s="26">
        <f>INDEX(ALL_CAPACITY!$P$6:$X$68,MATCH($P100&amp;"."&amp;$Q100,ALL_CAPACITY!$Z$6:$Z$68,0),MATCH(X$80,ALL_CAPACITY!$P$5:$X$5,0))</f>
        <v>7467</v>
      </c>
      <c r="Y100" s="26">
        <f>INDEX(ALL_CAPACITY!$P$6:$X$68,MATCH($P100&amp;"."&amp;$Q100,ALL_CAPACITY!$Z$6:$Z$68,0),MATCH(Y$80,ALL_CAPACITY!$P$5:$X$5,0))</f>
        <v>7467</v>
      </c>
      <c r="Z100" s="26">
        <f>INDEX(ALL_CAPACITY!$P$6:$X$68,MATCH($P100&amp;"."&amp;$Q100,ALL_CAPACITY!$Z$6:$Z$68,0),MATCH(Z$80,ALL_CAPACITY!$P$5:$X$5,0))</f>
        <v>7467</v>
      </c>
    </row>
    <row r="101" spans="2:26">
      <c r="B101">
        <f t="shared" si="29"/>
        <v>2035</v>
      </c>
      <c r="C101" t="str">
        <f t="shared" si="30"/>
        <v>HCO_LIN</v>
      </c>
      <c r="D101" t="str">
        <f t="shared" si="31"/>
        <v>IT0</v>
      </c>
      <c r="E101" s="26">
        <f t="shared" si="24"/>
        <v>61929.751122766938</v>
      </c>
      <c r="F101">
        <f t="shared" si="32"/>
        <v>5</v>
      </c>
      <c r="G101">
        <f t="shared" si="33"/>
        <v>3</v>
      </c>
      <c r="H101">
        <f t="shared" si="34"/>
        <v>2</v>
      </c>
      <c r="J101" s="200">
        <f t="shared" si="23"/>
        <v>8.5000000000000006E-2</v>
      </c>
      <c r="K101">
        <f t="shared" si="28"/>
        <v>67682.788112313588</v>
      </c>
      <c r="O101" t="s">
        <v>404</v>
      </c>
      <c r="P101" t="s">
        <v>15</v>
      </c>
      <c r="Q101" t="s">
        <v>441</v>
      </c>
      <c r="R101" s="1">
        <f t="shared" si="39"/>
        <v>0</v>
      </c>
      <c r="S101" s="26">
        <f>INDEX(ALL_CAPACITY!$P$6:$X$68,MATCH($P101&amp;"."&amp;$Q101,ALL_CAPACITY!$Z$6:$Z$68,0),MATCH(S$80,ALL_CAPACITY!$P$5:$X$5,0))</f>
        <v>0</v>
      </c>
      <c r="T101" s="26">
        <f>INDEX(ALL_CAPACITY!$P$6:$X$68,MATCH($P101&amp;"."&amp;$Q101,ALL_CAPACITY!$Z$6:$Z$68,0),MATCH(T$80,ALL_CAPACITY!$P$5:$X$5,0))</f>
        <v>0</v>
      </c>
      <c r="U101" s="26">
        <f>INDEX(ALL_CAPACITY!$P$6:$X$68,MATCH($P101&amp;"."&amp;$Q101,ALL_CAPACITY!$Z$6:$Z$68,0),MATCH(U$80,ALL_CAPACITY!$P$5:$X$5,0))</f>
        <v>1186.8420513037017</v>
      </c>
      <c r="V101" s="26">
        <f>INDEX(ALL_CAPACITY!$P$6:$X$68,MATCH($P101&amp;"."&amp;$Q101,ALL_CAPACITY!$Z$6:$Z$68,0),MATCH(V$80,ALL_CAPACITY!$P$5:$X$5,0))</f>
        <v>5086.7513160732015</v>
      </c>
      <c r="W101" s="26">
        <f>INDEX(ALL_CAPACITY!$P$6:$X$68,MATCH($P101&amp;"."&amp;$Q101,ALL_CAPACITY!$Z$6:$Z$68,0),MATCH(W$80,ALL_CAPACITY!$P$5:$X$5,0))</f>
        <v>17195.078435375002</v>
      </c>
      <c r="X101" s="26">
        <f>INDEX(ALL_CAPACITY!$P$6:$X$68,MATCH($P101&amp;"."&amp;$Q101,ALL_CAPACITY!$Z$6:$Z$68,0),MATCH(X$80,ALL_CAPACITY!$P$5:$X$5,0))</f>
        <v>20128.794255375</v>
      </c>
      <c r="Y101" s="26">
        <f>INDEX(ALL_CAPACITY!$P$6:$X$68,MATCH($P101&amp;"."&amp;$Q101,ALL_CAPACITY!$Z$6:$Z$68,0),MATCH(Y$80,ALL_CAPACITY!$P$5:$X$5,0))</f>
        <v>21402.099824999099</v>
      </c>
      <c r="Z101" s="26">
        <f>INDEX(ALL_CAPACITY!$P$6:$X$68,MATCH($P101&amp;"."&amp;$Q101,ALL_CAPACITY!$Z$6:$Z$68,0),MATCH(Z$80,ALL_CAPACITY!$P$5:$X$5,0))</f>
        <v>21402.099824999099</v>
      </c>
    </row>
    <row r="102" spans="2:26">
      <c r="B102">
        <f t="shared" si="29"/>
        <v>2040</v>
      </c>
      <c r="C102" t="str">
        <f t="shared" si="30"/>
        <v>HCO_LIN</v>
      </c>
      <c r="D102" t="str">
        <f t="shared" si="31"/>
        <v>IT0</v>
      </c>
      <c r="E102" s="26">
        <f t="shared" si="24"/>
        <v>28703.353030769049</v>
      </c>
      <c r="F102">
        <f t="shared" si="32"/>
        <v>6</v>
      </c>
      <c r="G102">
        <f t="shared" si="33"/>
        <v>3</v>
      </c>
      <c r="H102">
        <f t="shared" si="34"/>
        <v>2</v>
      </c>
      <c r="J102" s="200">
        <f t="shared" si="23"/>
        <v>8.5000000000000006E-2</v>
      </c>
      <c r="K102">
        <f t="shared" si="28"/>
        <v>31369.784733080927</v>
      </c>
    </row>
    <row r="103" spans="2:26">
      <c r="B103">
        <f t="shared" si="29"/>
        <v>2045</v>
      </c>
      <c r="C103" t="str">
        <f t="shared" si="30"/>
        <v>HCO_LIN</v>
      </c>
      <c r="D103" t="str">
        <f t="shared" si="31"/>
        <v>IT0</v>
      </c>
      <c r="E103" s="26">
        <f t="shared" si="24"/>
        <v>28549.142686179268</v>
      </c>
      <c r="F103">
        <f t="shared" si="32"/>
        <v>7</v>
      </c>
      <c r="G103">
        <f t="shared" si="33"/>
        <v>3</v>
      </c>
      <c r="H103">
        <f t="shared" si="34"/>
        <v>2</v>
      </c>
      <c r="J103" s="200">
        <f t="shared" si="23"/>
        <v>8.5000000000000006E-2</v>
      </c>
      <c r="K103">
        <f t="shared" si="28"/>
        <v>31201.248837354389</v>
      </c>
      <c r="O103" t="s">
        <v>416</v>
      </c>
      <c r="P103" t="s">
        <v>15</v>
      </c>
      <c r="Q103" t="s">
        <v>91</v>
      </c>
      <c r="R103">
        <f t="shared" ref="R103:R108" si="40">R86/R95</f>
        <v>229.25418976943274</v>
      </c>
    </row>
    <row r="104" spans="2:26">
      <c r="B104">
        <f t="shared" si="29"/>
        <v>2050</v>
      </c>
      <c r="C104" t="str">
        <f t="shared" si="30"/>
        <v>HCO_LIN</v>
      </c>
      <c r="D104" t="str">
        <f t="shared" si="31"/>
        <v>IT0</v>
      </c>
      <c r="E104" s="26">
        <f t="shared" si="24"/>
        <v>24515.949058446578</v>
      </c>
      <c r="F104">
        <f t="shared" si="32"/>
        <v>8</v>
      </c>
      <c r="G104">
        <f t="shared" si="33"/>
        <v>3</v>
      </c>
      <c r="H104">
        <f t="shared" si="34"/>
        <v>2</v>
      </c>
      <c r="J104" s="200">
        <f t="shared" si="23"/>
        <v>8.5000000000000006E-2</v>
      </c>
      <c r="K104">
        <f t="shared" si="28"/>
        <v>26793.386949121941</v>
      </c>
      <c r="O104" t="s">
        <v>416</v>
      </c>
      <c r="P104" t="s">
        <v>15</v>
      </c>
      <c r="Q104" t="s">
        <v>70</v>
      </c>
      <c r="R104">
        <f t="shared" si="40"/>
        <v>361.60675282984243</v>
      </c>
    </row>
    <row r="105" spans="2:26">
      <c r="B105">
        <f t="shared" si="29"/>
        <v>2015</v>
      </c>
      <c r="C105" t="str">
        <f t="shared" si="30"/>
        <v>GAS_NEW</v>
      </c>
      <c r="D105" t="str">
        <f t="shared" si="31"/>
        <v>IT0</v>
      </c>
      <c r="E105" s="26">
        <f t="shared" si="24"/>
        <v>0</v>
      </c>
      <c r="F105">
        <f t="shared" si="32"/>
        <v>1</v>
      </c>
      <c r="G105">
        <f t="shared" si="33"/>
        <v>4</v>
      </c>
      <c r="H105">
        <f t="shared" si="34"/>
        <v>2</v>
      </c>
      <c r="J105" s="200">
        <f t="shared" si="23"/>
        <v>0.01</v>
      </c>
      <c r="K105">
        <f t="shared" si="28"/>
        <v>0</v>
      </c>
      <c r="O105" t="s">
        <v>416</v>
      </c>
      <c r="P105" t="s">
        <v>15</v>
      </c>
      <c r="Q105" t="s">
        <v>60</v>
      </c>
      <c r="R105">
        <f t="shared" si="40"/>
        <v>2191.4450467048005</v>
      </c>
    </row>
    <row r="106" spans="2:26">
      <c r="B106">
        <f t="shared" si="29"/>
        <v>2020</v>
      </c>
      <c r="C106" t="str">
        <f t="shared" si="30"/>
        <v>GAS_NEW</v>
      </c>
      <c r="D106" t="str">
        <f t="shared" si="31"/>
        <v>IT0</v>
      </c>
      <c r="E106" s="26">
        <f t="shared" si="24"/>
        <v>0</v>
      </c>
      <c r="F106">
        <f t="shared" si="32"/>
        <v>2</v>
      </c>
      <c r="G106">
        <f t="shared" si="33"/>
        <v>4</v>
      </c>
      <c r="H106">
        <f t="shared" si="34"/>
        <v>2</v>
      </c>
      <c r="J106" s="200">
        <f t="shared" si="23"/>
        <v>0.01</v>
      </c>
      <c r="K106">
        <f t="shared" si="28"/>
        <v>0</v>
      </c>
      <c r="O106" t="s">
        <v>416</v>
      </c>
      <c r="P106" t="s">
        <v>15</v>
      </c>
      <c r="Q106" t="s">
        <v>100</v>
      </c>
      <c r="R106">
        <f t="shared" si="40"/>
        <v>572.39103533617379</v>
      </c>
    </row>
    <row r="107" spans="2:26">
      <c r="B107">
        <f t="shared" si="29"/>
        <v>2025</v>
      </c>
      <c r="C107" t="str">
        <f t="shared" si="30"/>
        <v>GAS_NEW</v>
      </c>
      <c r="D107" t="str">
        <f t="shared" si="31"/>
        <v>IT0</v>
      </c>
      <c r="E107" s="26">
        <f t="shared" si="24"/>
        <v>0</v>
      </c>
      <c r="F107">
        <f t="shared" si="32"/>
        <v>3</v>
      </c>
      <c r="G107">
        <f t="shared" si="33"/>
        <v>4</v>
      </c>
      <c r="H107">
        <f t="shared" si="34"/>
        <v>2</v>
      </c>
      <c r="J107" s="200">
        <f t="shared" si="23"/>
        <v>0.01</v>
      </c>
      <c r="K107">
        <f t="shared" si="28"/>
        <v>0</v>
      </c>
      <c r="O107" t="s">
        <v>416</v>
      </c>
      <c r="P107" t="s">
        <v>15</v>
      </c>
      <c r="Q107" t="s">
        <v>110</v>
      </c>
      <c r="R107">
        <f t="shared" si="40"/>
        <v>1738.4379270808524</v>
      </c>
    </row>
    <row r="108" spans="2:26">
      <c r="B108">
        <f t="shared" si="29"/>
        <v>2030</v>
      </c>
      <c r="C108" t="str">
        <f t="shared" si="30"/>
        <v>GAS_NEW</v>
      </c>
      <c r="D108" t="str">
        <f t="shared" si="31"/>
        <v>IT0</v>
      </c>
      <c r="E108" s="26">
        <f t="shared" si="24"/>
        <v>0</v>
      </c>
      <c r="F108">
        <f t="shared" si="32"/>
        <v>4</v>
      </c>
      <c r="G108">
        <f t="shared" si="33"/>
        <v>4</v>
      </c>
      <c r="H108">
        <f t="shared" si="34"/>
        <v>2</v>
      </c>
      <c r="J108" s="200">
        <f t="shared" si="23"/>
        <v>0.01</v>
      </c>
      <c r="K108">
        <f t="shared" si="28"/>
        <v>0</v>
      </c>
      <c r="O108" t="s">
        <v>416</v>
      </c>
      <c r="P108" t="s">
        <v>15</v>
      </c>
      <c r="Q108" t="s">
        <v>55</v>
      </c>
      <c r="R108">
        <f t="shared" si="40"/>
        <v>3359.5365324463241</v>
      </c>
    </row>
    <row r="109" spans="2:26">
      <c r="B109">
        <f t="shared" si="29"/>
        <v>2035</v>
      </c>
      <c r="C109" t="str">
        <f t="shared" si="30"/>
        <v>GAS_NEW</v>
      </c>
      <c r="D109" t="str">
        <f t="shared" si="31"/>
        <v>IT0</v>
      </c>
      <c r="E109" s="26">
        <f t="shared" si="24"/>
        <v>0</v>
      </c>
      <c r="F109">
        <f t="shared" si="32"/>
        <v>5</v>
      </c>
      <c r="G109">
        <f t="shared" si="33"/>
        <v>4</v>
      </c>
      <c r="H109">
        <f t="shared" si="34"/>
        <v>2</v>
      </c>
      <c r="J109" s="200">
        <f t="shared" si="23"/>
        <v>0.01</v>
      </c>
      <c r="K109">
        <f t="shared" si="28"/>
        <v>0</v>
      </c>
      <c r="O109" t="s">
        <v>416</v>
      </c>
      <c r="P109" t="s">
        <v>15</v>
      </c>
      <c r="Q109" t="s">
        <v>441</v>
      </c>
      <c r="R109" s="146">
        <f>R105</f>
        <v>2191.4450467048005</v>
      </c>
    </row>
    <row r="110" spans="2:26">
      <c r="B110">
        <f t="shared" si="29"/>
        <v>2040</v>
      </c>
      <c r="C110" t="str">
        <f t="shared" si="30"/>
        <v>GAS_NEW</v>
      </c>
      <c r="D110" t="str">
        <f t="shared" si="31"/>
        <v>IT0</v>
      </c>
      <c r="E110" s="26">
        <f t="shared" si="24"/>
        <v>15364375.030248389</v>
      </c>
      <c r="F110">
        <f t="shared" si="32"/>
        <v>6</v>
      </c>
      <c r="G110">
        <f t="shared" si="33"/>
        <v>4</v>
      </c>
      <c r="H110">
        <f t="shared" si="34"/>
        <v>2</v>
      </c>
      <c r="J110" s="200">
        <f t="shared" si="23"/>
        <v>0.01</v>
      </c>
      <c r="K110">
        <f t="shared" si="28"/>
        <v>15519570.737624636</v>
      </c>
    </row>
    <row r="111" spans="2:26">
      <c r="B111">
        <f t="shared" si="29"/>
        <v>2045</v>
      </c>
      <c r="C111" t="str">
        <f t="shared" si="30"/>
        <v>GAS_NEW</v>
      </c>
      <c r="D111" t="str">
        <f t="shared" si="31"/>
        <v>IT0</v>
      </c>
      <c r="E111" s="26">
        <f t="shared" si="24"/>
        <v>15148180.580595141</v>
      </c>
      <c r="F111">
        <f t="shared" si="32"/>
        <v>7</v>
      </c>
      <c r="G111">
        <f t="shared" si="33"/>
        <v>4</v>
      </c>
      <c r="H111">
        <f t="shared" si="34"/>
        <v>2</v>
      </c>
      <c r="J111" s="200">
        <f t="shared" si="23"/>
        <v>0.01</v>
      </c>
      <c r="K111">
        <f t="shared" si="28"/>
        <v>15301192.505651658</v>
      </c>
    </row>
    <row r="112" spans="2:26">
      <c r="B112">
        <f t="shared" si="29"/>
        <v>2050</v>
      </c>
      <c r="C112" t="str">
        <f t="shared" si="30"/>
        <v>GAS_NEW</v>
      </c>
      <c r="D112" t="str">
        <f t="shared" si="31"/>
        <v>IT0</v>
      </c>
      <c r="E112" s="26">
        <f t="shared" si="24"/>
        <v>15115535.284946727</v>
      </c>
      <c r="F112">
        <f t="shared" si="32"/>
        <v>8</v>
      </c>
      <c r="G112">
        <f t="shared" si="33"/>
        <v>4</v>
      </c>
      <c r="H112">
        <f t="shared" si="34"/>
        <v>2</v>
      </c>
      <c r="J112" s="200">
        <f t="shared" si="23"/>
        <v>0.01</v>
      </c>
      <c r="K112">
        <f t="shared" si="28"/>
        <v>15268217.459542148</v>
      </c>
    </row>
    <row r="113" spans="2:26">
      <c r="B113">
        <f t="shared" ref="B113:B144" si="41">INDEX(F$40:F$47,F113)</f>
        <v>2015</v>
      </c>
      <c r="C113" t="str">
        <f t="shared" ref="C113:C144" si="42">INDEX(G$40:G$47,G113)</f>
        <v>GAS_LIN</v>
      </c>
      <c r="D113" t="str">
        <f t="shared" ref="D113:D144" si="43">INDEX(H$40:H$47,H113)</f>
        <v>FR0</v>
      </c>
      <c r="E113" s="26">
        <f t="shared" si="24"/>
        <v>6010635.9905090518</v>
      </c>
      <c r="F113">
        <f t="shared" si="32"/>
        <v>1</v>
      </c>
      <c r="G113">
        <f t="shared" si="33"/>
        <v>1</v>
      </c>
      <c r="H113">
        <f t="shared" si="34"/>
        <v>3</v>
      </c>
      <c r="J113" s="200">
        <f t="shared" ref="J113:J144" si="44">INDEX($AF$59:$AF$96,MATCH(C113,$AE$59:$AE$96,0))</f>
        <v>0.01</v>
      </c>
      <c r="K113">
        <f t="shared" si="28"/>
        <v>6071349.4853626788</v>
      </c>
    </row>
    <row r="114" spans="2:26">
      <c r="B114">
        <f t="shared" si="41"/>
        <v>2020</v>
      </c>
      <c r="C114" t="str">
        <f t="shared" si="42"/>
        <v>GAS_LIN</v>
      </c>
      <c r="D114" t="str">
        <f t="shared" si="43"/>
        <v>FR0</v>
      </c>
      <c r="E114" s="26">
        <f t="shared" ref="E114:E144" si="45">K114*(1-J114)</f>
        <v>5720717.3571756687</v>
      </c>
      <c r="F114">
        <f t="shared" ref="F114:F144" si="46">IF(F113=$F$39,1,F113+1)</f>
        <v>2</v>
      </c>
      <c r="G114">
        <f t="shared" ref="G114:G144" si="47">IF(F114=1,IF(G113=$G$39,1,G113+1),G113)</f>
        <v>1</v>
      </c>
      <c r="H114">
        <f t="shared" ref="H114:H144" si="48">IF(AND(G114=1,G113&gt;1),IF(H113=$H$39,1,H113+1),H113)</f>
        <v>3</v>
      </c>
      <c r="J114" s="200">
        <f t="shared" si="44"/>
        <v>0.01</v>
      </c>
      <c r="K114">
        <f t="shared" ref="K114:K144" si="49">INDEX($P$86:$Z$212,MATCH(C114&amp;"."&amp;D114,$M$86:$M$212,0),MATCH(B114,$P$80:$Z$80,0))</f>
        <v>5778502.3809855236</v>
      </c>
    </row>
    <row r="115" spans="2:26">
      <c r="B115">
        <f t="shared" si="41"/>
        <v>2025</v>
      </c>
      <c r="C115" t="str">
        <f t="shared" si="42"/>
        <v>GAS_LIN</v>
      </c>
      <c r="D115" t="str">
        <f t="shared" si="43"/>
        <v>FR0</v>
      </c>
      <c r="E115" s="26">
        <f t="shared" si="45"/>
        <v>5547109.4070525318</v>
      </c>
      <c r="F115">
        <f t="shared" si="46"/>
        <v>3</v>
      </c>
      <c r="G115">
        <f t="shared" si="47"/>
        <v>1</v>
      </c>
      <c r="H115">
        <f t="shared" si="48"/>
        <v>3</v>
      </c>
      <c r="J115" s="200">
        <f t="shared" si="44"/>
        <v>0.01</v>
      </c>
      <c r="K115">
        <f t="shared" si="49"/>
        <v>5603140.8152045775</v>
      </c>
      <c r="N115" t="s">
        <v>420</v>
      </c>
      <c r="O115" s="49" t="s">
        <v>231</v>
      </c>
      <c r="P115" s="50">
        <v>535964.88138954702</v>
      </c>
      <c r="Q115" s="50">
        <v>571352.75322503201</v>
      </c>
      <c r="R115" s="50">
        <v>563930.65555227303</v>
      </c>
      <c r="S115" s="50">
        <v>584203.82613881305</v>
      </c>
      <c r="T115" s="50">
        <v>596131.22703056003</v>
      </c>
      <c r="U115" s="50">
        <v>599538.69586694497</v>
      </c>
      <c r="V115" s="50">
        <v>608390.66431872</v>
      </c>
      <c r="W115" s="50">
        <v>603936.16450018401</v>
      </c>
      <c r="X115" s="50">
        <v>609180.06277703505</v>
      </c>
      <c r="Y115" s="50">
        <v>628568.217998915</v>
      </c>
      <c r="Z115" s="50">
        <v>647491.90661156399</v>
      </c>
    </row>
    <row r="116" spans="2:26">
      <c r="B116">
        <f t="shared" si="41"/>
        <v>2030</v>
      </c>
      <c r="C116" t="str">
        <f t="shared" si="42"/>
        <v>GAS_LIN</v>
      </c>
      <c r="D116" t="str">
        <f t="shared" si="43"/>
        <v>FR0</v>
      </c>
      <c r="E116" s="26">
        <f t="shared" si="45"/>
        <v>5199013.4026419213</v>
      </c>
      <c r="F116">
        <f t="shared" si="46"/>
        <v>4</v>
      </c>
      <c r="G116">
        <f t="shared" si="47"/>
        <v>1</v>
      </c>
      <c r="H116">
        <f t="shared" si="48"/>
        <v>3</v>
      </c>
      <c r="J116" s="200">
        <f t="shared" si="44"/>
        <v>0.01</v>
      </c>
      <c r="K116">
        <f t="shared" si="49"/>
        <v>5251528.6895372942</v>
      </c>
      <c r="O116" s="84" t="s">
        <v>262</v>
      </c>
      <c r="P116" s="78">
        <v>3</v>
      </c>
      <c r="Q116" s="78">
        <v>2.3662105138620499</v>
      </c>
      <c r="R116" s="78">
        <v>2.8</v>
      </c>
      <c r="S116" s="78">
        <v>2.3860978225072502</v>
      </c>
      <c r="T116" s="78">
        <v>1.8782354631109901</v>
      </c>
      <c r="U116" s="78">
        <v>1.86815047553366</v>
      </c>
      <c r="V116" s="78">
        <v>1.79426407445977</v>
      </c>
      <c r="W116" s="78">
        <v>1.8888679224393199</v>
      </c>
      <c r="X116" s="78">
        <v>2.5750884085629502</v>
      </c>
      <c r="Y116" s="78">
        <v>2.6235925782376199</v>
      </c>
      <c r="Z116" s="78">
        <v>2.6973664686380299</v>
      </c>
    </row>
    <row r="117" spans="2:26">
      <c r="B117">
        <f t="shared" si="41"/>
        <v>2035</v>
      </c>
      <c r="C117" t="str">
        <f t="shared" si="42"/>
        <v>GAS_LIN</v>
      </c>
      <c r="D117" t="str">
        <f t="shared" si="43"/>
        <v>FR0</v>
      </c>
      <c r="E117" s="26">
        <f t="shared" si="45"/>
        <v>5199013.4026419213</v>
      </c>
      <c r="F117">
        <f t="shared" si="46"/>
        <v>5</v>
      </c>
      <c r="G117">
        <f t="shared" si="47"/>
        <v>1</v>
      </c>
      <c r="H117">
        <f t="shared" si="48"/>
        <v>3</v>
      </c>
      <c r="J117" s="200">
        <f t="shared" si="44"/>
        <v>0.01</v>
      </c>
      <c r="K117">
        <f t="shared" si="49"/>
        <v>5251528.6895372942</v>
      </c>
      <c r="O117" t="s">
        <v>419</v>
      </c>
      <c r="P117" s="1">
        <f t="shared" ref="P117:Z117" si="50">P115*1000*P116/100</f>
        <v>16078946.44168641</v>
      </c>
      <c r="Q117" s="1">
        <f t="shared" si="50"/>
        <v>13519408.918050999</v>
      </c>
      <c r="R117" s="1">
        <f t="shared" si="50"/>
        <v>15790058.355463643</v>
      </c>
      <c r="S117" s="1">
        <f t="shared" si="50"/>
        <v>13939674.774502259</v>
      </c>
      <c r="T117" s="1">
        <f t="shared" si="50"/>
        <v>11196748.112766666</v>
      </c>
      <c r="U117" s="1">
        <f t="shared" si="50"/>
        <v>11200284.997846635</v>
      </c>
      <c r="V117" s="1">
        <f t="shared" si="50"/>
        <v>10916135.122237928</v>
      </c>
      <c r="W117" s="1">
        <f t="shared" si="50"/>
        <v>11407556.48325434</v>
      </c>
      <c r="X117" s="1">
        <f t="shared" si="50"/>
        <v>15686925.18384793</v>
      </c>
      <c r="Y117" s="1">
        <f t="shared" si="50"/>
        <v>16491069.116579995</v>
      </c>
      <c r="Z117" s="1">
        <f t="shared" si="50"/>
        <v>17465229.576085396</v>
      </c>
    </row>
    <row r="118" spans="2:26">
      <c r="B118">
        <f t="shared" si="41"/>
        <v>2040</v>
      </c>
      <c r="C118" t="str">
        <f t="shared" si="42"/>
        <v>GAS_LIN</v>
      </c>
      <c r="D118" t="str">
        <f t="shared" si="43"/>
        <v>FR0</v>
      </c>
      <c r="E118" s="26">
        <f t="shared" si="45"/>
        <v>5199013.4026419213</v>
      </c>
      <c r="F118">
        <f t="shared" si="46"/>
        <v>6</v>
      </c>
      <c r="G118">
        <f t="shared" si="47"/>
        <v>1</v>
      </c>
      <c r="H118">
        <f t="shared" si="48"/>
        <v>3</v>
      </c>
      <c r="J118" s="200">
        <f t="shared" si="44"/>
        <v>0.01</v>
      </c>
      <c r="K118">
        <f t="shared" si="49"/>
        <v>5251528.6895372942</v>
      </c>
    </row>
    <row r="119" spans="2:26">
      <c r="B119">
        <f t="shared" si="41"/>
        <v>2045</v>
      </c>
      <c r="C119" t="str">
        <f t="shared" si="42"/>
        <v>GAS_LIN</v>
      </c>
      <c r="D119" t="str">
        <f t="shared" si="43"/>
        <v>FR0</v>
      </c>
      <c r="E119" s="26">
        <f t="shared" si="45"/>
        <v>5199013.4026419213</v>
      </c>
      <c r="F119">
        <f t="shared" si="46"/>
        <v>7</v>
      </c>
      <c r="G119">
        <f t="shared" si="47"/>
        <v>1</v>
      </c>
      <c r="H119">
        <f t="shared" si="48"/>
        <v>3</v>
      </c>
      <c r="J119" s="200">
        <f t="shared" si="44"/>
        <v>0.01</v>
      </c>
      <c r="K119">
        <f t="shared" si="49"/>
        <v>5251528.6895372942</v>
      </c>
    </row>
    <row r="120" spans="2:26">
      <c r="B120">
        <f t="shared" si="41"/>
        <v>2050</v>
      </c>
      <c r="C120" t="str">
        <f t="shared" si="42"/>
        <v>GAS_LIN</v>
      </c>
      <c r="D120" t="str">
        <f t="shared" si="43"/>
        <v>FR0</v>
      </c>
      <c r="E120" s="26">
        <f t="shared" si="45"/>
        <v>5199013.4026419213</v>
      </c>
      <c r="F120">
        <f t="shared" si="46"/>
        <v>8</v>
      </c>
      <c r="G120">
        <f t="shared" si="47"/>
        <v>1</v>
      </c>
      <c r="H120">
        <f t="shared" si="48"/>
        <v>3</v>
      </c>
      <c r="J120" s="200">
        <f t="shared" si="44"/>
        <v>0.01</v>
      </c>
      <c r="K120">
        <f t="shared" si="49"/>
        <v>5251528.6895372942</v>
      </c>
      <c r="O120" t="s">
        <v>417</v>
      </c>
      <c r="P120" t="s">
        <v>16</v>
      </c>
      <c r="Q120" t="s">
        <v>91</v>
      </c>
      <c r="R120" s="1">
        <f t="shared" ref="R120:R126" si="51">SUMIFS($AT$7:$AT$74,$AR$7:$AR$74,$P120,$AP$7:$AP$74,$Q120)</f>
        <v>0</v>
      </c>
      <c r="S120" s="32">
        <f t="shared" ref="S120:Z120" si="52">R120</f>
        <v>0</v>
      </c>
      <c r="T120" s="32">
        <f t="shared" si="52"/>
        <v>0</v>
      </c>
      <c r="U120" s="32">
        <f t="shared" si="52"/>
        <v>0</v>
      </c>
      <c r="V120" s="32">
        <f t="shared" si="52"/>
        <v>0</v>
      </c>
      <c r="W120" s="32">
        <f t="shared" si="52"/>
        <v>0</v>
      </c>
      <c r="X120" s="32">
        <f t="shared" si="52"/>
        <v>0</v>
      </c>
      <c r="Y120" s="32">
        <f t="shared" si="52"/>
        <v>0</v>
      </c>
      <c r="Z120" s="32">
        <f t="shared" si="52"/>
        <v>0</v>
      </c>
    </row>
    <row r="121" spans="2:26">
      <c r="B121">
        <f t="shared" si="41"/>
        <v>2015</v>
      </c>
      <c r="C121" t="str">
        <f t="shared" si="42"/>
        <v>OIL_LIN</v>
      </c>
      <c r="D121" t="str">
        <f t="shared" si="43"/>
        <v>FR0</v>
      </c>
      <c r="E121" s="26">
        <f t="shared" si="45"/>
        <v>512974.53654106433</v>
      </c>
      <c r="F121">
        <f t="shared" si="46"/>
        <v>1</v>
      </c>
      <c r="G121">
        <f t="shared" si="47"/>
        <v>2</v>
      </c>
      <c r="H121">
        <f t="shared" si="48"/>
        <v>3</v>
      </c>
      <c r="J121" s="200">
        <f t="shared" si="44"/>
        <v>8.5000000000000006E-2</v>
      </c>
      <c r="K121">
        <f t="shared" si="49"/>
        <v>560627.90878804843</v>
      </c>
      <c r="M121" t="str">
        <f>Q121&amp;"."&amp;P121</f>
        <v>HCO_LIN.FR0</v>
      </c>
      <c r="N121" t="s">
        <v>18</v>
      </c>
      <c r="O121" t="s">
        <v>417</v>
      </c>
      <c r="P121" t="s">
        <v>16</v>
      </c>
      <c r="Q121" t="s">
        <v>70</v>
      </c>
      <c r="R121" s="1">
        <f t="shared" si="51"/>
        <v>827638.94120131899</v>
      </c>
      <c r="S121">
        <f t="shared" ref="S121:Z126" si="53">S130*$R138</f>
        <v>1482108.8151117917</v>
      </c>
      <c r="T121">
        <f t="shared" si="53"/>
        <v>1061184.9160607536</v>
      </c>
      <c r="U121">
        <f t="shared" si="53"/>
        <v>1055131.7569605308</v>
      </c>
      <c r="V121">
        <f t="shared" si="53"/>
        <v>1040279.9454316903</v>
      </c>
      <c r="W121">
        <f t="shared" si="53"/>
        <v>957798.72014847689</v>
      </c>
      <c r="X121">
        <f t="shared" si="53"/>
        <v>795865.53269706888</v>
      </c>
      <c r="Y121">
        <f t="shared" si="53"/>
        <v>795865.53269706888</v>
      </c>
      <c r="Z121">
        <f t="shared" si="53"/>
        <v>795865.53269706888</v>
      </c>
    </row>
    <row r="122" spans="2:26">
      <c r="B122">
        <f t="shared" si="41"/>
        <v>2020</v>
      </c>
      <c r="C122" t="str">
        <f t="shared" si="42"/>
        <v>OIL_LIN</v>
      </c>
      <c r="D122" t="str">
        <f t="shared" si="43"/>
        <v>FR0</v>
      </c>
      <c r="E122" s="26">
        <f t="shared" si="45"/>
        <v>333967.73826372402</v>
      </c>
      <c r="F122">
        <f t="shared" si="46"/>
        <v>2</v>
      </c>
      <c r="G122">
        <f t="shared" si="47"/>
        <v>2</v>
      </c>
      <c r="H122">
        <f t="shared" si="48"/>
        <v>3</v>
      </c>
      <c r="J122" s="200">
        <f t="shared" si="44"/>
        <v>8.5000000000000006E-2</v>
      </c>
      <c r="K122">
        <f t="shared" si="49"/>
        <v>364992.0636762011</v>
      </c>
      <c r="M122" t="str">
        <f>Q122&amp;"."&amp;P122</f>
        <v>GAS_LIN.FR0</v>
      </c>
      <c r="N122" t="s">
        <v>21</v>
      </c>
      <c r="O122" t="s">
        <v>417</v>
      </c>
      <c r="P122" t="s">
        <v>16</v>
      </c>
      <c r="Q122" t="s">
        <v>60</v>
      </c>
      <c r="R122" s="1">
        <f t="shared" si="51"/>
        <v>6442574.5589260403</v>
      </c>
      <c r="S122">
        <f t="shared" si="53"/>
        <v>6071349.4853626788</v>
      </c>
      <c r="T122">
        <f t="shared" si="53"/>
        <v>5778502.3809855236</v>
      </c>
      <c r="U122">
        <f t="shared" si="53"/>
        <v>5603140.8152045775</v>
      </c>
      <c r="V122">
        <f t="shared" si="53"/>
        <v>5251528.6895372942</v>
      </c>
      <c r="W122">
        <f t="shared" si="53"/>
        <v>5251528.6895372942</v>
      </c>
      <c r="X122">
        <f t="shared" si="53"/>
        <v>5251528.6895372942</v>
      </c>
      <c r="Y122">
        <f t="shared" si="53"/>
        <v>5251528.6895372942</v>
      </c>
      <c r="Z122">
        <f t="shared" si="53"/>
        <v>5251528.6895372942</v>
      </c>
    </row>
    <row r="123" spans="2:26">
      <c r="B123">
        <f t="shared" si="41"/>
        <v>2025</v>
      </c>
      <c r="C123" t="str">
        <f t="shared" si="42"/>
        <v>OIL_LIN</v>
      </c>
      <c r="D123" t="str">
        <f t="shared" si="43"/>
        <v>FR0</v>
      </c>
      <c r="E123" s="26">
        <f t="shared" si="45"/>
        <v>123313.40561517904</v>
      </c>
      <c r="F123">
        <f t="shared" si="46"/>
        <v>3</v>
      </c>
      <c r="G123">
        <f t="shared" si="47"/>
        <v>2</v>
      </c>
      <c r="H123">
        <f t="shared" si="48"/>
        <v>3</v>
      </c>
      <c r="J123" s="200">
        <f t="shared" si="44"/>
        <v>8.5000000000000006E-2</v>
      </c>
      <c r="K123">
        <f t="shared" si="49"/>
        <v>134768.74930620659</v>
      </c>
      <c r="M123" t="str">
        <f>Q123&amp;"."&amp;P123</f>
        <v>OIL_LIN.FR0</v>
      </c>
      <c r="N123" t="s">
        <v>20</v>
      </c>
      <c r="O123" t="s">
        <v>417</v>
      </c>
      <c r="P123" t="s">
        <v>16</v>
      </c>
      <c r="Q123" t="s">
        <v>100</v>
      </c>
      <c r="R123" s="1">
        <f t="shared" si="51"/>
        <v>619198.95493290597</v>
      </c>
      <c r="S123">
        <f t="shared" si="53"/>
        <v>560627.90878804843</v>
      </c>
      <c r="T123">
        <f t="shared" si="53"/>
        <v>364992.0636762011</v>
      </c>
      <c r="U123">
        <f t="shared" si="53"/>
        <v>134768.74930620659</v>
      </c>
      <c r="V123">
        <f t="shared" si="53"/>
        <v>122334.31385535005</v>
      </c>
      <c r="W123">
        <f t="shared" si="53"/>
        <v>58243.975148829784</v>
      </c>
      <c r="X123">
        <f t="shared" si="53"/>
        <v>51616.830079015839</v>
      </c>
      <c r="Y123">
        <f t="shared" si="53"/>
        <v>50558.379919343672</v>
      </c>
      <c r="Z123">
        <f t="shared" si="53"/>
        <v>45549.693310195347</v>
      </c>
    </row>
    <row r="124" spans="2:26">
      <c r="B124">
        <f t="shared" si="41"/>
        <v>2030</v>
      </c>
      <c r="C124" t="str">
        <f t="shared" si="42"/>
        <v>OIL_LIN</v>
      </c>
      <c r="D124" t="str">
        <f t="shared" si="43"/>
        <v>FR0</v>
      </c>
      <c r="E124" s="26">
        <f t="shared" si="45"/>
        <v>111935.8971776453</v>
      </c>
      <c r="F124">
        <f t="shared" si="46"/>
        <v>4</v>
      </c>
      <c r="G124">
        <f t="shared" si="47"/>
        <v>2</v>
      </c>
      <c r="H124">
        <f t="shared" si="48"/>
        <v>3</v>
      </c>
      <c r="J124" s="200">
        <f t="shared" si="44"/>
        <v>8.5000000000000006E-2</v>
      </c>
      <c r="K124">
        <f t="shared" si="49"/>
        <v>122334.31385535005</v>
      </c>
      <c r="O124" t="s">
        <v>417</v>
      </c>
      <c r="P124" t="s">
        <v>16</v>
      </c>
      <c r="Q124" t="s">
        <v>110</v>
      </c>
      <c r="R124" s="1">
        <f t="shared" si="51"/>
        <v>1450510.79223951</v>
      </c>
      <c r="S124">
        <f t="shared" si="53"/>
        <v>1450510.79223951</v>
      </c>
      <c r="T124">
        <f t="shared" si="53"/>
        <v>2464935.4192143725</v>
      </c>
      <c r="U124">
        <f t="shared" si="53"/>
        <v>2807658.9325191299</v>
      </c>
      <c r="V124">
        <f t="shared" si="53"/>
        <v>2922698.6892109793</v>
      </c>
      <c r="W124">
        <f t="shared" si="53"/>
        <v>2947728.3160110191</v>
      </c>
      <c r="X124">
        <f t="shared" si="53"/>
        <v>2988246.4471106706</v>
      </c>
      <c r="Y124">
        <f t="shared" si="53"/>
        <v>3064810.497803628</v>
      </c>
      <c r="Z124">
        <f t="shared" si="53"/>
        <v>3096951.1010286142</v>
      </c>
    </row>
    <row r="125" spans="2:26">
      <c r="B125">
        <f t="shared" si="41"/>
        <v>2035</v>
      </c>
      <c r="C125" t="str">
        <f t="shared" si="42"/>
        <v>OIL_LIN</v>
      </c>
      <c r="D125" t="str">
        <f t="shared" si="43"/>
        <v>FR0</v>
      </c>
      <c r="E125" s="26">
        <f t="shared" si="45"/>
        <v>53293.237261179253</v>
      </c>
      <c r="F125">
        <f t="shared" si="46"/>
        <v>5</v>
      </c>
      <c r="G125">
        <f t="shared" si="47"/>
        <v>2</v>
      </c>
      <c r="H125">
        <f t="shared" si="48"/>
        <v>3</v>
      </c>
      <c r="J125" s="200">
        <f t="shared" si="44"/>
        <v>8.5000000000000006E-2</v>
      </c>
      <c r="K125">
        <f t="shared" si="49"/>
        <v>58243.975148829784</v>
      </c>
      <c r="O125" t="s">
        <v>417</v>
      </c>
      <c r="P125" t="s">
        <v>16</v>
      </c>
      <c r="Q125" t="s">
        <v>55</v>
      </c>
      <c r="R125" s="1">
        <f t="shared" si="51"/>
        <v>2284996.7527002301</v>
      </c>
      <c r="S125">
        <f t="shared" si="53"/>
        <v>2284996.7527002301</v>
      </c>
      <c r="T125">
        <f t="shared" si="53"/>
        <v>3883024.8341858592</v>
      </c>
      <c r="U125">
        <f t="shared" si="53"/>
        <v>4422918.8626654996</v>
      </c>
      <c r="V125">
        <f t="shared" si="53"/>
        <v>4604141.5546155879</v>
      </c>
      <c r="W125">
        <f t="shared" si="53"/>
        <v>4643570.8482584767</v>
      </c>
      <c r="X125">
        <f t="shared" si="53"/>
        <v>4707399.258556094</v>
      </c>
      <c r="Y125">
        <f t="shared" si="53"/>
        <v>4828010.9824694842</v>
      </c>
      <c r="Z125">
        <f t="shared" si="53"/>
        <v>4878642.2320898548</v>
      </c>
    </row>
    <row r="126" spans="2:26">
      <c r="B126">
        <f t="shared" si="41"/>
        <v>2040</v>
      </c>
      <c r="C126" t="str">
        <f t="shared" si="42"/>
        <v>OIL_LIN</v>
      </c>
      <c r="D126" t="str">
        <f t="shared" si="43"/>
        <v>FR0</v>
      </c>
      <c r="E126" s="26">
        <f t="shared" si="45"/>
        <v>47229.399522299493</v>
      </c>
      <c r="F126">
        <f t="shared" si="46"/>
        <v>6</v>
      </c>
      <c r="G126">
        <f t="shared" si="47"/>
        <v>2</v>
      </c>
      <c r="H126">
        <f t="shared" si="48"/>
        <v>3</v>
      </c>
      <c r="J126" s="200">
        <f t="shared" si="44"/>
        <v>8.5000000000000006E-2</v>
      </c>
      <c r="K126">
        <f t="shared" si="49"/>
        <v>51616.830079015839</v>
      </c>
      <c r="M126" t="str">
        <f>Q126&amp;"."&amp;P126</f>
        <v>GAS_NEW.FR0</v>
      </c>
      <c r="N126" t="s">
        <v>21</v>
      </c>
      <c r="O126" t="s">
        <v>417</v>
      </c>
      <c r="P126" t="s">
        <v>16</v>
      </c>
      <c r="Q126" t="s">
        <v>441</v>
      </c>
      <c r="R126" s="1">
        <f t="shared" si="51"/>
        <v>0</v>
      </c>
      <c r="S126">
        <f t="shared" si="53"/>
        <v>0</v>
      </c>
      <c r="T126">
        <f t="shared" si="53"/>
        <v>0</v>
      </c>
      <c r="U126">
        <f t="shared" si="53"/>
        <v>0</v>
      </c>
      <c r="V126">
        <f t="shared" si="53"/>
        <v>0</v>
      </c>
      <c r="W126">
        <f t="shared" si="53"/>
        <v>3098939.8127182312</v>
      </c>
      <c r="X126">
        <f t="shared" si="53"/>
        <v>9346448.9497627113</v>
      </c>
      <c r="Y126">
        <f t="shared" si="53"/>
        <v>11905859.869738571</v>
      </c>
      <c r="Z126">
        <f t="shared" si="53"/>
        <v>16730007.548278781</v>
      </c>
    </row>
    <row r="127" spans="2:26">
      <c r="B127">
        <f t="shared" si="41"/>
        <v>2045</v>
      </c>
      <c r="C127" t="str">
        <f t="shared" si="42"/>
        <v>OIL_LIN</v>
      </c>
      <c r="D127" t="str">
        <f t="shared" si="43"/>
        <v>FR0</v>
      </c>
      <c r="E127" s="26">
        <f t="shared" si="45"/>
        <v>46260.917626199458</v>
      </c>
      <c r="F127">
        <f t="shared" si="46"/>
        <v>7</v>
      </c>
      <c r="G127">
        <f t="shared" si="47"/>
        <v>2</v>
      </c>
      <c r="H127">
        <f t="shared" si="48"/>
        <v>3</v>
      </c>
      <c r="J127" s="200">
        <f t="shared" si="44"/>
        <v>8.5000000000000006E-2</v>
      </c>
      <c r="K127">
        <f t="shared" si="49"/>
        <v>50558.379919343672</v>
      </c>
      <c r="R127" s="1">
        <f t="shared" ref="R127:Z127" si="54">SUM(R120:R126)</f>
        <v>11624920.000000006</v>
      </c>
      <c r="S127" s="1">
        <f t="shared" si="54"/>
        <v>11849593.75420226</v>
      </c>
      <c r="T127" s="1">
        <f t="shared" si="54"/>
        <v>13552639.614122709</v>
      </c>
      <c r="U127" s="1">
        <f t="shared" si="54"/>
        <v>14023619.116655946</v>
      </c>
      <c r="V127" s="1">
        <f t="shared" si="54"/>
        <v>13940983.192650903</v>
      </c>
      <c r="W127" s="1">
        <f t="shared" si="54"/>
        <v>16957810.361822329</v>
      </c>
      <c r="X127" s="1">
        <f t="shared" si="54"/>
        <v>23141105.707742855</v>
      </c>
      <c r="Y127" s="1">
        <f t="shared" si="54"/>
        <v>25896633.952165388</v>
      </c>
      <c r="Z127" s="1">
        <f t="shared" si="54"/>
        <v>30798544.796941809</v>
      </c>
    </row>
    <row r="128" spans="2:26">
      <c r="B128">
        <f t="shared" si="41"/>
        <v>2050</v>
      </c>
      <c r="C128" t="str">
        <f t="shared" si="42"/>
        <v>OIL_LIN</v>
      </c>
      <c r="D128" t="str">
        <f t="shared" si="43"/>
        <v>FR0</v>
      </c>
      <c r="E128" s="26">
        <f t="shared" si="45"/>
        <v>41677.969378828748</v>
      </c>
      <c r="F128">
        <f t="shared" si="46"/>
        <v>8</v>
      </c>
      <c r="G128">
        <f t="shared" si="47"/>
        <v>2</v>
      </c>
      <c r="H128">
        <f t="shared" si="48"/>
        <v>3</v>
      </c>
      <c r="J128" s="200">
        <f t="shared" si="44"/>
        <v>8.5000000000000006E-2</v>
      </c>
      <c r="K128">
        <f t="shared" si="49"/>
        <v>45549.693310195347</v>
      </c>
      <c r="R128" s="145">
        <f t="shared" ref="R128:Z128" si="55">(R127-R117)/R117</f>
        <v>-0.26378232820288627</v>
      </c>
      <c r="S128" s="145">
        <f t="shared" si="55"/>
        <v>-0.14993757416228021</v>
      </c>
      <c r="T128" s="145">
        <f t="shared" si="55"/>
        <v>0.21040854698426475</v>
      </c>
      <c r="U128" s="145">
        <f t="shared" si="55"/>
        <v>0.25207698905448606</v>
      </c>
      <c r="V128" s="145">
        <f t="shared" si="55"/>
        <v>0.27709881167107131</v>
      </c>
      <c r="W128" s="145">
        <f t="shared" si="55"/>
        <v>0.48654187132147492</v>
      </c>
      <c r="X128" s="145">
        <f t="shared" si="55"/>
        <v>0.47518429753015806</v>
      </c>
      <c r="Y128" s="145">
        <f t="shared" si="55"/>
        <v>0.57034293950833725</v>
      </c>
      <c r="Z128" s="145">
        <f t="shared" si="55"/>
        <v>0.76342055297763234</v>
      </c>
    </row>
    <row r="129" spans="2:26">
      <c r="B129">
        <f t="shared" si="41"/>
        <v>2015</v>
      </c>
      <c r="C129" t="str">
        <f t="shared" si="42"/>
        <v>HCO_LIN</v>
      </c>
      <c r="D129" t="str">
        <f t="shared" si="43"/>
        <v>FR0</v>
      </c>
      <c r="E129" s="26">
        <f t="shared" si="45"/>
        <v>1356129.5658272894</v>
      </c>
      <c r="F129">
        <f t="shared" si="46"/>
        <v>1</v>
      </c>
      <c r="G129">
        <f t="shared" si="47"/>
        <v>3</v>
      </c>
      <c r="H129">
        <f t="shared" si="48"/>
        <v>3</v>
      </c>
      <c r="J129" s="200">
        <f t="shared" si="44"/>
        <v>8.5000000000000006E-2</v>
      </c>
      <c r="K129">
        <f t="shared" si="49"/>
        <v>1482108.8151117917</v>
      </c>
      <c r="O129" t="s">
        <v>404</v>
      </c>
      <c r="P129" t="s">
        <v>16</v>
      </c>
      <c r="Q129" t="s">
        <v>91</v>
      </c>
      <c r="R129" s="1">
        <f t="shared" ref="R129:R135" si="56">SUMIFS($AV$7:$AV$74,$AR$7:$AR$74,$P129,$AP$7:$AP$74,$Q129)</f>
        <v>0</v>
      </c>
      <c r="S129" s="26">
        <f>INDEX(ALL_CAPACITY!$P$6:$X$68,MATCH($P129&amp;"."&amp;$Q129,ALL_CAPACITY!$Z$6:$Z$68,0),MATCH(S$80,ALL_CAPACITY!$P$5:$X$5,0))</f>
        <v>0</v>
      </c>
      <c r="T129" s="26">
        <f>INDEX(ALL_CAPACITY!$P$6:$X$68,MATCH($P129&amp;"."&amp;$Q129,ALL_CAPACITY!$Z$6:$Z$68,0),MATCH(T$80,ALL_CAPACITY!$P$5:$X$5,0))</f>
        <v>0</v>
      </c>
      <c r="U129" s="26">
        <f>INDEX(ALL_CAPACITY!$P$6:$X$68,MATCH($P129&amp;"."&amp;$Q129,ALL_CAPACITY!$Z$6:$Z$68,0),MATCH(U$80,ALL_CAPACITY!$P$5:$X$5,0))</f>
        <v>0</v>
      </c>
      <c r="V129" s="26">
        <f>INDEX(ALL_CAPACITY!$P$6:$X$68,MATCH($P129&amp;"."&amp;$Q129,ALL_CAPACITY!$Z$6:$Z$68,0),MATCH(V$80,ALL_CAPACITY!$P$5:$X$5,0))</f>
        <v>0</v>
      </c>
      <c r="W129" s="26">
        <f>INDEX(ALL_CAPACITY!$P$6:$X$68,MATCH($P129&amp;"."&amp;$Q129,ALL_CAPACITY!$Z$6:$Z$68,0),MATCH(W$80,ALL_CAPACITY!$P$5:$X$5,0))</f>
        <v>0</v>
      </c>
      <c r="X129" s="26">
        <f>INDEX(ALL_CAPACITY!$P$6:$X$68,MATCH($P129&amp;"."&amp;$Q129,ALL_CAPACITY!$Z$6:$Z$68,0),MATCH(X$80,ALL_CAPACITY!$P$5:$X$5,0))</f>
        <v>0</v>
      </c>
      <c r="Y129" s="26">
        <f>INDEX(ALL_CAPACITY!$P$6:$X$68,MATCH($P129&amp;"."&amp;$Q129,ALL_CAPACITY!$Z$6:$Z$68,0),MATCH(Y$80,ALL_CAPACITY!$P$5:$X$5,0))</f>
        <v>0</v>
      </c>
      <c r="Z129" s="26">
        <f>INDEX(ALL_CAPACITY!$P$6:$X$68,MATCH($P129&amp;"."&amp;$Q129,ALL_CAPACITY!$Z$6:$Z$68,0),MATCH(Z$80,ALL_CAPACITY!$P$5:$X$5,0))</f>
        <v>0</v>
      </c>
    </row>
    <row r="130" spans="2:26">
      <c r="B130">
        <f t="shared" si="41"/>
        <v>2020</v>
      </c>
      <c r="C130" t="str">
        <f t="shared" si="42"/>
        <v>HCO_LIN</v>
      </c>
      <c r="D130" t="str">
        <f t="shared" si="43"/>
        <v>FR0</v>
      </c>
      <c r="E130" s="26">
        <f t="shared" si="45"/>
        <v>970984.19819558959</v>
      </c>
      <c r="F130">
        <f t="shared" si="46"/>
        <v>2</v>
      </c>
      <c r="G130">
        <f t="shared" si="47"/>
        <v>3</v>
      </c>
      <c r="H130">
        <f t="shared" si="48"/>
        <v>3</v>
      </c>
      <c r="J130" s="200">
        <f t="shared" si="44"/>
        <v>8.5000000000000006E-2</v>
      </c>
      <c r="K130">
        <f t="shared" si="49"/>
        <v>1061184.9160607536</v>
      </c>
      <c r="O130" t="s">
        <v>404</v>
      </c>
      <c r="P130" t="s">
        <v>16</v>
      </c>
      <c r="Q130" t="s">
        <v>70</v>
      </c>
      <c r="R130" s="1">
        <f t="shared" si="56"/>
        <v>3007</v>
      </c>
      <c r="S130" s="26">
        <f>INDEX(ALL_CAPACITY!$P$6:$X$68,MATCH($P130&amp;"."&amp;$Q130,ALL_CAPACITY!$Z$6:$Z$68,0),MATCH(S$80,ALL_CAPACITY!$P$5:$X$5,0))</f>
        <v>5384.8374999999996</v>
      </c>
      <c r="T130" s="26">
        <f>INDEX(ALL_CAPACITY!$P$6:$X$68,MATCH($P130&amp;"."&amp;$Q130,ALL_CAPACITY!$Z$6:$Z$68,0),MATCH(T$80,ALL_CAPACITY!$P$5:$X$5,0))</f>
        <v>3855.5255000000002</v>
      </c>
      <c r="U130" s="26">
        <f>INDEX(ALL_CAPACITY!$P$6:$X$68,MATCH($P130&amp;"."&amp;$Q130,ALL_CAPACITY!$Z$6:$Z$68,0),MATCH(U$80,ALL_CAPACITY!$P$5:$X$5,0))</f>
        <v>3833.5329999999999</v>
      </c>
      <c r="V130" s="26">
        <f>INDEX(ALL_CAPACITY!$P$6:$X$68,MATCH($P130&amp;"."&amp;$Q130,ALL_CAPACITY!$Z$6:$Z$68,0),MATCH(V$80,ALL_CAPACITY!$P$5:$X$5,0))</f>
        <v>3779.5729999999999</v>
      </c>
      <c r="W130" s="26">
        <f>INDEX(ALL_CAPACITY!$P$6:$X$68,MATCH($P130&amp;"."&amp;$Q130,ALL_CAPACITY!$Z$6:$Z$68,0),MATCH(W$80,ALL_CAPACITY!$P$5:$X$5,0))</f>
        <v>3479.9</v>
      </c>
      <c r="X130" s="26">
        <f>INDEX(ALL_CAPACITY!$P$6:$X$68,MATCH($P130&amp;"."&amp;$Q130,ALL_CAPACITY!$Z$6:$Z$68,0),MATCH(X$80,ALL_CAPACITY!$P$5:$X$5,0))</f>
        <v>2891.56</v>
      </c>
      <c r="Y130" s="26">
        <f>INDEX(ALL_CAPACITY!$P$6:$X$68,MATCH($P130&amp;"."&amp;$Q130,ALL_CAPACITY!$Z$6:$Z$68,0),MATCH(Y$80,ALL_CAPACITY!$P$5:$X$5,0))</f>
        <v>2891.56</v>
      </c>
      <c r="Z130" s="26">
        <f>INDEX(ALL_CAPACITY!$P$6:$X$68,MATCH($P130&amp;"."&amp;$Q130,ALL_CAPACITY!$Z$6:$Z$68,0),MATCH(Z$80,ALL_CAPACITY!$P$5:$X$5,0))</f>
        <v>2891.56</v>
      </c>
    </row>
    <row r="131" spans="2:26">
      <c r="B131">
        <f t="shared" si="41"/>
        <v>2025</v>
      </c>
      <c r="C131" t="str">
        <f t="shared" si="42"/>
        <v>HCO_LIN</v>
      </c>
      <c r="D131" t="str">
        <f t="shared" si="43"/>
        <v>FR0</v>
      </c>
      <c r="E131" s="26">
        <f t="shared" si="45"/>
        <v>965445.55761888565</v>
      </c>
      <c r="F131">
        <f t="shared" si="46"/>
        <v>3</v>
      </c>
      <c r="G131">
        <f t="shared" si="47"/>
        <v>3</v>
      </c>
      <c r="H131">
        <f t="shared" si="48"/>
        <v>3</v>
      </c>
      <c r="J131" s="200">
        <f t="shared" si="44"/>
        <v>8.5000000000000006E-2</v>
      </c>
      <c r="K131">
        <f t="shared" si="49"/>
        <v>1055131.7569605308</v>
      </c>
      <c r="O131" t="s">
        <v>404</v>
      </c>
      <c r="P131" t="s">
        <v>16</v>
      </c>
      <c r="Q131" t="s">
        <v>60</v>
      </c>
      <c r="R131" s="1">
        <f t="shared" si="56"/>
        <v>10236</v>
      </c>
      <c r="S131" s="26">
        <f>INDEX(ALL_CAPACITY!$P$6:$X$68,MATCH($P131&amp;"."&amp;$Q131,ALL_CAPACITY!$Z$6:$Z$68,0),MATCH(S$80,ALL_CAPACITY!$P$5:$X$5,0))</f>
        <v>9646.1954399999995</v>
      </c>
      <c r="T131" s="26">
        <f>INDEX(ALL_CAPACITY!$P$6:$X$68,MATCH($P131&amp;"."&amp;$Q131,ALL_CAPACITY!$Z$6:$Z$68,0),MATCH(T$80,ALL_CAPACITY!$P$5:$X$5,0))</f>
        <v>9180.9182541502105</v>
      </c>
      <c r="U131" s="26">
        <f>INDEX(ALL_CAPACITY!$P$6:$X$68,MATCH($P131&amp;"."&amp;$Q131,ALL_CAPACITY!$Z$6:$Z$68,0),MATCH(U$80,ALL_CAPACITY!$P$5:$X$5,0))</f>
        <v>8902.3027766084197</v>
      </c>
      <c r="V131" s="26">
        <f>INDEX(ALL_CAPACITY!$P$6:$X$68,MATCH($P131&amp;"."&amp;$Q131,ALL_CAPACITY!$Z$6:$Z$68,0),MATCH(V$80,ALL_CAPACITY!$P$5:$X$5,0))</f>
        <v>8343.6593825100408</v>
      </c>
      <c r="W131" s="26">
        <f>INDEX(ALL_CAPACITY!$P$6:$X$68,MATCH($P131&amp;"."&amp;$Q131,ALL_CAPACITY!$Z$6:$Z$68,0),MATCH(W$80,ALL_CAPACITY!$P$5:$X$5,0))</f>
        <v>8343.6593825100408</v>
      </c>
      <c r="X131" s="26">
        <f>INDEX(ALL_CAPACITY!$P$6:$X$68,MATCH($P131&amp;"."&amp;$Q131,ALL_CAPACITY!$Z$6:$Z$68,0),MATCH(X$80,ALL_CAPACITY!$P$5:$X$5,0))</f>
        <v>8343.6593825100408</v>
      </c>
      <c r="Y131" s="26">
        <f>INDEX(ALL_CAPACITY!$P$6:$X$68,MATCH($P131&amp;"."&amp;$Q131,ALL_CAPACITY!$Z$6:$Z$68,0),MATCH(Y$80,ALL_CAPACITY!$P$5:$X$5,0))</f>
        <v>8343.6593825100408</v>
      </c>
      <c r="Z131" s="26">
        <f>INDEX(ALL_CAPACITY!$P$6:$X$68,MATCH($P131&amp;"."&amp;$Q131,ALL_CAPACITY!$Z$6:$Z$68,0),MATCH(Z$80,ALL_CAPACITY!$P$5:$X$5,0))</f>
        <v>8343.6593825100408</v>
      </c>
    </row>
    <row r="132" spans="2:26">
      <c r="B132">
        <f t="shared" si="41"/>
        <v>2030</v>
      </c>
      <c r="C132" t="str">
        <f t="shared" si="42"/>
        <v>HCO_LIN</v>
      </c>
      <c r="D132" t="str">
        <f t="shared" si="43"/>
        <v>FR0</v>
      </c>
      <c r="E132" s="26">
        <f t="shared" si="45"/>
        <v>951856.15006999671</v>
      </c>
      <c r="F132">
        <f t="shared" si="46"/>
        <v>4</v>
      </c>
      <c r="G132">
        <f t="shared" si="47"/>
        <v>3</v>
      </c>
      <c r="H132">
        <f t="shared" si="48"/>
        <v>3</v>
      </c>
      <c r="J132" s="200">
        <f t="shared" si="44"/>
        <v>8.5000000000000006E-2</v>
      </c>
      <c r="K132">
        <f t="shared" si="49"/>
        <v>1040279.9454316903</v>
      </c>
      <c r="O132" t="s">
        <v>404</v>
      </c>
      <c r="P132" t="s">
        <v>16</v>
      </c>
      <c r="Q132" t="s">
        <v>100</v>
      </c>
      <c r="R132" s="1">
        <f t="shared" si="56"/>
        <v>8496.5</v>
      </c>
      <c r="S132" s="26">
        <f>INDEX(ALL_CAPACITY!$P$6:$X$68,MATCH($P132&amp;"."&amp;$Q132,ALL_CAPACITY!$Z$6:$Z$68,0),MATCH(S$80,ALL_CAPACITY!$P$5:$X$5,0))</f>
        <v>7692.8021099999996</v>
      </c>
      <c r="T132" s="26">
        <f>INDEX(ALL_CAPACITY!$P$6:$X$68,MATCH($P132&amp;"."&amp;$Q132,ALL_CAPACITY!$Z$6:$Z$68,0),MATCH(T$80,ALL_CAPACITY!$P$5:$X$5,0))</f>
        <v>5008.3338227870099</v>
      </c>
      <c r="U132" s="26">
        <f>INDEX(ALL_CAPACITY!$P$6:$X$68,MATCH($P132&amp;"."&amp;$Q132,ALL_CAPACITY!$Z$6:$Z$68,0),MATCH(U$80,ALL_CAPACITY!$P$5:$X$5,0))</f>
        <v>1849.26455278701</v>
      </c>
      <c r="V132" s="26">
        <f>INDEX(ALL_CAPACITY!$P$6:$X$68,MATCH($P132&amp;"."&amp;$Q132,ALL_CAPACITY!$Z$6:$Z$68,0),MATCH(V$80,ALL_CAPACITY!$P$5:$X$5,0))</f>
        <v>1678.6422027870001</v>
      </c>
      <c r="W132" s="26">
        <f>INDEX(ALL_CAPACITY!$P$6:$X$68,MATCH($P132&amp;"."&amp;$Q132,ALL_CAPACITY!$Z$6:$Z$68,0),MATCH(W$80,ALL_CAPACITY!$P$5:$X$5,0))</f>
        <v>799.20989999999995</v>
      </c>
      <c r="X132" s="26">
        <f>INDEX(ALL_CAPACITY!$P$6:$X$68,MATCH($P132&amp;"."&amp;$Q132,ALL_CAPACITY!$Z$6:$Z$68,0),MATCH(X$80,ALL_CAPACITY!$P$5:$X$5,0))</f>
        <v>708.27380000000005</v>
      </c>
      <c r="Y132" s="26">
        <f>INDEX(ALL_CAPACITY!$P$6:$X$68,MATCH($P132&amp;"."&amp;$Q132,ALL_CAPACITY!$Z$6:$Z$68,0),MATCH(Y$80,ALL_CAPACITY!$P$5:$X$5,0))</f>
        <v>693.75</v>
      </c>
      <c r="Z132" s="26">
        <f>INDEX(ALL_CAPACITY!$P$6:$X$68,MATCH($P132&amp;"."&amp;$Q132,ALL_CAPACITY!$Z$6:$Z$68,0),MATCH(Z$80,ALL_CAPACITY!$P$5:$X$5,0))</f>
        <v>625.02200000000005</v>
      </c>
    </row>
    <row r="133" spans="2:26">
      <c r="B133">
        <f t="shared" si="41"/>
        <v>2035</v>
      </c>
      <c r="C133" t="str">
        <f t="shared" si="42"/>
        <v>HCO_LIN</v>
      </c>
      <c r="D133" t="str">
        <f t="shared" si="43"/>
        <v>FR0</v>
      </c>
      <c r="E133" s="26">
        <f t="shared" si="45"/>
        <v>876385.82893585635</v>
      </c>
      <c r="F133">
        <f t="shared" si="46"/>
        <v>5</v>
      </c>
      <c r="G133">
        <f t="shared" si="47"/>
        <v>3</v>
      </c>
      <c r="H133">
        <f t="shared" si="48"/>
        <v>3</v>
      </c>
      <c r="J133" s="200">
        <f t="shared" si="44"/>
        <v>8.5000000000000006E-2</v>
      </c>
      <c r="K133">
        <f t="shared" si="49"/>
        <v>957798.72014847689</v>
      </c>
      <c r="O133" t="s">
        <v>404</v>
      </c>
      <c r="P133" t="s">
        <v>16</v>
      </c>
      <c r="Q133" t="s">
        <v>110</v>
      </c>
      <c r="R133" s="1">
        <f t="shared" si="56"/>
        <v>779.92819999999995</v>
      </c>
      <c r="S133" s="26">
        <f>INDEX(ALL_CAPACITY!$P$6:$X$68,MATCH($P133&amp;"."&amp;$Q133,ALL_CAPACITY!$Z$6:$Z$68,0),MATCH(S$80,ALL_CAPACITY!$P$5:$X$5,0))</f>
        <v>779.92819999999995</v>
      </c>
      <c r="T133" s="26">
        <f>INDEX(ALL_CAPACITY!$P$6:$X$68,MATCH($P133&amp;"."&amp;$Q133,ALL_CAPACITY!$Z$6:$Z$68,0),MATCH(T$80,ALL_CAPACITY!$P$5:$X$5,0))</f>
        <v>1325.3763121995923</v>
      </c>
      <c r="U133" s="26">
        <f>INDEX(ALL_CAPACITY!$P$6:$X$68,MATCH($P133&amp;"."&amp;$Q133,ALL_CAPACITY!$Z$6:$Z$68,0),MATCH(U$80,ALL_CAPACITY!$P$5:$X$5,0))</f>
        <v>1509.656039216831</v>
      </c>
      <c r="V133" s="26">
        <f>INDEX(ALL_CAPACITY!$P$6:$X$68,MATCH($P133&amp;"."&amp;$Q133,ALL_CAPACITY!$Z$6:$Z$68,0),MATCH(V$80,ALL_CAPACITY!$P$5:$X$5,0))</f>
        <v>1571.5120080556321</v>
      </c>
      <c r="W133" s="26">
        <f>INDEX(ALL_CAPACITY!$P$6:$X$68,MATCH($P133&amp;"."&amp;$Q133,ALL_CAPACITY!$Z$6:$Z$68,0),MATCH(W$80,ALL_CAPACITY!$P$5:$X$5,0))</f>
        <v>1584.9702407563259</v>
      </c>
      <c r="X133" s="26">
        <f>INDEX(ALL_CAPACITY!$P$6:$X$68,MATCH($P133&amp;"."&amp;$Q133,ALL_CAPACITY!$Z$6:$Z$68,0),MATCH(X$80,ALL_CAPACITY!$P$5:$X$5,0))</f>
        <v>1606.7565199243179</v>
      </c>
      <c r="Y133" s="26">
        <f>INDEX(ALL_CAPACITY!$P$6:$X$68,MATCH($P133&amp;"."&amp;$Q133,ALL_CAPACITY!$Z$6:$Z$68,0),MATCH(Y$80,ALL_CAPACITY!$P$5:$X$5,0))</f>
        <v>1647.9244054451633</v>
      </c>
      <c r="Z133" s="26">
        <f>INDEX(ALL_CAPACITY!$P$6:$X$68,MATCH($P133&amp;"."&amp;$Q133,ALL_CAPACITY!$Z$6:$Z$68,0),MATCH(Z$80,ALL_CAPACITY!$P$5:$X$5,0))</f>
        <v>1665.206154022487</v>
      </c>
    </row>
    <row r="134" spans="2:26">
      <c r="B134">
        <f t="shared" si="41"/>
        <v>2040</v>
      </c>
      <c r="C134" t="str">
        <f t="shared" si="42"/>
        <v>HCO_LIN</v>
      </c>
      <c r="D134" t="str">
        <f t="shared" si="43"/>
        <v>FR0</v>
      </c>
      <c r="E134" s="26">
        <f t="shared" si="45"/>
        <v>728216.96241781802</v>
      </c>
      <c r="F134">
        <f t="shared" si="46"/>
        <v>6</v>
      </c>
      <c r="G134">
        <f t="shared" si="47"/>
        <v>3</v>
      </c>
      <c r="H134">
        <f t="shared" si="48"/>
        <v>3</v>
      </c>
      <c r="J134" s="200">
        <f t="shared" si="44"/>
        <v>8.5000000000000006E-2</v>
      </c>
      <c r="K134">
        <f t="shared" si="49"/>
        <v>795865.53269706888</v>
      </c>
      <c r="O134" t="s">
        <v>404</v>
      </c>
      <c r="P134" t="s">
        <v>16</v>
      </c>
      <c r="Q134" t="s">
        <v>55</v>
      </c>
      <c r="R134" s="1">
        <f t="shared" si="56"/>
        <v>922.97180000000003</v>
      </c>
      <c r="S134" s="26">
        <f>INDEX(ALL_CAPACITY!$P$6:$X$68,MATCH($P134&amp;"."&amp;$Q134,ALL_CAPACITY!$Z$6:$Z$68,0),MATCH(S$80,ALL_CAPACITY!$P$5:$X$5,0))</f>
        <v>922.97180000000003</v>
      </c>
      <c r="T134" s="26">
        <f>INDEX(ALL_CAPACITY!$P$6:$X$68,MATCH($P134&amp;"."&amp;$Q134,ALL_CAPACITY!$Z$6:$Z$68,0),MATCH(T$80,ALL_CAPACITY!$P$5:$X$5,0))</f>
        <v>1568.4584305942778</v>
      </c>
      <c r="U134" s="26">
        <f>INDEX(ALL_CAPACITY!$P$6:$X$68,MATCH($P134&amp;"."&amp;$Q134,ALL_CAPACITY!$Z$6:$Z$68,0),MATCH(U$80,ALL_CAPACITY!$P$5:$X$5,0))</f>
        <v>1786.5361861474291</v>
      </c>
      <c r="V134" s="26">
        <f>INDEX(ALL_CAPACITY!$P$6:$X$68,MATCH($P134&amp;"."&amp;$Q134,ALL_CAPACITY!$Z$6:$Z$68,0),MATCH(V$80,ALL_CAPACITY!$P$5:$X$5,0))</f>
        <v>1859.7369178300278</v>
      </c>
      <c r="W134" s="26">
        <f>INDEX(ALL_CAPACITY!$P$6:$X$68,MATCH($P134&amp;"."&amp;$Q134,ALL_CAPACITY!$Z$6:$Z$68,0),MATCH(W$80,ALL_CAPACITY!$P$5:$X$5,0))</f>
        <v>1875.663472685434</v>
      </c>
      <c r="X134" s="26">
        <f>INDEX(ALL_CAPACITY!$P$6:$X$68,MATCH($P134&amp;"."&amp;$Q134,ALL_CAPACITY!$Z$6:$Z$68,0),MATCH(X$80,ALL_CAPACITY!$P$5:$X$5,0))</f>
        <v>1901.4454886440619</v>
      </c>
      <c r="Y134" s="26">
        <f>INDEX(ALL_CAPACITY!$P$6:$X$68,MATCH($P134&amp;"."&amp;$Q134,ALL_CAPACITY!$Z$6:$Z$68,0),MATCH(Y$80,ALL_CAPACITY!$P$5:$X$5,0))</f>
        <v>1950.1638160508269</v>
      </c>
      <c r="Z134" s="26">
        <f>INDEX(ALL_CAPACITY!$P$6:$X$68,MATCH($P134&amp;"."&amp;$Q134,ALL_CAPACITY!$Z$6:$Z$68,0),MATCH(Z$80,ALL_CAPACITY!$P$5:$X$5,0))</f>
        <v>1970.6151429698432</v>
      </c>
    </row>
    <row r="135" spans="2:26">
      <c r="B135">
        <f t="shared" si="41"/>
        <v>2045</v>
      </c>
      <c r="C135" t="str">
        <f t="shared" si="42"/>
        <v>HCO_LIN</v>
      </c>
      <c r="D135" t="str">
        <f t="shared" si="43"/>
        <v>FR0</v>
      </c>
      <c r="E135" s="26">
        <f t="shared" si="45"/>
        <v>728216.96241781802</v>
      </c>
      <c r="F135">
        <f t="shared" si="46"/>
        <v>7</v>
      </c>
      <c r="G135">
        <f t="shared" si="47"/>
        <v>3</v>
      </c>
      <c r="H135">
        <f t="shared" si="48"/>
        <v>3</v>
      </c>
      <c r="J135" s="200">
        <f t="shared" si="44"/>
        <v>8.5000000000000006E-2</v>
      </c>
      <c r="K135">
        <f t="shared" si="49"/>
        <v>795865.53269706888</v>
      </c>
      <c r="O135" t="s">
        <v>404</v>
      </c>
      <c r="P135" t="s">
        <v>16</v>
      </c>
      <c r="Q135" t="s">
        <v>441</v>
      </c>
      <c r="R135" s="1">
        <f t="shared" si="56"/>
        <v>0</v>
      </c>
      <c r="S135" s="26">
        <f>INDEX(ALL_CAPACITY!$P$6:$X$68,MATCH($P135&amp;"."&amp;$Q135,ALL_CAPACITY!$Z$6:$Z$68,0),MATCH(S$80,ALL_CAPACITY!$P$5:$X$5,0))</f>
        <v>0</v>
      </c>
      <c r="T135" s="26">
        <f>INDEX(ALL_CAPACITY!$P$6:$X$68,MATCH($P135&amp;"."&amp;$Q135,ALL_CAPACITY!$Z$6:$Z$68,0),MATCH(T$80,ALL_CAPACITY!$P$5:$X$5,0))</f>
        <v>0</v>
      </c>
      <c r="U135" s="26">
        <f>INDEX(ALL_CAPACITY!$P$6:$X$68,MATCH($P135&amp;"."&amp;$Q135,ALL_CAPACITY!$Z$6:$Z$68,0),MATCH(U$80,ALL_CAPACITY!$P$5:$X$5,0))</f>
        <v>0</v>
      </c>
      <c r="V135" s="26">
        <f>INDEX(ALL_CAPACITY!$P$6:$X$68,MATCH($P135&amp;"."&amp;$Q135,ALL_CAPACITY!$Z$6:$Z$68,0),MATCH(V$80,ALL_CAPACITY!$P$5:$X$5,0))</f>
        <v>0</v>
      </c>
      <c r="W135" s="26">
        <f>INDEX(ALL_CAPACITY!$P$6:$X$68,MATCH($P135&amp;"."&amp;$Q135,ALL_CAPACITY!$Z$6:$Z$68,0),MATCH(W$80,ALL_CAPACITY!$P$5:$X$5,0))</f>
        <v>4923.6136319191592</v>
      </c>
      <c r="X135" s="26">
        <f>INDEX(ALL_CAPACITY!$P$6:$X$68,MATCH($P135&amp;"."&amp;$Q135,ALL_CAPACITY!$Z$6:$Z$68,0),MATCH(X$80,ALL_CAPACITY!$P$5:$X$5,0))</f>
        <v>14849.69255299066</v>
      </c>
      <c r="Y135" s="26">
        <f>INDEX(ALL_CAPACITY!$P$6:$X$68,MATCH($P135&amp;"."&amp;$Q135,ALL_CAPACITY!$Z$6:$Z$68,0),MATCH(Y$80,ALL_CAPACITY!$P$5:$X$5,0))</f>
        <v>18916.099536294561</v>
      </c>
      <c r="Z135" s="26">
        <f>INDEX(ALL_CAPACITY!$P$6:$X$68,MATCH($P135&amp;"."&amp;$Q135,ALL_CAPACITY!$Z$6:$Z$68,0),MATCH(Z$80,ALL_CAPACITY!$P$5:$X$5,0))</f>
        <v>26580.733478190159</v>
      </c>
    </row>
    <row r="136" spans="2:26">
      <c r="B136">
        <f t="shared" si="41"/>
        <v>2050</v>
      </c>
      <c r="C136" t="str">
        <f t="shared" si="42"/>
        <v>HCO_LIN</v>
      </c>
      <c r="D136" t="str">
        <f t="shared" si="43"/>
        <v>FR0</v>
      </c>
      <c r="E136" s="26">
        <f t="shared" si="45"/>
        <v>728216.96241781802</v>
      </c>
      <c r="F136">
        <f t="shared" si="46"/>
        <v>8</v>
      </c>
      <c r="G136">
        <f t="shared" si="47"/>
        <v>3</v>
      </c>
      <c r="H136">
        <f t="shared" si="48"/>
        <v>3</v>
      </c>
      <c r="J136" s="200">
        <f t="shared" si="44"/>
        <v>8.5000000000000006E-2</v>
      </c>
      <c r="K136">
        <f t="shared" si="49"/>
        <v>795865.53269706888</v>
      </c>
    </row>
    <row r="137" spans="2:26">
      <c r="B137">
        <f t="shared" si="41"/>
        <v>2015</v>
      </c>
      <c r="C137" t="str">
        <f t="shared" si="42"/>
        <v>GAS_NEW</v>
      </c>
      <c r="D137" t="str">
        <f t="shared" si="43"/>
        <v>FR0</v>
      </c>
      <c r="E137" s="26">
        <f t="shared" si="45"/>
        <v>0</v>
      </c>
      <c r="F137">
        <f t="shared" si="46"/>
        <v>1</v>
      </c>
      <c r="G137">
        <f t="shared" si="47"/>
        <v>4</v>
      </c>
      <c r="H137">
        <f t="shared" si="48"/>
        <v>3</v>
      </c>
      <c r="J137" s="200">
        <f t="shared" si="44"/>
        <v>0.01</v>
      </c>
      <c r="K137">
        <f t="shared" si="49"/>
        <v>0</v>
      </c>
      <c r="O137" t="s">
        <v>416</v>
      </c>
      <c r="P137" t="s">
        <v>16</v>
      </c>
      <c r="Q137" t="s">
        <v>91</v>
      </c>
      <c r="R137" t="e">
        <f t="shared" ref="R137:R142" si="57">R120/R129</f>
        <v>#DIV/0!</v>
      </c>
    </row>
    <row r="138" spans="2:26">
      <c r="B138">
        <f t="shared" si="41"/>
        <v>2020</v>
      </c>
      <c r="C138" t="str">
        <f t="shared" si="42"/>
        <v>GAS_NEW</v>
      </c>
      <c r="D138" t="str">
        <f t="shared" si="43"/>
        <v>FR0</v>
      </c>
      <c r="E138" s="26">
        <f t="shared" si="45"/>
        <v>0</v>
      </c>
      <c r="F138">
        <f t="shared" si="46"/>
        <v>2</v>
      </c>
      <c r="G138">
        <f t="shared" si="47"/>
        <v>4</v>
      </c>
      <c r="H138">
        <f t="shared" si="48"/>
        <v>3</v>
      </c>
      <c r="J138" s="200">
        <f t="shared" si="44"/>
        <v>0.01</v>
      </c>
      <c r="K138">
        <f t="shared" si="49"/>
        <v>0</v>
      </c>
      <c r="O138" t="s">
        <v>416</v>
      </c>
      <c r="P138" t="s">
        <v>16</v>
      </c>
      <c r="Q138" t="s">
        <v>70</v>
      </c>
      <c r="R138">
        <f t="shared" si="57"/>
        <v>275.23742640549352</v>
      </c>
    </row>
    <row r="139" spans="2:26">
      <c r="B139">
        <f t="shared" si="41"/>
        <v>2025</v>
      </c>
      <c r="C139" t="str">
        <f t="shared" si="42"/>
        <v>GAS_NEW</v>
      </c>
      <c r="D139" t="str">
        <f t="shared" si="43"/>
        <v>FR0</v>
      </c>
      <c r="E139" s="26">
        <f t="shared" si="45"/>
        <v>0</v>
      </c>
      <c r="F139">
        <f t="shared" si="46"/>
        <v>3</v>
      </c>
      <c r="G139">
        <f t="shared" si="47"/>
        <v>4</v>
      </c>
      <c r="H139">
        <f t="shared" si="48"/>
        <v>3</v>
      </c>
      <c r="J139" s="200">
        <f t="shared" si="44"/>
        <v>0.01</v>
      </c>
      <c r="K139">
        <f t="shared" si="49"/>
        <v>0</v>
      </c>
      <c r="O139" t="s">
        <v>416</v>
      </c>
      <c r="P139" t="s">
        <v>16</v>
      </c>
      <c r="Q139" t="s">
        <v>60</v>
      </c>
      <c r="R139">
        <f t="shared" si="57"/>
        <v>629.4035325250137</v>
      </c>
    </row>
    <row r="140" spans="2:26">
      <c r="B140">
        <f t="shared" si="41"/>
        <v>2030</v>
      </c>
      <c r="C140" t="str">
        <f t="shared" si="42"/>
        <v>GAS_NEW</v>
      </c>
      <c r="D140" t="str">
        <f t="shared" si="43"/>
        <v>FR0</v>
      </c>
      <c r="E140" s="26">
        <f t="shared" si="45"/>
        <v>0</v>
      </c>
      <c r="F140">
        <f t="shared" si="46"/>
        <v>4</v>
      </c>
      <c r="G140">
        <f t="shared" si="47"/>
        <v>4</v>
      </c>
      <c r="H140">
        <f t="shared" si="48"/>
        <v>3</v>
      </c>
      <c r="J140" s="200">
        <f t="shared" si="44"/>
        <v>0.01</v>
      </c>
      <c r="K140">
        <f t="shared" si="49"/>
        <v>0</v>
      </c>
      <c r="O140" t="s">
        <v>416</v>
      </c>
      <c r="P140" t="s">
        <v>16</v>
      </c>
      <c r="Q140" t="s">
        <v>100</v>
      </c>
      <c r="R140">
        <f t="shared" si="57"/>
        <v>72.876944027882772</v>
      </c>
    </row>
    <row r="141" spans="2:26">
      <c r="B141">
        <f t="shared" si="41"/>
        <v>2035</v>
      </c>
      <c r="C141" t="str">
        <f t="shared" si="42"/>
        <v>GAS_NEW</v>
      </c>
      <c r="D141" t="str">
        <f t="shared" si="43"/>
        <v>FR0</v>
      </c>
      <c r="E141" s="26">
        <f t="shared" si="45"/>
        <v>3067950.4145910488</v>
      </c>
      <c r="F141">
        <f t="shared" si="46"/>
        <v>5</v>
      </c>
      <c r="G141">
        <f t="shared" si="47"/>
        <v>4</v>
      </c>
      <c r="H141">
        <f t="shared" si="48"/>
        <v>3</v>
      </c>
      <c r="J141" s="200">
        <f t="shared" si="44"/>
        <v>0.01</v>
      </c>
      <c r="K141">
        <f t="shared" si="49"/>
        <v>3098939.8127182312</v>
      </c>
      <c r="O141" t="s">
        <v>416</v>
      </c>
      <c r="P141" t="s">
        <v>16</v>
      </c>
      <c r="Q141" t="s">
        <v>110</v>
      </c>
      <c r="R141">
        <f t="shared" si="57"/>
        <v>1859.8004178327058</v>
      </c>
    </row>
    <row r="142" spans="2:26">
      <c r="B142">
        <f t="shared" si="41"/>
        <v>2040</v>
      </c>
      <c r="C142" t="str">
        <f t="shared" si="42"/>
        <v>GAS_NEW</v>
      </c>
      <c r="D142" t="str">
        <f t="shared" si="43"/>
        <v>FR0</v>
      </c>
      <c r="E142" s="26">
        <f t="shared" si="45"/>
        <v>9252984.4602650832</v>
      </c>
      <c r="F142">
        <f t="shared" si="46"/>
        <v>6</v>
      </c>
      <c r="G142">
        <f t="shared" si="47"/>
        <v>4</v>
      </c>
      <c r="H142">
        <f t="shared" si="48"/>
        <v>3</v>
      </c>
      <c r="J142" s="200">
        <f t="shared" si="44"/>
        <v>0.01</v>
      </c>
      <c r="K142">
        <f t="shared" si="49"/>
        <v>9346448.9497627113</v>
      </c>
      <c r="O142" t="s">
        <v>416</v>
      </c>
      <c r="P142" t="s">
        <v>16</v>
      </c>
      <c r="Q142" t="s">
        <v>55</v>
      </c>
      <c r="R142">
        <f t="shared" si="57"/>
        <v>2475.6950891676538</v>
      </c>
    </row>
    <row r="143" spans="2:26">
      <c r="B143">
        <f t="shared" si="41"/>
        <v>2045</v>
      </c>
      <c r="C143" t="str">
        <f t="shared" si="42"/>
        <v>GAS_NEW</v>
      </c>
      <c r="D143" t="str">
        <f t="shared" si="43"/>
        <v>FR0</v>
      </c>
      <c r="E143" s="26">
        <f t="shared" si="45"/>
        <v>11786801.271041185</v>
      </c>
      <c r="F143">
        <f t="shared" si="46"/>
        <v>7</v>
      </c>
      <c r="G143">
        <f t="shared" si="47"/>
        <v>4</v>
      </c>
      <c r="H143">
        <f t="shared" si="48"/>
        <v>3</v>
      </c>
      <c r="J143" s="200">
        <f t="shared" si="44"/>
        <v>0.01</v>
      </c>
      <c r="K143">
        <f t="shared" si="49"/>
        <v>11905859.869738571</v>
      </c>
      <c r="O143" t="s">
        <v>416</v>
      </c>
      <c r="P143" t="s">
        <v>16</v>
      </c>
      <c r="Q143" t="s">
        <v>441</v>
      </c>
      <c r="R143" s="146">
        <f>R139</f>
        <v>629.4035325250137</v>
      </c>
    </row>
    <row r="144" spans="2:26">
      <c r="B144">
        <f t="shared" si="41"/>
        <v>2050</v>
      </c>
      <c r="C144" t="str">
        <f t="shared" si="42"/>
        <v>GAS_NEW</v>
      </c>
      <c r="D144" t="str">
        <f t="shared" si="43"/>
        <v>FR0</v>
      </c>
      <c r="E144" s="26">
        <f t="shared" si="45"/>
        <v>16562707.472795993</v>
      </c>
      <c r="F144">
        <f t="shared" si="46"/>
        <v>8</v>
      </c>
      <c r="G144">
        <f t="shared" si="47"/>
        <v>4</v>
      </c>
      <c r="H144">
        <f t="shared" si="48"/>
        <v>3</v>
      </c>
      <c r="J144" s="200">
        <f t="shared" si="44"/>
        <v>0.01</v>
      </c>
      <c r="K144">
        <f t="shared" si="49"/>
        <v>16730007.548278781</v>
      </c>
    </row>
    <row r="145" spans="2:26">
      <c r="E145" s="26"/>
    </row>
    <row r="146" spans="2:26">
      <c r="E146" s="26"/>
    </row>
    <row r="147" spans="2:26">
      <c r="E147" s="26"/>
    </row>
    <row r="148" spans="2:26">
      <c r="E148" s="26"/>
      <c r="F148">
        <f>COUNTA(F149:F156)</f>
        <v>8</v>
      </c>
      <c r="G148">
        <f>COUNTA(G149:G156)</f>
        <v>5</v>
      </c>
      <c r="H148">
        <f>COUNTA(H149:H156)</f>
        <v>1</v>
      </c>
      <c r="P148">
        <v>2000</v>
      </c>
      <c r="Q148">
        <v>2005</v>
      </c>
      <c r="R148">
        <v>2010</v>
      </c>
      <c r="S148">
        <v>2015</v>
      </c>
      <c r="T148">
        <v>2020</v>
      </c>
      <c r="U148">
        <v>2025</v>
      </c>
      <c r="V148">
        <v>2030</v>
      </c>
      <c r="W148">
        <v>2035</v>
      </c>
      <c r="X148">
        <v>2040</v>
      </c>
      <c r="Y148">
        <v>2045</v>
      </c>
      <c r="Z148">
        <v>2050</v>
      </c>
    </row>
    <row r="149" spans="2:26">
      <c r="E149" s="26"/>
      <c r="F149">
        <v>2015</v>
      </c>
      <c r="G149" t="s">
        <v>91</v>
      </c>
      <c r="H149" t="s">
        <v>15</v>
      </c>
      <c r="I149" t="s">
        <v>91</v>
      </c>
      <c r="N149" t="s">
        <v>421</v>
      </c>
      <c r="O149" s="49" t="s">
        <v>231</v>
      </c>
      <c r="P149" s="50">
        <v>269941</v>
      </c>
      <c r="Q149" s="50">
        <v>296840</v>
      </c>
      <c r="R149" s="50">
        <v>298773</v>
      </c>
      <c r="S149" s="50">
        <v>288972.39521615102</v>
      </c>
      <c r="T149" s="50">
        <v>316523.41603749298</v>
      </c>
      <c r="U149" s="50">
        <v>313784.29578664101</v>
      </c>
      <c r="V149" s="50">
        <v>323148.87243115902</v>
      </c>
      <c r="W149" s="50">
        <v>351614.37797753199</v>
      </c>
      <c r="X149" s="50">
        <v>378763.34244987101</v>
      </c>
      <c r="Y149" s="50">
        <v>399987.57554224198</v>
      </c>
      <c r="Z149" s="50">
        <v>417852.53109947499</v>
      </c>
    </row>
    <row r="150" spans="2:26">
      <c r="E150" s="26"/>
      <c r="F150">
        <v>2020</v>
      </c>
      <c r="G150" t="s">
        <v>70</v>
      </c>
      <c r="I150" t="s">
        <v>70</v>
      </c>
      <c r="O150" s="84" t="s">
        <v>262</v>
      </c>
      <c r="P150" s="78">
        <v>8.3000000000000007</v>
      </c>
      <c r="Q150" s="78">
        <v>9.0178103977951896</v>
      </c>
      <c r="R150" s="78">
        <v>11.5</v>
      </c>
      <c r="S150" s="78">
        <v>15.3078580308393</v>
      </c>
      <c r="T150" s="78">
        <v>15.4853850182534</v>
      </c>
      <c r="U150" s="78">
        <v>11.524325931144601</v>
      </c>
      <c r="V150" s="78">
        <v>11.123819889885601</v>
      </c>
      <c r="W150" s="78">
        <v>9.76584120159721</v>
      </c>
      <c r="X150" s="78">
        <v>9.1592769860858301</v>
      </c>
      <c r="Y150" s="78">
        <v>7.1817933692051703</v>
      </c>
      <c r="Z150" s="78">
        <v>6.9184686972074001</v>
      </c>
    </row>
    <row r="151" spans="2:26">
      <c r="E151" s="26"/>
      <c r="F151">
        <v>2025</v>
      </c>
      <c r="G151" t="s">
        <v>60</v>
      </c>
      <c r="I151" t="s">
        <v>60</v>
      </c>
      <c r="O151" t="s">
        <v>419</v>
      </c>
      <c r="P151" s="1">
        <f t="shared" ref="P151:Z151" si="58">P149*1000*P150/100</f>
        <v>22405103</v>
      </c>
      <c r="Q151" s="1">
        <f t="shared" si="58"/>
        <v>26768468.384815238</v>
      </c>
      <c r="R151" s="1">
        <f t="shared" si="58"/>
        <v>34358895</v>
      </c>
      <c r="S151" s="1">
        <f t="shared" si="58"/>
        <v>44235484.008004256</v>
      </c>
      <c r="T151" s="1">
        <f t="shared" si="58"/>
        <v>49014869.646333821</v>
      </c>
      <c r="U151" s="1">
        <f t="shared" si="58"/>
        <v>36161524.967199348</v>
      </c>
      <c r="V151" s="1">
        <f t="shared" si="58"/>
        <v>35946498.545438312</v>
      </c>
      <c r="W151" s="1">
        <f t="shared" si="58"/>
        <v>34338101.795269564</v>
      </c>
      <c r="X151" s="1">
        <f t="shared" si="58"/>
        <v>34691983.656740502</v>
      </c>
      <c r="Y151" s="1">
        <f t="shared" si="58"/>
        <v>28726281.177937254</v>
      </c>
      <c r="Z151" s="1">
        <f t="shared" si="58"/>
        <v>28908996.564605996</v>
      </c>
    </row>
    <row r="152" spans="2:26">
      <c r="E152" s="26"/>
      <c r="F152">
        <v>2030</v>
      </c>
      <c r="G152" t="s">
        <v>100</v>
      </c>
      <c r="I152" t="s">
        <v>100</v>
      </c>
    </row>
    <row r="153" spans="2:26">
      <c r="E153" s="26"/>
      <c r="F153">
        <v>2035</v>
      </c>
      <c r="G153" t="s">
        <v>441</v>
      </c>
      <c r="I153" t="s">
        <v>441</v>
      </c>
    </row>
    <row r="154" spans="2:26">
      <c r="E154" s="26"/>
      <c r="F154">
        <v>2040</v>
      </c>
      <c r="O154" t="s">
        <v>417</v>
      </c>
      <c r="P154" t="s">
        <v>17</v>
      </c>
      <c r="Q154" t="s">
        <v>91</v>
      </c>
      <c r="R154" s="1">
        <f t="shared" ref="R154:R160" si="59">SUMIFS($AT$7:$AT$74,$AR$7:$AR$74,$P154,$AP$7:$AP$74,$Q154)</f>
        <v>0</v>
      </c>
      <c r="S154" s="32">
        <f t="shared" ref="S154:Z154" si="60">R154</f>
        <v>0</v>
      </c>
      <c r="T154" s="32">
        <f t="shared" si="60"/>
        <v>0</v>
      </c>
      <c r="U154" s="32">
        <f t="shared" si="60"/>
        <v>0</v>
      </c>
      <c r="V154" s="32">
        <f t="shared" si="60"/>
        <v>0</v>
      </c>
      <c r="W154" s="32">
        <f t="shared" si="60"/>
        <v>0</v>
      </c>
      <c r="X154" s="32">
        <f t="shared" si="60"/>
        <v>0</v>
      </c>
      <c r="Y154" s="32">
        <f t="shared" si="60"/>
        <v>0</v>
      </c>
      <c r="Z154" s="32">
        <f t="shared" si="60"/>
        <v>0</v>
      </c>
    </row>
    <row r="155" spans="2:26">
      <c r="E155" s="26"/>
      <c r="F155">
        <v>2045</v>
      </c>
      <c r="M155" t="str">
        <f>Q155&amp;"."&amp;P155</f>
        <v>HCO_LIN.IT0</v>
      </c>
      <c r="N155" t="s">
        <v>18</v>
      </c>
      <c r="O155" t="s">
        <v>417</v>
      </c>
      <c r="P155" t="s">
        <v>17</v>
      </c>
      <c r="Q155" t="s">
        <v>70</v>
      </c>
      <c r="R155" s="1">
        <f t="shared" si="59"/>
        <v>122600</v>
      </c>
      <c r="S155" s="1">
        <f t="shared" ref="S155:Z160" si="61">S164*$R172</f>
        <v>134032.39856555019</v>
      </c>
      <c r="T155" s="1">
        <f t="shared" si="61"/>
        <v>124823.92532755001</v>
      </c>
      <c r="U155" s="1">
        <f t="shared" si="61"/>
        <v>71916.618369089294</v>
      </c>
      <c r="V155" s="1">
        <f t="shared" si="61"/>
        <v>71844.328306791867</v>
      </c>
      <c r="W155" s="1">
        <f t="shared" si="61"/>
        <v>67682.788112313588</v>
      </c>
      <c r="X155" s="1">
        <f t="shared" si="61"/>
        <v>31369.784733080927</v>
      </c>
      <c r="Y155" s="1">
        <f t="shared" si="61"/>
        <v>31201.248837354389</v>
      </c>
      <c r="Z155" s="1">
        <f t="shared" si="61"/>
        <v>26793.386949121941</v>
      </c>
    </row>
    <row r="156" spans="2:26">
      <c r="E156" s="26"/>
      <c r="F156">
        <v>2050</v>
      </c>
      <c r="M156" t="str">
        <f>Q156&amp;"."&amp;P156</f>
        <v>GAS_LIN.IT0</v>
      </c>
      <c r="N156" t="s">
        <v>21</v>
      </c>
      <c r="O156" t="s">
        <v>417</v>
      </c>
      <c r="P156" t="s">
        <v>17</v>
      </c>
      <c r="Q156" t="s">
        <v>60</v>
      </c>
      <c r="R156" s="1">
        <f t="shared" si="59"/>
        <v>72899700</v>
      </c>
      <c r="S156" s="1">
        <f t="shared" si="61"/>
        <v>86377167.017171547</v>
      </c>
      <c r="T156" s="1">
        <f t="shared" si="61"/>
        <v>85228761.370962307</v>
      </c>
      <c r="U156" s="1">
        <f t="shared" si="61"/>
        <v>79039020.472922757</v>
      </c>
      <c r="V156" s="1">
        <f t="shared" si="61"/>
        <v>69274052.836474136</v>
      </c>
      <c r="W156" s="1">
        <f t="shared" si="61"/>
        <v>59519599.76035247</v>
      </c>
      <c r="X156" s="1">
        <f t="shared" si="61"/>
        <v>59519599.76035247</v>
      </c>
      <c r="Y156" s="1">
        <f t="shared" si="61"/>
        <v>59519599.76035247</v>
      </c>
      <c r="Z156" s="1">
        <f t="shared" si="61"/>
        <v>59519599.76035247</v>
      </c>
    </row>
    <row r="157" spans="2:26">
      <c r="J157" s="200"/>
      <c r="M157" t="str">
        <f>Q157&amp;"."&amp;P157</f>
        <v>OIL_LIN.IT0</v>
      </c>
      <c r="N157" t="s">
        <v>20</v>
      </c>
      <c r="O157" t="s">
        <v>417</v>
      </c>
      <c r="P157" t="s">
        <v>17</v>
      </c>
      <c r="Q157" t="s">
        <v>100</v>
      </c>
      <c r="R157" s="1">
        <f t="shared" si="59"/>
        <v>2270800</v>
      </c>
      <c r="S157" s="1">
        <f t="shared" si="61"/>
        <v>9890145.7618261985</v>
      </c>
      <c r="T157" s="1">
        <f t="shared" si="61"/>
        <v>6127525.4901490062</v>
      </c>
      <c r="U157" s="1">
        <f t="shared" si="61"/>
        <v>4288727.9263853533</v>
      </c>
      <c r="V157" s="1">
        <f t="shared" si="61"/>
        <v>1655908.7749609752</v>
      </c>
      <c r="W157" s="1">
        <f t="shared" si="61"/>
        <v>566494.105100694</v>
      </c>
      <c r="X157" s="1">
        <f t="shared" si="61"/>
        <v>428475.21972721507</v>
      </c>
      <c r="Y157" s="1">
        <f t="shared" si="61"/>
        <v>343256.69817806612</v>
      </c>
      <c r="Z157" s="1">
        <f t="shared" si="61"/>
        <v>90978.019411328307</v>
      </c>
    </row>
    <row r="158" spans="2:26">
      <c r="B158">
        <f t="shared" ref="B158:B197" si="62">INDEX(F$149:F$156,F158)</f>
        <v>2015</v>
      </c>
      <c r="C158" t="str">
        <f t="shared" ref="C158:C197" si="63">INDEX(G$149:G$156,G158)</f>
        <v>LIG_LIN</v>
      </c>
      <c r="D158" t="str">
        <f t="shared" ref="D158:D197" si="64">INDEX(H$149:H$156,H158)</f>
        <v>DE0</v>
      </c>
      <c r="E158" s="26">
        <f t="shared" ref="E158:E197" si="65">K158*(1-J158)</f>
        <v>4337783.8620715216</v>
      </c>
      <c r="F158">
        <v>1</v>
      </c>
      <c r="G158">
        <v>1</v>
      </c>
      <c r="H158">
        <v>1</v>
      </c>
      <c r="J158" s="200">
        <f t="shared" ref="J158:J197" si="66">INDEX($AF$59:$AF$96,MATCH(C158,$AE$59:$AE$96,0))</f>
        <v>8.5000000000000006E-2</v>
      </c>
      <c r="K158">
        <f>INDEX($P$86:$Z$212,MATCH(C158&amp;"."&amp;D158,$M$86:$M$212,0),MATCH(B158,$P$80:$Z$80,0))</f>
        <v>4740747.3902420998</v>
      </c>
      <c r="O158" t="s">
        <v>417</v>
      </c>
      <c r="P158" t="s">
        <v>17</v>
      </c>
      <c r="Q158" t="s">
        <v>110</v>
      </c>
      <c r="R158" s="1">
        <f t="shared" si="59"/>
        <v>12723600</v>
      </c>
      <c r="S158" s="1">
        <f t="shared" si="61"/>
        <v>1833518.1129535141</v>
      </c>
      <c r="T158" s="1">
        <f t="shared" si="61"/>
        <v>2294286.0793845174</v>
      </c>
      <c r="U158" s="1">
        <f t="shared" si="61"/>
        <v>2338241.2609606655</v>
      </c>
      <c r="V158" s="1">
        <f t="shared" si="61"/>
        <v>2311345.9204653129</v>
      </c>
      <c r="W158" s="1">
        <f t="shared" si="61"/>
        <v>2372020.463182536</v>
      </c>
      <c r="X158" s="1">
        <f t="shared" si="61"/>
        <v>2902810.8484567613</v>
      </c>
      <c r="Y158" s="1">
        <f t="shared" si="61"/>
        <v>2907966.6362198815</v>
      </c>
      <c r="Z158" s="1">
        <f t="shared" si="61"/>
        <v>2873351.6570321023</v>
      </c>
    </row>
    <row r="159" spans="2:26">
      <c r="B159">
        <f t="shared" si="62"/>
        <v>2020</v>
      </c>
      <c r="C159" t="str">
        <f t="shared" si="63"/>
        <v>LIG_LIN</v>
      </c>
      <c r="D159" t="str">
        <f t="shared" si="64"/>
        <v>DE0</v>
      </c>
      <c r="E159" s="26">
        <f t="shared" si="65"/>
        <v>3989838.3853330011</v>
      </c>
      <c r="F159">
        <f t="shared" ref="F159:F197" si="67">IF(F158=$F$148,1,F158+1)</f>
        <v>2</v>
      </c>
      <c r="G159">
        <f t="shared" ref="G159:G197" si="68">IF(F159=1,IF(G158=$G$148,1,G158+1),G158)</f>
        <v>1</v>
      </c>
      <c r="H159">
        <f t="shared" ref="H159:H197" si="69">IF(AND(G159=1,G158&gt;1),IF(H158=$H$148,1,H158+1),H158)</f>
        <v>1</v>
      </c>
      <c r="J159" s="200">
        <f t="shared" si="66"/>
        <v>8.5000000000000006E-2</v>
      </c>
      <c r="K159">
        <f t="shared" ref="K159:K197" si="70">INDEX($P$86:$Z$212,MATCH(C159&amp;"."&amp;D159,$M$86:$M$212,0),MATCH(B159,$P$80:$Z$80,0))</f>
        <v>4360479.109653553</v>
      </c>
      <c r="O159" t="s">
        <v>417</v>
      </c>
      <c r="P159" t="s">
        <v>17</v>
      </c>
      <c r="Q159" t="s">
        <v>55</v>
      </c>
      <c r="R159" s="1">
        <f t="shared" si="59"/>
        <v>4679300</v>
      </c>
      <c r="S159" s="1">
        <f t="shared" si="61"/>
        <v>4679300</v>
      </c>
      <c r="T159" s="1">
        <f t="shared" si="61"/>
        <v>5855220.5050052656</v>
      </c>
      <c r="U159" s="1">
        <f t="shared" si="61"/>
        <v>5967398.0066596931</v>
      </c>
      <c r="V159" s="1">
        <f t="shared" si="61"/>
        <v>5898758.7246745415</v>
      </c>
      <c r="W159" s="1">
        <f t="shared" si="61"/>
        <v>6053605.5111507094</v>
      </c>
      <c r="X159" s="1">
        <f t="shared" si="61"/>
        <v>7408229.4072914384</v>
      </c>
      <c r="Y159" s="1">
        <f t="shared" si="61"/>
        <v>7421387.4325705562</v>
      </c>
      <c r="Z159" s="1">
        <f t="shared" si="61"/>
        <v>7333046.9515199168</v>
      </c>
    </row>
    <row r="160" spans="2:26">
      <c r="B160">
        <f t="shared" si="62"/>
        <v>2025</v>
      </c>
      <c r="C160" t="str">
        <f t="shared" si="63"/>
        <v>LIG_LIN</v>
      </c>
      <c r="D160" t="str">
        <f t="shared" si="64"/>
        <v>DE0</v>
      </c>
      <c r="E160" s="26">
        <f t="shared" si="65"/>
        <v>3526651.9331434579</v>
      </c>
      <c r="F160">
        <f t="shared" si="67"/>
        <v>3</v>
      </c>
      <c r="G160">
        <f t="shared" si="68"/>
        <v>1</v>
      </c>
      <c r="H160">
        <f t="shared" si="69"/>
        <v>1</v>
      </c>
      <c r="J160" s="200">
        <f t="shared" si="66"/>
        <v>8.5000000000000006E-2</v>
      </c>
      <c r="K160">
        <f t="shared" si="70"/>
        <v>3854264.4078070577</v>
      </c>
      <c r="M160" t="str">
        <f>Q160&amp;"."&amp;P160</f>
        <v>GAS_NEW.IT0</v>
      </c>
      <c r="N160" t="s">
        <v>21</v>
      </c>
      <c r="O160" t="s">
        <v>417</v>
      </c>
      <c r="P160" t="s">
        <v>17</v>
      </c>
      <c r="Q160" t="s">
        <v>441</v>
      </c>
      <c r="R160" s="1">
        <f t="shared" si="59"/>
        <v>0</v>
      </c>
      <c r="S160" s="1">
        <f t="shared" si="61"/>
        <v>0</v>
      </c>
      <c r="T160" s="1">
        <f t="shared" si="61"/>
        <v>0</v>
      </c>
      <c r="U160" s="1">
        <f t="shared" si="61"/>
        <v>0</v>
      </c>
      <c r="V160" s="1">
        <f t="shared" si="61"/>
        <v>0</v>
      </c>
      <c r="W160" s="1">
        <f t="shared" si="61"/>
        <v>0</v>
      </c>
      <c r="X160" s="1">
        <f t="shared" si="61"/>
        <v>15519570.737624636</v>
      </c>
      <c r="Y160" s="1">
        <f t="shared" si="61"/>
        <v>15301192.505651658</v>
      </c>
      <c r="Z160" s="1">
        <f t="shared" si="61"/>
        <v>15268217.459542148</v>
      </c>
    </row>
    <row r="161" spans="2:26">
      <c r="B161">
        <f t="shared" si="62"/>
        <v>2030</v>
      </c>
      <c r="C161" t="str">
        <f t="shared" si="63"/>
        <v>LIG_LIN</v>
      </c>
      <c r="D161" t="str">
        <f t="shared" si="64"/>
        <v>DE0</v>
      </c>
      <c r="E161" s="26">
        <f t="shared" si="65"/>
        <v>2934107.9282650747</v>
      </c>
      <c r="F161">
        <f t="shared" si="67"/>
        <v>4</v>
      </c>
      <c r="G161">
        <f t="shared" si="68"/>
        <v>1</v>
      </c>
      <c r="H161">
        <f t="shared" si="69"/>
        <v>1</v>
      </c>
      <c r="J161" s="200">
        <f t="shared" si="66"/>
        <v>8.5000000000000006E-2</v>
      </c>
      <c r="K161">
        <f t="shared" si="70"/>
        <v>3206675.3314372399</v>
      </c>
      <c r="R161" s="1">
        <f t="shared" ref="R161:Z161" si="71">SUM(R154:R160)</f>
        <v>92696000</v>
      </c>
      <c r="S161" s="1">
        <f t="shared" si="71"/>
        <v>102914163.29051681</v>
      </c>
      <c r="T161" s="1">
        <f t="shared" si="71"/>
        <v>99630617.370828658</v>
      </c>
      <c r="U161" s="1">
        <f t="shared" si="71"/>
        <v>91705304.285297558</v>
      </c>
      <c r="V161" s="1">
        <f t="shared" si="71"/>
        <v>79211910.584881768</v>
      </c>
      <c r="W161" s="1">
        <f t="shared" si="71"/>
        <v>68579402.627898723</v>
      </c>
      <c r="X161" s="1">
        <f t="shared" si="71"/>
        <v>85810055.758185595</v>
      </c>
      <c r="Y161" s="1">
        <f t="shared" si="71"/>
        <v>85524604.281809986</v>
      </c>
      <c r="Z161" s="1">
        <f t="shared" si="71"/>
        <v>85111987.234807074</v>
      </c>
    </row>
    <row r="162" spans="2:26">
      <c r="B162">
        <f t="shared" si="62"/>
        <v>2035</v>
      </c>
      <c r="C162" t="str">
        <f t="shared" si="63"/>
        <v>LIG_LIN</v>
      </c>
      <c r="D162" t="str">
        <f t="shared" si="64"/>
        <v>DE0</v>
      </c>
      <c r="E162" s="26">
        <f t="shared" si="65"/>
        <v>2470207.2447532574</v>
      </c>
      <c r="F162">
        <f t="shared" si="67"/>
        <v>5</v>
      </c>
      <c r="G162">
        <f t="shared" si="68"/>
        <v>1</v>
      </c>
      <c r="H162">
        <f t="shared" si="69"/>
        <v>1</v>
      </c>
      <c r="J162" s="200">
        <f t="shared" si="66"/>
        <v>8.5000000000000006E-2</v>
      </c>
      <c r="K162">
        <f t="shared" si="70"/>
        <v>2699680.0489106639</v>
      </c>
      <c r="R162" s="145">
        <f t="shared" ref="R162:Z162" si="72">(R161-R151)/R151</f>
        <v>1.6978748880020733</v>
      </c>
      <c r="S162" s="145">
        <f t="shared" si="72"/>
        <v>1.3265070022042678</v>
      </c>
      <c r="T162" s="145">
        <f t="shared" si="72"/>
        <v>1.0326610697878447</v>
      </c>
      <c r="U162" s="145">
        <f t="shared" si="72"/>
        <v>1.5359910669829251</v>
      </c>
      <c r="V162" s="145">
        <f t="shared" si="72"/>
        <v>1.2036057415927073</v>
      </c>
      <c r="W162" s="145">
        <f t="shared" si="72"/>
        <v>0.99718094601683138</v>
      </c>
      <c r="X162" s="145">
        <f t="shared" si="72"/>
        <v>1.4734836902735908</v>
      </c>
      <c r="Y162" s="145">
        <f t="shared" si="72"/>
        <v>1.9772250627239472</v>
      </c>
      <c r="Z162" s="145">
        <f t="shared" si="72"/>
        <v>1.9441349527507226</v>
      </c>
    </row>
    <row r="163" spans="2:26">
      <c r="B163">
        <f t="shared" si="62"/>
        <v>2040</v>
      </c>
      <c r="C163" t="str">
        <f t="shared" si="63"/>
        <v>LIG_LIN</v>
      </c>
      <c r="D163" t="str">
        <f t="shared" si="64"/>
        <v>DE0</v>
      </c>
      <c r="E163" s="26">
        <f t="shared" si="65"/>
        <v>2202914.5256768423</v>
      </c>
      <c r="F163">
        <f t="shared" si="67"/>
        <v>6</v>
      </c>
      <c r="G163">
        <f t="shared" si="68"/>
        <v>1</v>
      </c>
      <c r="H163">
        <f t="shared" si="69"/>
        <v>1</v>
      </c>
      <c r="J163" s="200">
        <f t="shared" si="66"/>
        <v>8.5000000000000006E-2</v>
      </c>
      <c r="K163">
        <f t="shared" si="70"/>
        <v>2407556.8586632153</v>
      </c>
      <c r="O163" t="s">
        <v>404</v>
      </c>
      <c r="P163" t="s">
        <v>17</v>
      </c>
      <c r="Q163" t="s">
        <v>91</v>
      </c>
      <c r="R163" s="1">
        <f t="shared" ref="R163:R169" si="73">SUMIFS($AV$7:$AV$74,$AR$7:$AR$74,$P163,$AP$7:$AP$74,$Q163)</f>
        <v>0</v>
      </c>
      <c r="S163" s="26">
        <f>INDEX(ALL_CAPACITY!$P$6:$X$68,MATCH($P163&amp;"."&amp;$Q163,ALL_CAPACITY!$Z$6:$Z$68,0),MATCH(S$80,ALL_CAPACITY!$P$5:$X$5,0))</f>
        <v>0</v>
      </c>
      <c r="T163" s="26">
        <f>INDEX(ALL_CAPACITY!$P$6:$X$68,MATCH($P163&amp;"."&amp;$Q163,ALL_CAPACITY!$Z$6:$Z$68,0),MATCH(T$80,ALL_CAPACITY!$P$5:$X$5,0))</f>
        <v>0</v>
      </c>
      <c r="U163" s="26">
        <f>INDEX(ALL_CAPACITY!$P$6:$X$68,MATCH($P163&amp;"."&amp;$Q163,ALL_CAPACITY!$Z$6:$Z$68,0),MATCH(U$80,ALL_CAPACITY!$P$5:$X$5,0))</f>
        <v>0</v>
      </c>
      <c r="V163" s="26">
        <f>INDEX(ALL_CAPACITY!$P$6:$X$68,MATCH($P163&amp;"."&amp;$Q163,ALL_CAPACITY!$Z$6:$Z$68,0),MATCH(V$80,ALL_CAPACITY!$P$5:$X$5,0))</f>
        <v>0</v>
      </c>
      <c r="W163" s="26">
        <f>INDEX(ALL_CAPACITY!$P$6:$X$68,MATCH($P163&amp;"."&amp;$Q163,ALL_CAPACITY!$Z$6:$Z$68,0),MATCH(W$80,ALL_CAPACITY!$P$5:$X$5,0))</f>
        <v>0</v>
      </c>
      <c r="X163" s="26">
        <f>INDEX(ALL_CAPACITY!$P$6:$X$68,MATCH($P163&amp;"."&amp;$Q163,ALL_CAPACITY!$Z$6:$Z$68,0),MATCH(X$80,ALL_CAPACITY!$P$5:$X$5,0))</f>
        <v>0</v>
      </c>
      <c r="Y163" s="26">
        <f>INDEX(ALL_CAPACITY!$P$6:$X$68,MATCH($P163&amp;"."&amp;$Q163,ALL_CAPACITY!$Z$6:$Z$68,0),MATCH(Y$80,ALL_CAPACITY!$P$5:$X$5,0))</f>
        <v>0</v>
      </c>
      <c r="Z163" s="26">
        <f>INDEX(ALL_CAPACITY!$P$6:$X$68,MATCH($P163&amp;"."&amp;$Q163,ALL_CAPACITY!$Z$6:$Z$68,0),MATCH(Z$80,ALL_CAPACITY!$P$5:$X$5,0))</f>
        <v>0</v>
      </c>
    </row>
    <row r="164" spans="2:26">
      <c r="B164">
        <f t="shared" si="62"/>
        <v>2045</v>
      </c>
      <c r="C164" t="str">
        <f t="shared" si="63"/>
        <v>LIG_LIN</v>
      </c>
      <c r="D164" t="str">
        <f t="shared" si="64"/>
        <v>DE0</v>
      </c>
      <c r="E164" s="26">
        <f t="shared" si="65"/>
        <v>1952795.672644123</v>
      </c>
      <c r="F164">
        <f t="shared" si="67"/>
        <v>7</v>
      </c>
      <c r="G164">
        <f t="shared" si="68"/>
        <v>1</v>
      </c>
      <c r="H164">
        <f t="shared" si="69"/>
        <v>1</v>
      </c>
      <c r="J164" s="200">
        <f t="shared" si="66"/>
        <v>8.5000000000000006E-2</v>
      </c>
      <c r="K164">
        <f t="shared" si="70"/>
        <v>2134202.9209225387</v>
      </c>
      <c r="O164" t="s">
        <v>404</v>
      </c>
      <c r="P164" t="s">
        <v>17</v>
      </c>
      <c r="Q164" t="s">
        <v>70</v>
      </c>
      <c r="R164" s="1">
        <f t="shared" si="73"/>
        <v>8700.2000000000007</v>
      </c>
      <c r="S164" s="26">
        <f>INDEX(ALL_CAPACITY!$P$6:$X$68,MATCH($P164&amp;"."&amp;$Q164,ALL_CAPACITY!$Z$6:$Z$68,0),MATCH(S$80,ALL_CAPACITY!$P$5:$X$5,0))</f>
        <v>9511.49</v>
      </c>
      <c r="T164" s="26">
        <f>INDEX(ALL_CAPACITY!$P$6:$X$68,MATCH($P164&amp;"."&amp;$Q164,ALL_CAPACITY!$Z$6:$Z$68,0),MATCH(T$80,ALL_CAPACITY!$P$5:$X$5,0))</f>
        <v>8858.0188836439702</v>
      </c>
      <c r="U164" s="26">
        <f>INDEX(ALL_CAPACITY!$P$6:$X$68,MATCH($P164&amp;"."&amp;$Q164,ALL_CAPACITY!$Z$6:$Z$68,0),MATCH(U$80,ALL_CAPACITY!$P$5:$X$5,0))</f>
        <v>5103.4988836439697</v>
      </c>
      <c r="V164" s="26">
        <f>INDEX(ALL_CAPACITY!$P$6:$X$68,MATCH($P164&amp;"."&amp;$Q164,ALL_CAPACITY!$Z$6:$Z$68,0),MATCH(V$80,ALL_CAPACITY!$P$5:$X$5,0))</f>
        <v>5098.3688836439696</v>
      </c>
      <c r="W164" s="26">
        <f>INDEX(ALL_CAPACITY!$P$6:$X$68,MATCH($P164&amp;"."&amp;$Q164,ALL_CAPACITY!$Z$6:$Z$68,0),MATCH(W$80,ALL_CAPACITY!$P$5:$X$5,0))</f>
        <v>4803.0488836439699</v>
      </c>
      <c r="X164" s="26">
        <f>INDEX(ALL_CAPACITY!$P$6:$X$68,MATCH($P164&amp;"."&amp;$Q164,ALL_CAPACITY!$Z$6:$Z$68,0),MATCH(X$80,ALL_CAPACITY!$P$5:$X$5,0))</f>
        <v>2226.1288836439699</v>
      </c>
      <c r="Y164" s="26">
        <f>INDEX(ALL_CAPACITY!$P$6:$X$68,MATCH($P164&amp;"."&amp;$Q164,ALL_CAPACITY!$Z$6:$Z$68,0),MATCH(Y$80,ALL_CAPACITY!$P$5:$X$5,0))</f>
        <v>2214.1688836439698</v>
      </c>
      <c r="Z164" s="26">
        <f>INDEX(ALL_CAPACITY!$P$6:$X$68,MATCH($P164&amp;"."&amp;$Q164,ALL_CAPACITY!$Z$6:$Z$68,0),MATCH(Z$80,ALL_CAPACITY!$P$5:$X$5,0))</f>
        <v>1901.3688836439701</v>
      </c>
    </row>
    <row r="165" spans="2:26">
      <c r="B165">
        <f t="shared" si="62"/>
        <v>2050</v>
      </c>
      <c r="C165" t="str">
        <f t="shared" si="63"/>
        <v>LIG_LIN</v>
      </c>
      <c r="D165" t="str">
        <f t="shared" si="64"/>
        <v>DE0</v>
      </c>
      <c r="E165" s="26">
        <f t="shared" si="65"/>
        <v>1952795.672644123</v>
      </c>
      <c r="F165">
        <f t="shared" si="67"/>
        <v>8</v>
      </c>
      <c r="G165">
        <f t="shared" si="68"/>
        <v>1</v>
      </c>
      <c r="H165">
        <f t="shared" si="69"/>
        <v>1</v>
      </c>
      <c r="J165" s="200">
        <f t="shared" si="66"/>
        <v>8.5000000000000006E-2</v>
      </c>
      <c r="K165">
        <f t="shared" si="70"/>
        <v>2134202.9209225387</v>
      </c>
      <c r="O165" t="s">
        <v>404</v>
      </c>
      <c r="P165" t="s">
        <v>17</v>
      </c>
      <c r="Q165" t="s">
        <v>60</v>
      </c>
      <c r="R165" s="1">
        <f t="shared" si="73"/>
        <v>43923.990978955298</v>
      </c>
      <c r="S165" s="26">
        <f>INDEX(ALL_CAPACITY!$P$6:$X$68,MATCH($P165&amp;"."&amp;$Q165,ALL_CAPACITY!$Z$6:$Z$68,0),MATCH(S$80,ALL_CAPACITY!$P$5:$X$5,0))</f>
        <v>52044.520140000001</v>
      </c>
      <c r="T165" s="26">
        <f>INDEX(ALL_CAPACITY!$P$6:$X$68,MATCH($P165&amp;"."&amp;$Q165,ALL_CAPACITY!$Z$6:$Z$68,0),MATCH(T$80,ALL_CAPACITY!$P$5:$X$5,0))</f>
        <v>51352.575464723202</v>
      </c>
      <c r="U165" s="26">
        <f>INDEX(ALL_CAPACITY!$P$6:$X$68,MATCH($P165&amp;"."&amp;$Q165,ALL_CAPACITY!$Z$6:$Z$68,0),MATCH(U$80,ALL_CAPACITY!$P$5:$X$5,0))</f>
        <v>47623.093404199499</v>
      </c>
      <c r="V165" s="26">
        <f>INDEX(ALL_CAPACITY!$P$6:$X$68,MATCH($P165&amp;"."&amp;$Q165,ALL_CAPACITY!$Z$6:$Z$68,0),MATCH(V$80,ALL_CAPACITY!$P$5:$X$5,0))</f>
        <v>41739.442986253198</v>
      </c>
      <c r="W165" s="26">
        <f>INDEX(ALL_CAPACITY!$P$6:$X$68,MATCH($P165&amp;"."&amp;$Q165,ALL_CAPACITY!$Z$6:$Z$68,0),MATCH(W$80,ALL_CAPACITY!$P$5:$X$5,0))</f>
        <v>35862.127868081101</v>
      </c>
      <c r="X165" s="26">
        <f>INDEX(ALL_CAPACITY!$P$6:$X$68,MATCH($P165&amp;"."&amp;$Q165,ALL_CAPACITY!$Z$6:$Z$68,0),MATCH(X$80,ALL_CAPACITY!$P$5:$X$5,0))</f>
        <v>35862.127868081101</v>
      </c>
      <c r="Y165" s="26">
        <f>INDEX(ALL_CAPACITY!$P$6:$X$68,MATCH($P165&amp;"."&amp;$Q165,ALL_CAPACITY!$Z$6:$Z$68,0),MATCH(Y$80,ALL_CAPACITY!$P$5:$X$5,0))</f>
        <v>35862.127868081101</v>
      </c>
      <c r="Z165" s="26">
        <f>INDEX(ALL_CAPACITY!$P$6:$X$68,MATCH($P165&amp;"."&amp;$Q165,ALL_CAPACITY!$Z$6:$Z$68,0),MATCH(Z$80,ALL_CAPACITY!$P$5:$X$5,0))</f>
        <v>35862.127868081101</v>
      </c>
    </row>
    <row r="166" spans="2:26">
      <c r="B166">
        <f t="shared" si="62"/>
        <v>2015</v>
      </c>
      <c r="C166" t="str">
        <f t="shared" si="63"/>
        <v>HCO_LIN</v>
      </c>
      <c r="D166" t="str">
        <f t="shared" si="64"/>
        <v>DE0</v>
      </c>
      <c r="E166" s="26">
        <f t="shared" si="65"/>
        <v>8143575.3637002986</v>
      </c>
      <c r="F166">
        <f t="shared" si="67"/>
        <v>1</v>
      </c>
      <c r="G166">
        <f t="shared" si="68"/>
        <v>2</v>
      </c>
      <c r="H166">
        <f t="shared" si="69"/>
        <v>1</v>
      </c>
      <c r="J166" s="200">
        <f t="shared" si="66"/>
        <v>8.5000000000000006E-2</v>
      </c>
      <c r="K166">
        <f t="shared" si="70"/>
        <v>8900082.3646997791</v>
      </c>
      <c r="O166" t="s">
        <v>404</v>
      </c>
      <c r="P166" t="s">
        <v>17</v>
      </c>
      <c r="Q166" t="s">
        <v>100</v>
      </c>
      <c r="R166" s="1">
        <f t="shared" si="73"/>
        <v>3197.9</v>
      </c>
      <c r="S166" s="26">
        <f>INDEX(ALL_CAPACITY!$P$6:$X$68,MATCH($P166&amp;"."&amp;$Q166,ALL_CAPACITY!$Z$6:$Z$68,0),MATCH(S$80,ALL_CAPACITY!$P$5:$X$5,0))</f>
        <v>13927.99768</v>
      </c>
      <c r="T166" s="26">
        <f>INDEX(ALL_CAPACITY!$P$6:$X$68,MATCH($P166&amp;"."&amp;$Q166,ALL_CAPACITY!$Z$6:$Z$68,0),MATCH(T$80,ALL_CAPACITY!$P$5:$X$5,0))</f>
        <v>8629.2116280374794</v>
      </c>
      <c r="U166" s="26">
        <f>INDEX(ALL_CAPACITY!$P$6:$X$68,MATCH($P166&amp;"."&amp;$Q166,ALL_CAPACITY!$Z$6:$Z$68,0),MATCH(U$80,ALL_CAPACITY!$P$5:$X$5,0))</f>
        <v>6039.6877909933601</v>
      </c>
      <c r="V166" s="26">
        <f>INDEX(ALL_CAPACITY!$P$6:$X$68,MATCH($P166&amp;"."&amp;$Q166,ALL_CAPACITY!$Z$6:$Z$68,0),MATCH(V$80,ALL_CAPACITY!$P$5:$X$5,0))</f>
        <v>2331.9670034559199</v>
      </c>
      <c r="W166" s="26">
        <f>INDEX(ALL_CAPACITY!$P$6:$X$68,MATCH($P166&amp;"."&amp;$Q166,ALL_CAPACITY!$Z$6:$Z$68,0),MATCH(W$80,ALL_CAPACITY!$P$5:$X$5,0))</f>
        <v>797.77677413312904</v>
      </c>
      <c r="X166" s="26">
        <f>INDEX(ALL_CAPACITY!$P$6:$X$68,MATCH($P166&amp;"."&amp;$Q166,ALL_CAPACITY!$Z$6:$Z$68,0),MATCH(X$80,ALL_CAPACITY!$P$5:$X$5,0))</f>
        <v>603.40888901077199</v>
      </c>
      <c r="Y166" s="26">
        <f>INDEX(ALL_CAPACITY!$P$6:$X$68,MATCH($P166&amp;"."&amp;$Q166,ALL_CAPACITY!$Z$6:$Z$68,0),MATCH(Y$80,ALL_CAPACITY!$P$5:$X$5,0))</f>
        <v>483.39818350521301</v>
      </c>
      <c r="Z166" s="26">
        <f>INDEX(ALL_CAPACITY!$P$6:$X$68,MATCH($P166&amp;"."&amp;$Q166,ALL_CAPACITY!$Z$6:$Z$68,0),MATCH(Z$80,ALL_CAPACITY!$P$5:$X$5,0))</f>
        <v>128.12163478751401</v>
      </c>
    </row>
    <row r="167" spans="2:26">
      <c r="B167">
        <f t="shared" si="62"/>
        <v>2020</v>
      </c>
      <c r="C167" t="str">
        <f t="shared" si="63"/>
        <v>HCO_LIN</v>
      </c>
      <c r="D167" t="str">
        <f t="shared" si="64"/>
        <v>DE0</v>
      </c>
      <c r="E167" s="26">
        <f t="shared" si="65"/>
        <v>7741638.1997305164</v>
      </c>
      <c r="F167">
        <f t="shared" si="67"/>
        <v>2</v>
      </c>
      <c r="G167">
        <f t="shared" si="68"/>
        <v>2</v>
      </c>
      <c r="H167">
        <f t="shared" si="69"/>
        <v>1</v>
      </c>
      <c r="J167" s="200">
        <f t="shared" si="66"/>
        <v>8.5000000000000006E-2</v>
      </c>
      <c r="K167">
        <f t="shared" si="70"/>
        <v>8460806.7756617665</v>
      </c>
      <c r="O167" t="s">
        <v>404</v>
      </c>
      <c r="P167" t="s">
        <v>17</v>
      </c>
      <c r="Q167" t="s">
        <v>110</v>
      </c>
      <c r="R167" s="1">
        <f t="shared" si="73"/>
        <v>916.759056476757</v>
      </c>
      <c r="S167" s="26">
        <f>INDEX(ALL_CAPACITY!$P$6:$X$68,MATCH($P167&amp;"."&amp;$Q167,ALL_CAPACITY!$Z$6:$Z$68,0),MATCH(S$80,ALL_CAPACITY!$P$5:$X$5,0))</f>
        <v>916.759056476757</v>
      </c>
      <c r="T167" s="26">
        <f>INDEX(ALL_CAPACITY!$P$6:$X$68,MATCH($P167&amp;"."&amp;$Q167,ALL_CAPACITY!$Z$6:$Z$68,0),MATCH(T$80,ALL_CAPACITY!$P$5:$X$5,0))</f>
        <v>1147.1430396922588</v>
      </c>
      <c r="U167" s="26">
        <f>INDEX(ALL_CAPACITY!$P$6:$X$68,MATCH($P167&amp;"."&amp;$Q167,ALL_CAPACITY!$Z$6:$Z$68,0),MATCH(U$80,ALL_CAPACITY!$P$5:$X$5,0))</f>
        <v>1169.1206304803327</v>
      </c>
      <c r="V167" s="26">
        <f>INDEX(ALL_CAPACITY!$P$6:$X$68,MATCH($P167&amp;"."&amp;$Q167,ALL_CAPACITY!$Z$6:$Z$68,0),MATCH(V$80,ALL_CAPACITY!$P$5:$X$5,0))</f>
        <v>1155.6729602326564</v>
      </c>
      <c r="W167" s="26">
        <f>INDEX(ALL_CAPACITY!$P$6:$X$68,MATCH($P167&amp;"."&amp;$Q167,ALL_CAPACITY!$Z$6:$Z$68,0),MATCH(W$80,ALL_CAPACITY!$P$5:$X$5,0))</f>
        <v>1186.0102315912679</v>
      </c>
      <c r="X167" s="26">
        <f>INDEX(ALL_CAPACITY!$P$6:$X$68,MATCH($P167&amp;"."&amp;$Q167,ALL_CAPACITY!$Z$6:$Z$68,0),MATCH(X$80,ALL_CAPACITY!$P$5:$X$5,0))</f>
        <v>1451.4054242283808</v>
      </c>
      <c r="Y167" s="26">
        <f>INDEX(ALL_CAPACITY!$P$6:$X$68,MATCH($P167&amp;"."&amp;$Q167,ALL_CAPACITY!$Z$6:$Z$68,0),MATCH(Y$80,ALL_CAPACITY!$P$5:$X$5,0))</f>
        <v>1453.9833181099407</v>
      </c>
      <c r="Z167" s="26">
        <f>INDEX(ALL_CAPACITY!$P$6:$X$68,MATCH($P167&amp;"."&amp;$Q167,ALL_CAPACITY!$Z$6:$Z$68,0),MATCH(Z$80,ALL_CAPACITY!$P$5:$X$5,0))</f>
        <v>1436.6758285160511</v>
      </c>
    </row>
    <row r="168" spans="2:26">
      <c r="B168">
        <f t="shared" si="62"/>
        <v>2025</v>
      </c>
      <c r="C168" t="str">
        <f t="shared" si="63"/>
        <v>HCO_LIN</v>
      </c>
      <c r="D168" t="str">
        <f t="shared" si="64"/>
        <v>DE0</v>
      </c>
      <c r="E168" s="26">
        <f t="shared" si="65"/>
        <v>7134777.6495465925</v>
      </c>
      <c r="F168">
        <f t="shared" si="67"/>
        <v>3</v>
      </c>
      <c r="G168">
        <f t="shared" si="68"/>
        <v>2</v>
      </c>
      <c r="H168">
        <f t="shared" si="69"/>
        <v>1</v>
      </c>
      <c r="J168" s="200">
        <f t="shared" si="66"/>
        <v>8.5000000000000006E-2</v>
      </c>
      <c r="K168">
        <f t="shared" si="70"/>
        <v>7797571.201690265</v>
      </c>
      <c r="O168" t="s">
        <v>404</v>
      </c>
      <c r="P168" t="s">
        <v>17</v>
      </c>
      <c r="Q168" t="s">
        <v>55</v>
      </c>
      <c r="R168" s="1">
        <f t="shared" si="73"/>
        <v>2984.4095869118501</v>
      </c>
      <c r="S168" s="26">
        <f>INDEX(ALL_CAPACITY!$P$6:$X$68,MATCH($P168&amp;"."&amp;$Q168,ALL_CAPACITY!$Z$6:$Z$68,0),MATCH(S$80,ALL_CAPACITY!$P$5:$X$5,0))</f>
        <v>2984.4095869118501</v>
      </c>
      <c r="T168" s="26">
        <f>INDEX(ALL_CAPACITY!$P$6:$X$68,MATCH($P168&amp;"."&amp;$Q168,ALL_CAPACITY!$Z$6:$Z$68,0),MATCH(T$80,ALL_CAPACITY!$P$5:$X$5,0))</f>
        <v>3734.3996342659284</v>
      </c>
      <c r="U168" s="26">
        <f>INDEX(ALL_CAPACITY!$P$6:$X$68,MATCH($P168&amp;"."&amp;$Q168,ALL_CAPACITY!$Z$6:$Z$68,0),MATCH(U$80,ALL_CAPACITY!$P$5:$X$5,0))</f>
        <v>3805.945295235153</v>
      </c>
      <c r="V168" s="26">
        <f>INDEX(ALL_CAPACITY!$P$6:$X$68,MATCH($P168&amp;"."&amp;$Q168,ALL_CAPACITY!$Z$6:$Z$68,0),MATCH(V$80,ALL_CAPACITY!$P$5:$X$5,0))</f>
        <v>3762.1678645948364</v>
      </c>
      <c r="W168" s="26">
        <f>INDEX(ALL_CAPACITY!$P$6:$X$68,MATCH($P168&amp;"."&amp;$Q168,ALL_CAPACITY!$Z$6:$Z$68,0),MATCH(W$80,ALL_CAPACITY!$P$5:$X$5,0))</f>
        <v>3860.927558151986</v>
      </c>
      <c r="X168" s="26">
        <f>INDEX(ALL_CAPACITY!$P$6:$X$68,MATCH($P168&amp;"."&amp;$Q168,ALL_CAPACITY!$Z$6:$Z$68,0),MATCH(X$80,ALL_CAPACITY!$P$5:$X$5,0))</f>
        <v>4724.8927970343557</v>
      </c>
      <c r="Y168" s="26">
        <f>INDEX(ALL_CAPACITY!$P$6:$X$68,MATCH($P168&amp;"."&amp;$Q168,ALL_CAPACITY!$Z$6:$Z$68,0),MATCH(Y$80,ALL_CAPACITY!$P$5:$X$5,0))</f>
        <v>4733.2848507149974</v>
      </c>
      <c r="Z168" s="26">
        <f>INDEX(ALL_CAPACITY!$P$6:$X$68,MATCH($P168&amp;"."&amp;$Q168,ALL_CAPACITY!$Z$6:$Z$68,0),MATCH(Z$80,ALL_CAPACITY!$P$5:$X$5,0))</f>
        <v>4676.9421972070086</v>
      </c>
    </row>
    <row r="169" spans="2:26">
      <c r="B169">
        <f t="shared" si="62"/>
        <v>2030</v>
      </c>
      <c r="C169" t="str">
        <f t="shared" si="63"/>
        <v>HCO_LIN</v>
      </c>
      <c r="D169" t="str">
        <f t="shared" si="64"/>
        <v>DE0</v>
      </c>
      <c r="E169" s="26">
        <f t="shared" si="65"/>
        <v>6201306.7298614085</v>
      </c>
      <c r="F169">
        <f t="shared" si="67"/>
        <v>4</v>
      </c>
      <c r="G169">
        <f t="shared" si="68"/>
        <v>2</v>
      </c>
      <c r="H169">
        <f t="shared" si="69"/>
        <v>1</v>
      </c>
      <c r="J169" s="200">
        <f t="shared" si="66"/>
        <v>8.5000000000000006E-2</v>
      </c>
      <c r="K169">
        <f t="shared" si="70"/>
        <v>6777384.4042201182</v>
      </c>
      <c r="O169" t="s">
        <v>404</v>
      </c>
      <c r="P169" t="s">
        <v>17</v>
      </c>
      <c r="Q169" t="s">
        <v>441</v>
      </c>
      <c r="R169" s="1">
        <f t="shared" si="73"/>
        <v>0</v>
      </c>
      <c r="S169" s="26">
        <f>INDEX(ALL_CAPACITY!$P$6:$X$68,MATCH($P169&amp;"."&amp;$Q169,ALL_CAPACITY!$Z$6:$Z$68,0),MATCH(S$80,ALL_CAPACITY!$P$5:$X$5,0))</f>
        <v>0</v>
      </c>
      <c r="T169" s="26">
        <f>INDEX(ALL_CAPACITY!$P$6:$X$68,MATCH($P169&amp;"."&amp;$Q169,ALL_CAPACITY!$Z$6:$Z$68,0),MATCH(T$80,ALL_CAPACITY!$P$5:$X$5,0))</f>
        <v>0</v>
      </c>
      <c r="U169" s="26">
        <f>INDEX(ALL_CAPACITY!$P$6:$X$68,MATCH($P169&amp;"."&amp;$Q169,ALL_CAPACITY!$Z$6:$Z$68,0),MATCH(U$80,ALL_CAPACITY!$P$5:$X$5,0))</f>
        <v>0</v>
      </c>
      <c r="V169" s="26">
        <f>INDEX(ALL_CAPACITY!$P$6:$X$68,MATCH($P169&amp;"."&amp;$Q169,ALL_CAPACITY!$Z$6:$Z$68,0),MATCH(V$80,ALL_CAPACITY!$P$5:$X$5,0))</f>
        <v>0</v>
      </c>
      <c r="W169" s="26">
        <f>INDEX(ALL_CAPACITY!$P$6:$X$68,MATCH($P169&amp;"."&amp;$Q169,ALL_CAPACITY!$Z$6:$Z$68,0),MATCH(W$80,ALL_CAPACITY!$P$5:$X$5,0))</f>
        <v>0</v>
      </c>
      <c r="X169" s="26">
        <f>INDEX(ALL_CAPACITY!$P$6:$X$68,MATCH($P169&amp;"."&amp;$Q169,ALL_CAPACITY!$Z$6:$Z$68,0),MATCH(X$80,ALL_CAPACITY!$P$5:$X$5,0))</f>
        <v>9350.9504850730955</v>
      </c>
      <c r="Y169" s="26">
        <f>INDEX(ALL_CAPACITY!$P$6:$X$68,MATCH($P169&amp;"."&amp;$Q169,ALL_CAPACITY!$Z$6:$Z$68,0),MATCH(Y$80,ALL_CAPACITY!$P$5:$X$5,0))</f>
        <v>9219.3718435810006</v>
      </c>
      <c r="Z169" s="26">
        <f>INDEX(ALL_CAPACITY!$P$6:$X$68,MATCH($P169&amp;"."&amp;$Q169,ALL_CAPACITY!$Z$6:$Z$68,0),MATCH(Z$80,ALL_CAPACITY!$P$5:$X$5,0))</f>
        <v>9199.5035090357997</v>
      </c>
    </row>
    <row r="170" spans="2:26">
      <c r="B170">
        <f t="shared" si="62"/>
        <v>2035</v>
      </c>
      <c r="C170" t="str">
        <f t="shared" si="63"/>
        <v>HCO_LIN</v>
      </c>
      <c r="D170" t="str">
        <f t="shared" si="64"/>
        <v>DE0</v>
      </c>
      <c r="E170" s="26">
        <f t="shared" si="65"/>
        <v>4166932.4569131974</v>
      </c>
      <c r="F170">
        <f t="shared" si="67"/>
        <v>5</v>
      </c>
      <c r="G170">
        <f t="shared" si="68"/>
        <v>2</v>
      </c>
      <c r="H170">
        <f t="shared" si="69"/>
        <v>1</v>
      </c>
      <c r="J170" s="200">
        <f t="shared" si="66"/>
        <v>8.5000000000000006E-2</v>
      </c>
      <c r="K170">
        <f t="shared" si="70"/>
        <v>4554024.5430745324</v>
      </c>
    </row>
    <row r="171" spans="2:26">
      <c r="B171">
        <f t="shared" si="62"/>
        <v>2040</v>
      </c>
      <c r="C171" t="str">
        <f t="shared" si="63"/>
        <v>HCO_LIN</v>
      </c>
      <c r="D171" t="str">
        <f t="shared" si="64"/>
        <v>DE0</v>
      </c>
      <c r="E171" s="26">
        <f t="shared" si="65"/>
        <v>3759508.2967298329</v>
      </c>
      <c r="F171">
        <f t="shared" si="67"/>
        <v>6</v>
      </c>
      <c r="G171">
        <f t="shared" si="68"/>
        <v>2</v>
      </c>
      <c r="H171">
        <f t="shared" si="69"/>
        <v>1</v>
      </c>
      <c r="J171" s="200">
        <f t="shared" si="66"/>
        <v>8.5000000000000006E-2</v>
      </c>
      <c r="K171">
        <f t="shared" si="70"/>
        <v>4108752.2368632052</v>
      </c>
      <c r="O171" t="s">
        <v>416</v>
      </c>
      <c r="P171" t="s">
        <v>17</v>
      </c>
      <c r="Q171" t="s">
        <v>91</v>
      </c>
      <c r="R171" t="e">
        <f>R154/R163</f>
        <v>#DIV/0!</v>
      </c>
    </row>
    <row r="172" spans="2:26">
      <c r="B172">
        <f t="shared" si="62"/>
        <v>2045</v>
      </c>
      <c r="C172" t="str">
        <f t="shared" si="63"/>
        <v>HCO_LIN</v>
      </c>
      <c r="D172" t="str">
        <f t="shared" si="64"/>
        <v>DE0</v>
      </c>
      <c r="E172" s="26">
        <f t="shared" si="65"/>
        <v>3378261.6095959833</v>
      </c>
      <c r="F172">
        <f t="shared" si="67"/>
        <v>7</v>
      </c>
      <c r="G172">
        <f t="shared" si="68"/>
        <v>2</v>
      </c>
      <c r="H172">
        <f t="shared" si="69"/>
        <v>1</v>
      </c>
      <c r="J172" s="200">
        <f t="shared" si="66"/>
        <v>8.5000000000000006E-2</v>
      </c>
      <c r="K172">
        <f t="shared" si="70"/>
        <v>3692089.1908152821</v>
      </c>
      <c r="O172" t="s">
        <v>416</v>
      </c>
      <c r="P172" t="s">
        <v>17</v>
      </c>
      <c r="Q172" t="s">
        <v>70</v>
      </c>
      <c r="R172">
        <f>R155/R164</f>
        <v>14.091630077469482</v>
      </c>
    </row>
    <row r="173" spans="2:26">
      <c r="B173">
        <f t="shared" si="62"/>
        <v>2050</v>
      </c>
      <c r="C173" t="str">
        <f t="shared" si="63"/>
        <v>HCO_LIN</v>
      </c>
      <c r="D173" t="str">
        <f t="shared" si="64"/>
        <v>DE0</v>
      </c>
      <c r="E173" s="26">
        <f t="shared" si="65"/>
        <v>3378261.6095959833</v>
      </c>
      <c r="F173">
        <f t="shared" si="67"/>
        <v>8</v>
      </c>
      <c r="G173">
        <f t="shared" si="68"/>
        <v>2</v>
      </c>
      <c r="H173">
        <f t="shared" si="69"/>
        <v>1</v>
      </c>
      <c r="J173" s="200">
        <f t="shared" si="66"/>
        <v>8.5000000000000006E-2</v>
      </c>
      <c r="K173">
        <f t="shared" si="70"/>
        <v>3692089.1908152821</v>
      </c>
      <c r="O173" t="s">
        <v>416</v>
      </c>
      <c r="P173" t="s">
        <v>17</v>
      </c>
      <c r="Q173" t="s">
        <v>60</v>
      </c>
      <c r="R173">
        <f>R156/R165</f>
        <v>1659.6784211827983</v>
      </c>
    </row>
    <row r="174" spans="2:26">
      <c r="B174">
        <f t="shared" si="62"/>
        <v>2015</v>
      </c>
      <c r="C174" t="str">
        <f t="shared" si="63"/>
        <v>GAS_LIN</v>
      </c>
      <c r="D174" t="str">
        <f t="shared" si="64"/>
        <v>DE0</v>
      </c>
      <c r="E174" s="26">
        <f t="shared" si="65"/>
        <v>54623937.413507238</v>
      </c>
      <c r="F174">
        <f t="shared" si="67"/>
        <v>1</v>
      </c>
      <c r="G174">
        <f t="shared" si="68"/>
        <v>3</v>
      </c>
      <c r="H174">
        <f t="shared" si="69"/>
        <v>1</v>
      </c>
      <c r="J174" s="200">
        <f t="shared" si="66"/>
        <v>0.01</v>
      </c>
      <c r="K174">
        <f t="shared" si="70"/>
        <v>55175694.357078016</v>
      </c>
      <c r="O174" t="s">
        <v>416</v>
      </c>
      <c r="P174" t="s">
        <v>17</v>
      </c>
      <c r="Q174" t="s">
        <v>100</v>
      </c>
      <c r="R174">
        <f>R157/R166</f>
        <v>710.0909972169236</v>
      </c>
    </row>
    <row r="175" spans="2:26">
      <c r="B175">
        <f t="shared" si="62"/>
        <v>2020</v>
      </c>
      <c r="C175" t="str">
        <f t="shared" si="63"/>
        <v>GAS_LIN</v>
      </c>
      <c r="D175" t="str">
        <f t="shared" si="64"/>
        <v>DE0</v>
      </c>
      <c r="E175" s="26">
        <f t="shared" si="65"/>
        <v>47493698.958447933</v>
      </c>
      <c r="F175">
        <f t="shared" si="67"/>
        <v>2</v>
      </c>
      <c r="G175">
        <f t="shared" si="68"/>
        <v>3</v>
      </c>
      <c r="H175">
        <f t="shared" si="69"/>
        <v>1</v>
      </c>
      <c r="J175" s="200">
        <f t="shared" si="66"/>
        <v>0.01</v>
      </c>
      <c r="K175">
        <f t="shared" si="70"/>
        <v>47973433.291361548</v>
      </c>
      <c r="O175" t="s">
        <v>416</v>
      </c>
      <c r="P175" t="s">
        <v>17</v>
      </c>
      <c r="Q175" t="s">
        <v>110</v>
      </c>
      <c r="R175" s="146">
        <v>2000</v>
      </c>
    </row>
    <row r="176" spans="2:26">
      <c r="B176">
        <f t="shared" si="62"/>
        <v>2025</v>
      </c>
      <c r="C176" t="str">
        <f t="shared" si="63"/>
        <v>GAS_LIN</v>
      </c>
      <c r="D176" t="str">
        <f t="shared" si="64"/>
        <v>DE0</v>
      </c>
      <c r="E176" s="26">
        <f t="shared" si="65"/>
        <v>47493698.958447933</v>
      </c>
      <c r="F176">
        <f t="shared" si="67"/>
        <v>3</v>
      </c>
      <c r="G176">
        <f t="shared" si="68"/>
        <v>3</v>
      </c>
      <c r="H176">
        <f t="shared" si="69"/>
        <v>1</v>
      </c>
      <c r="J176" s="200">
        <f t="shared" si="66"/>
        <v>0.01</v>
      </c>
      <c r="K176">
        <f t="shared" si="70"/>
        <v>47973433.291361548</v>
      </c>
      <c r="O176" t="s">
        <v>416</v>
      </c>
      <c r="P176" t="s">
        <v>17</v>
      </c>
      <c r="Q176" t="s">
        <v>55</v>
      </c>
      <c r="R176">
        <f>R159/R168</f>
        <v>1567.9148132083158</v>
      </c>
    </row>
    <row r="177" spans="2:26">
      <c r="B177">
        <f t="shared" si="62"/>
        <v>2030</v>
      </c>
      <c r="C177" t="str">
        <f t="shared" si="63"/>
        <v>GAS_LIN</v>
      </c>
      <c r="D177" t="str">
        <f t="shared" si="64"/>
        <v>DE0</v>
      </c>
      <c r="E177" s="26">
        <f t="shared" si="65"/>
        <v>47493698.958447933</v>
      </c>
      <c r="F177">
        <f t="shared" si="67"/>
        <v>4</v>
      </c>
      <c r="G177">
        <f t="shared" si="68"/>
        <v>3</v>
      </c>
      <c r="H177">
        <f t="shared" si="69"/>
        <v>1</v>
      </c>
      <c r="J177" s="200">
        <f t="shared" si="66"/>
        <v>0.01</v>
      </c>
      <c r="K177">
        <f t="shared" si="70"/>
        <v>47973433.291361548</v>
      </c>
      <c r="O177" t="s">
        <v>416</v>
      </c>
      <c r="P177" t="s">
        <v>17</v>
      </c>
      <c r="Q177" t="s">
        <v>441</v>
      </c>
      <c r="R177" s="146">
        <f>R173</f>
        <v>1659.6784211827983</v>
      </c>
    </row>
    <row r="178" spans="2:26">
      <c r="B178">
        <f t="shared" si="62"/>
        <v>2035</v>
      </c>
      <c r="C178" t="str">
        <f t="shared" si="63"/>
        <v>GAS_LIN</v>
      </c>
      <c r="D178" t="str">
        <f t="shared" si="64"/>
        <v>DE0</v>
      </c>
      <c r="E178" s="26">
        <f t="shared" si="65"/>
        <v>47493698.958447933</v>
      </c>
      <c r="F178">
        <f t="shared" si="67"/>
        <v>5</v>
      </c>
      <c r="G178">
        <f t="shared" si="68"/>
        <v>3</v>
      </c>
      <c r="H178">
        <f t="shared" si="69"/>
        <v>1</v>
      </c>
      <c r="J178" s="200">
        <f t="shared" si="66"/>
        <v>0.01</v>
      </c>
      <c r="K178">
        <f t="shared" si="70"/>
        <v>47973433.291361548</v>
      </c>
    </row>
    <row r="179" spans="2:26">
      <c r="B179">
        <f t="shared" si="62"/>
        <v>2040</v>
      </c>
      <c r="C179" t="str">
        <f t="shared" si="63"/>
        <v>GAS_LIN</v>
      </c>
      <c r="D179" t="str">
        <f t="shared" si="64"/>
        <v>DE0</v>
      </c>
      <c r="E179" s="26">
        <f t="shared" si="65"/>
        <v>47493698.958447933</v>
      </c>
      <c r="F179">
        <f t="shared" si="67"/>
        <v>6</v>
      </c>
      <c r="G179">
        <f t="shared" si="68"/>
        <v>3</v>
      </c>
      <c r="H179">
        <f t="shared" si="69"/>
        <v>1</v>
      </c>
      <c r="J179" s="200">
        <f t="shared" si="66"/>
        <v>0.01</v>
      </c>
      <c r="K179">
        <f t="shared" si="70"/>
        <v>47973433.291361548</v>
      </c>
    </row>
    <row r="180" spans="2:26">
      <c r="B180">
        <f t="shared" si="62"/>
        <v>2045</v>
      </c>
      <c r="C180" t="str">
        <f t="shared" si="63"/>
        <v>GAS_LIN</v>
      </c>
      <c r="D180" t="str">
        <f t="shared" si="64"/>
        <v>DE0</v>
      </c>
      <c r="E180" s="26">
        <f t="shared" si="65"/>
        <v>47493698.958447933</v>
      </c>
      <c r="F180">
        <f t="shared" si="67"/>
        <v>7</v>
      </c>
      <c r="G180">
        <f t="shared" si="68"/>
        <v>3</v>
      </c>
      <c r="H180">
        <f t="shared" si="69"/>
        <v>1</v>
      </c>
      <c r="J180" s="200">
        <f t="shared" si="66"/>
        <v>0.01</v>
      </c>
      <c r="K180">
        <f t="shared" si="70"/>
        <v>47973433.291361548</v>
      </c>
    </row>
    <row r="181" spans="2:26">
      <c r="B181">
        <f t="shared" si="62"/>
        <v>2050</v>
      </c>
      <c r="C181" t="str">
        <f t="shared" si="63"/>
        <v>GAS_LIN</v>
      </c>
      <c r="D181" t="str">
        <f t="shared" si="64"/>
        <v>DE0</v>
      </c>
      <c r="E181" s="26">
        <f t="shared" si="65"/>
        <v>43442469.389737695</v>
      </c>
      <c r="F181">
        <f t="shared" si="67"/>
        <v>8</v>
      </c>
      <c r="G181">
        <f t="shared" si="68"/>
        <v>3</v>
      </c>
      <c r="H181">
        <f t="shared" si="69"/>
        <v>1</v>
      </c>
      <c r="J181" s="200">
        <f t="shared" si="66"/>
        <v>0.01</v>
      </c>
      <c r="K181">
        <f t="shared" si="70"/>
        <v>43881282.211856261</v>
      </c>
    </row>
    <row r="182" spans="2:26">
      <c r="B182">
        <f t="shared" si="62"/>
        <v>2015</v>
      </c>
      <c r="C182" t="str">
        <f t="shared" si="63"/>
        <v>OIL_LIN</v>
      </c>
      <c r="D182" t="str">
        <f t="shared" si="64"/>
        <v>DE0</v>
      </c>
      <c r="E182" s="26">
        <f t="shared" si="65"/>
        <v>2633553.1995638474</v>
      </c>
      <c r="F182">
        <f t="shared" si="67"/>
        <v>1</v>
      </c>
      <c r="G182">
        <f t="shared" si="68"/>
        <v>4</v>
      </c>
      <c r="H182">
        <f t="shared" si="69"/>
        <v>1</v>
      </c>
      <c r="J182" s="200">
        <f t="shared" si="66"/>
        <v>8.5000000000000006E-2</v>
      </c>
      <c r="K182">
        <f t="shared" si="70"/>
        <v>2878200.2181025655</v>
      </c>
    </row>
    <row r="183" spans="2:26">
      <c r="B183">
        <f t="shared" si="62"/>
        <v>2020</v>
      </c>
      <c r="C183" t="str">
        <f t="shared" si="63"/>
        <v>OIL_LIN</v>
      </c>
      <c r="D183" t="str">
        <f t="shared" si="64"/>
        <v>DE0</v>
      </c>
      <c r="E183" s="26">
        <f t="shared" si="65"/>
        <v>876650.49887687166</v>
      </c>
      <c r="F183">
        <f t="shared" si="67"/>
        <v>2</v>
      </c>
      <c r="G183">
        <f t="shared" si="68"/>
        <v>4</v>
      </c>
      <c r="H183">
        <f t="shared" si="69"/>
        <v>1</v>
      </c>
      <c r="J183" s="200">
        <f t="shared" si="66"/>
        <v>8.5000000000000006E-2</v>
      </c>
      <c r="K183">
        <f t="shared" si="70"/>
        <v>958087.97691461386</v>
      </c>
      <c r="N183" t="s">
        <v>422</v>
      </c>
      <c r="O183" s="49" t="s">
        <v>231</v>
      </c>
      <c r="P183" s="50">
        <v>59873.999980020002</v>
      </c>
      <c r="Q183" s="50">
        <v>64065.999980020002</v>
      </c>
      <c r="R183" s="50">
        <v>67933</v>
      </c>
      <c r="S183" s="50">
        <v>59617.646095812903</v>
      </c>
      <c r="T183" s="50">
        <v>71620.630572723094</v>
      </c>
      <c r="U183" s="50">
        <v>75843.922842815606</v>
      </c>
      <c r="V183" s="50">
        <v>79932.757305083607</v>
      </c>
      <c r="W183" s="50">
        <v>81673.692576675006</v>
      </c>
      <c r="X183" s="50">
        <v>85747.261273415803</v>
      </c>
      <c r="Y183" s="50">
        <v>89063.562333388894</v>
      </c>
      <c r="Z183" s="50">
        <v>90574.548171903603</v>
      </c>
    </row>
    <row r="184" spans="2:26">
      <c r="B184">
        <f t="shared" si="62"/>
        <v>2025</v>
      </c>
      <c r="C184" t="str">
        <f t="shared" si="63"/>
        <v>OIL_LIN</v>
      </c>
      <c r="D184" t="str">
        <f t="shared" si="64"/>
        <v>DE0</v>
      </c>
      <c r="E184" s="26">
        <f t="shared" si="65"/>
        <v>763693.79062972544</v>
      </c>
      <c r="F184">
        <f t="shared" si="67"/>
        <v>3</v>
      </c>
      <c r="G184">
        <f t="shared" si="68"/>
        <v>4</v>
      </c>
      <c r="H184">
        <f t="shared" si="69"/>
        <v>1</v>
      </c>
      <c r="J184" s="200">
        <f t="shared" si="66"/>
        <v>8.5000000000000006E-2</v>
      </c>
      <c r="K184">
        <f t="shared" si="70"/>
        <v>834638.02254614793</v>
      </c>
      <c r="O184" s="84" t="s">
        <v>262</v>
      </c>
      <c r="P184" s="78">
        <v>10.4</v>
      </c>
      <c r="Q184" s="78">
        <v>15.4238397491514</v>
      </c>
      <c r="R184" s="78">
        <v>15.4</v>
      </c>
      <c r="S184" s="78">
        <v>17.686539396817501</v>
      </c>
      <c r="T184" s="78">
        <v>22.508714754968</v>
      </c>
      <c r="U184" s="78">
        <v>19.173015469953501</v>
      </c>
      <c r="V184" s="78">
        <v>18.391417870429201</v>
      </c>
      <c r="W184" s="78">
        <v>21.609454982046799</v>
      </c>
      <c r="X184" s="78">
        <v>24.805977415352199</v>
      </c>
      <c r="Y184" s="78">
        <v>24.512103535098099</v>
      </c>
      <c r="Z184" s="78">
        <v>22.741935255044801</v>
      </c>
    </row>
    <row r="185" spans="2:26">
      <c r="B185">
        <f t="shared" si="62"/>
        <v>2030</v>
      </c>
      <c r="C185" t="str">
        <f t="shared" si="63"/>
        <v>OIL_LIN</v>
      </c>
      <c r="D185" t="str">
        <f t="shared" si="64"/>
        <v>DE0</v>
      </c>
      <c r="E185" s="26">
        <f t="shared" si="65"/>
        <v>653683.97564450628</v>
      </c>
      <c r="F185">
        <f t="shared" si="67"/>
        <v>4</v>
      </c>
      <c r="G185">
        <f t="shared" si="68"/>
        <v>4</v>
      </c>
      <c r="H185">
        <f t="shared" si="69"/>
        <v>1</v>
      </c>
      <c r="J185" s="200">
        <f t="shared" si="66"/>
        <v>8.5000000000000006E-2</v>
      </c>
      <c r="K185">
        <f t="shared" si="70"/>
        <v>714408.7165513729</v>
      </c>
      <c r="O185" t="s">
        <v>419</v>
      </c>
      <c r="P185" s="1">
        <f t="shared" ref="P185:Z185" si="74">P183*1000*P184/100</f>
        <v>6226895.9979220806</v>
      </c>
      <c r="Q185" s="1">
        <f t="shared" si="74"/>
        <v>9881437.170609653</v>
      </c>
      <c r="R185" s="1">
        <f t="shared" si="74"/>
        <v>10461682</v>
      </c>
      <c r="S185" s="1">
        <f t="shared" si="74"/>
        <v>10544298.46419118</v>
      </c>
      <c r="T185" s="1">
        <f t="shared" si="74"/>
        <v>16120883.441323645</v>
      </c>
      <c r="U185" s="1">
        <f t="shared" si="74"/>
        <v>14541567.059672635</v>
      </c>
      <c r="V185" s="1">
        <f t="shared" si="74"/>
        <v>14700767.41133395</v>
      </c>
      <c r="W185" s="1">
        <f t="shared" si="74"/>
        <v>17649239.829531886</v>
      </c>
      <c r="X185" s="1">
        <f t="shared" si="74"/>
        <v>21270446.265766565</v>
      </c>
      <c r="Y185" s="1">
        <f t="shared" si="74"/>
        <v>21831352.611206919</v>
      </c>
      <c r="Z185" s="1">
        <f t="shared" si="74"/>
        <v>20598405.102803685</v>
      </c>
    </row>
    <row r="186" spans="2:26">
      <c r="B186">
        <f t="shared" si="62"/>
        <v>2035</v>
      </c>
      <c r="C186" t="str">
        <f t="shared" si="63"/>
        <v>OIL_LIN</v>
      </c>
      <c r="D186" t="str">
        <f t="shared" si="64"/>
        <v>DE0</v>
      </c>
      <c r="E186" s="26">
        <f t="shared" si="65"/>
        <v>555671.56379199028</v>
      </c>
      <c r="F186">
        <f t="shared" si="67"/>
        <v>5</v>
      </c>
      <c r="G186">
        <f t="shared" si="68"/>
        <v>4</v>
      </c>
      <c r="H186">
        <f t="shared" si="69"/>
        <v>1</v>
      </c>
      <c r="J186" s="200">
        <f t="shared" si="66"/>
        <v>8.5000000000000006E-2</v>
      </c>
      <c r="K186">
        <f t="shared" si="70"/>
        <v>607291.32654862327</v>
      </c>
    </row>
    <row r="187" spans="2:26">
      <c r="B187">
        <f t="shared" si="62"/>
        <v>2040</v>
      </c>
      <c r="C187" t="str">
        <f t="shared" si="63"/>
        <v>OIL_LIN</v>
      </c>
      <c r="D187" t="str">
        <f t="shared" si="64"/>
        <v>DE0</v>
      </c>
      <c r="E187" s="26">
        <f t="shared" si="65"/>
        <v>451908.94562713633</v>
      </c>
      <c r="F187">
        <f t="shared" si="67"/>
        <v>6</v>
      </c>
      <c r="G187">
        <f t="shared" si="68"/>
        <v>4</v>
      </c>
      <c r="H187">
        <f t="shared" si="69"/>
        <v>1</v>
      </c>
      <c r="J187" s="200">
        <f t="shared" si="66"/>
        <v>8.5000000000000006E-2</v>
      </c>
      <c r="K187">
        <f t="shared" si="70"/>
        <v>493889.55806244403</v>
      </c>
    </row>
    <row r="188" spans="2:26">
      <c r="B188">
        <f t="shared" si="62"/>
        <v>2045</v>
      </c>
      <c r="C188" t="str">
        <f t="shared" si="63"/>
        <v>OIL_LIN</v>
      </c>
      <c r="D188" t="str">
        <f t="shared" si="64"/>
        <v>DE0</v>
      </c>
      <c r="E188" s="26">
        <f t="shared" si="65"/>
        <v>436470.83656010072</v>
      </c>
      <c r="F188">
        <f t="shared" si="67"/>
        <v>7</v>
      </c>
      <c r="G188">
        <f t="shared" si="68"/>
        <v>4</v>
      </c>
      <c r="H188">
        <f t="shared" si="69"/>
        <v>1</v>
      </c>
      <c r="J188" s="200">
        <f t="shared" si="66"/>
        <v>8.5000000000000006E-2</v>
      </c>
      <c r="K188">
        <f t="shared" si="70"/>
        <v>477017.30771595705</v>
      </c>
      <c r="O188" t="s">
        <v>417</v>
      </c>
      <c r="P188" t="s">
        <v>12</v>
      </c>
      <c r="Q188" t="s">
        <v>91</v>
      </c>
      <c r="R188" s="1">
        <f t="shared" ref="R188:R194" si="75">SUMIFS($AT$7:$AT$74,$AR$7:$AR$74,$P188,$AP$7:$AP$74,$Q188)</f>
        <v>0</v>
      </c>
      <c r="S188" s="32">
        <f t="shared" ref="S188:Z188" si="76">R188</f>
        <v>0</v>
      </c>
      <c r="T188" s="32">
        <f t="shared" si="76"/>
        <v>0</v>
      </c>
      <c r="U188" s="32">
        <f t="shared" si="76"/>
        <v>0</v>
      </c>
      <c r="V188" s="32">
        <f t="shared" si="76"/>
        <v>0</v>
      </c>
      <c r="W188" s="32">
        <f t="shared" si="76"/>
        <v>0</v>
      </c>
      <c r="X188" s="32">
        <f t="shared" si="76"/>
        <v>0</v>
      </c>
      <c r="Y188" s="32">
        <f t="shared" si="76"/>
        <v>0</v>
      </c>
      <c r="Z188" s="32">
        <f t="shared" si="76"/>
        <v>0</v>
      </c>
    </row>
    <row r="189" spans="2:26">
      <c r="B189">
        <f t="shared" si="62"/>
        <v>2050</v>
      </c>
      <c r="C189" t="str">
        <f t="shared" si="63"/>
        <v>OIL_LIN</v>
      </c>
      <c r="D189" t="str">
        <f t="shared" si="64"/>
        <v>DE0</v>
      </c>
      <c r="E189" s="26">
        <f t="shared" si="65"/>
        <v>353075.41241858434</v>
      </c>
      <c r="F189">
        <f t="shared" si="67"/>
        <v>8</v>
      </c>
      <c r="G189">
        <f t="shared" si="68"/>
        <v>4</v>
      </c>
      <c r="H189">
        <f t="shared" si="69"/>
        <v>1</v>
      </c>
      <c r="J189" s="200">
        <f t="shared" si="66"/>
        <v>8.5000000000000006E-2</v>
      </c>
      <c r="K189">
        <f t="shared" si="70"/>
        <v>385874.76767058397</v>
      </c>
      <c r="M189" t="str">
        <f>Q189&amp;"."&amp;P189</f>
        <v>HCO_LIN.AT0</v>
      </c>
      <c r="N189" t="s">
        <v>18</v>
      </c>
      <c r="O189" t="s">
        <v>417</v>
      </c>
      <c r="P189" t="s">
        <v>12</v>
      </c>
      <c r="Q189" t="s">
        <v>70</v>
      </c>
      <c r="R189" s="1">
        <f t="shared" si="75"/>
        <v>527062.47240580001</v>
      </c>
      <c r="S189" s="1">
        <f t="shared" ref="S189:Z194" si="77">S198*$R206</f>
        <v>418178.07367459236</v>
      </c>
      <c r="T189" s="1">
        <f t="shared" si="77"/>
        <v>385311.75210955588</v>
      </c>
      <c r="U189" s="1">
        <f t="shared" si="77"/>
        <v>372880.74412401405</v>
      </c>
      <c r="V189" s="1">
        <f t="shared" si="77"/>
        <v>372880.74412401405</v>
      </c>
      <c r="W189" s="1">
        <f t="shared" si="77"/>
        <v>38742.302526824358</v>
      </c>
      <c r="X189" s="1">
        <f t="shared" si="77"/>
        <v>34554.55160970919</v>
      </c>
      <c r="Y189" s="1">
        <f t="shared" si="77"/>
        <v>17439.395687586297</v>
      </c>
      <c r="Z189" s="1">
        <f t="shared" si="77"/>
        <v>17439.395687586297</v>
      </c>
    </row>
    <row r="190" spans="2:26">
      <c r="B190">
        <f t="shared" si="62"/>
        <v>2015</v>
      </c>
      <c r="C190" t="str">
        <f t="shared" si="63"/>
        <v>GAS_NEW</v>
      </c>
      <c r="D190" t="str">
        <f t="shared" si="64"/>
        <v>DE0</v>
      </c>
      <c r="E190" s="26">
        <f t="shared" si="65"/>
        <v>0</v>
      </c>
      <c r="F190">
        <f t="shared" si="67"/>
        <v>1</v>
      </c>
      <c r="G190">
        <f t="shared" si="68"/>
        <v>5</v>
      </c>
      <c r="H190">
        <f t="shared" si="69"/>
        <v>1</v>
      </c>
      <c r="J190" s="200">
        <f t="shared" si="66"/>
        <v>0.01</v>
      </c>
      <c r="K190">
        <f t="shared" si="70"/>
        <v>0</v>
      </c>
      <c r="M190" t="str">
        <f>Q190&amp;"."&amp;P190</f>
        <v>GAS_LIN.AT0</v>
      </c>
      <c r="N190" t="s">
        <v>21</v>
      </c>
      <c r="O190" t="s">
        <v>417</v>
      </c>
      <c r="P190" t="s">
        <v>12</v>
      </c>
      <c r="Q190" t="s">
        <v>60</v>
      </c>
      <c r="R190" s="1">
        <f t="shared" si="75"/>
        <v>4924840.9102881001</v>
      </c>
      <c r="S190" s="1">
        <f t="shared" si="77"/>
        <v>5020437.5772649189</v>
      </c>
      <c r="T190" s="1">
        <f t="shared" si="77"/>
        <v>4346506.0330852717</v>
      </c>
      <c r="U190" s="1">
        <f t="shared" si="77"/>
        <v>3936972.8717818744</v>
      </c>
      <c r="V190" s="1">
        <f t="shared" si="77"/>
        <v>3576731.2933340296</v>
      </c>
      <c r="W190" s="1">
        <f t="shared" si="77"/>
        <v>3838474.3923501894</v>
      </c>
      <c r="X190" s="1">
        <f t="shared" si="77"/>
        <v>3753125.1060810033</v>
      </c>
      <c r="Y190" s="1">
        <f t="shared" si="77"/>
        <v>3774460.0530546824</v>
      </c>
      <c r="Z190" s="1">
        <f t="shared" si="77"/>
        <v>3512753.7411350552</v>
      </c>
    </row>
    <row r="191" spans="2:26">
      <c r="B191">
        <f t="shared" si="62"/>
        <v>2020</v>
      </c>
      <c r="C191" t="str">
        <f t="shared" si="63"/>
        <v>GAS_NEW</v>
      </c>
      <c r="D191" t="str">
        <f t="shared" si="64"/>
        <v>DE0</v>
      </c>
      <c r="E191" s="26">
        <f t="shared" si="65"/>
        <v>0</v>
      </c>
      <c r="F191">
        <f t="shared" si="67"/>
        <v>2</v>
      </c>
      <c r="G191">
        <f t="shared" si="68"/>
        <v>5</v>
      </c>
      <c r="H191">
        <f t="shared" si="69"/>
        <v>1</v>
      </c>
      <c r="J191" s="200">
        <f t="shared" si="66"/>
        <v>0.01</v>
      </c>
      <c r="K191">
        <f t="shared" si="70"/>
        <v>0</v>
      </c>
      <c r="M191" t="str">
        <f>Q191&amp;"."&amp;P191</f>
        <v>OIL_LIN.AT0</v>
      </c>
      <c r="N191" t="s">
        <v>20</v>
      </c>
      <c r="O191" t="s">
        <v>417</v>
      </c>
      <c r="P191" t="s">
        <v>12</v>
      </c>
      <c r="Q191" t="s">
        <v>100</v>
      </c>
      <c r="R191" s="1">
        <f t="shared" si="75"/>
        <v>574399.18360372202</v>
      </c>
      <c r="S191" s="1">
        <f t="shared" si="77"/>
        <v>3204035.3548709964</v>
      </c>
      <c r="T191" s="1">
        <f t="shared" si="77"/>
        <v>2690486.1721372022</v>
      </c>
      <c r="U191" s="1">
        <f t="shared" si="77"/>
        <v>1594085.3331805388</v>
      </c>
      <c r="V191" s="1">
        <f t="shared" si="77"/>
        <v>1396245.1874291457</v>
      </c>
      <c r="W191" s="1">
        <f t="shared" si="77"/>
        <v>1270221.511374779</v>
      </c>
      <c r="X191" s="1">
        <f t="shared" si="77"/>
        <v>27854.068916627155</v>
      </c>
      <c r="Y191" s="1">
        <f t="shared" si="77"/>
        <v>10631.33661376889</v>
      </c>
      <c r="Z191" s="1">
        <f t="shared" si="77"/>
        <v>0</v>
      </c>
    </row>
    <row r="192" spans="2:26">
      <c r="B192">
        <f t="shared" si="62"/>
        <v>2025</v>
      </c>
      <c r="C192" t="str">
        <f t="shared" si="63"/>
        <v>GAS_NEW</v>
      </c>
      <c r="D192" t="str">
        <f t="shared" si="64"/>
        <v>DE0</v>
      </c>
      <c r="E192" s="26">
        <f t="shared" si="65"/>
        <v>2574890.1432049572</v>
      </c>
      <c r="F192">
        <f t="shared" si="67"/>
        <v>3</v>
      </c>
      <c r="G192">
        <f t="shared" si="68"/>
        <v>5</v>
      </c>
      <c r="H192">
        <f t="shared" si="69"/>
        <v>1</v>
      </c>
      <c r="J192" s="200">
        <f t="shared" si="66"/>
        <v>0.01</v>
      </c>
      <c r="K192">
        <f t="shared" si="70"/>
        <v>2600899.134550462</v>
      </c>
      <c r="O192" t="s">
        <v>417</v>
      </c>
      <c r="P192" t="s">
        <v>12</v>
      </c>
      <c r="Q192" t="s">
        <v>110</v>
      </c>
      <c r="R192" s="1">
        <f t="shared" si="75"/>
        <v>394006.34189319902</v>
      </c>
      <c r="S192" s="1">
        <f t="shared" si="77"/>
        <v>253220.37960291322</v>
      </c>
      <c r="T192" s="1">
        <f t="shared" si="77"/>
        <v>310887.04550549464</v>
      </c>
      <c r="U192" s="1">
        <f t="shared" si="77"/>
        <v>305652.26469490613</v>
      </c>
      <c r="V192" s="1">
        <f t="shared" si="77"/>
        <v>325162.45753444347</v>
      </c>
      <c r="W192" s="1">
        <f t="shared" si="77"/>
        <v>322410.84471181384</v>
      </c>
      <c r="X192" s="1">
        <f t="shared" si="77"/>
        <v>413016.22885947314</v>
      </c>
      <c r="Y192" s="1">
        <f t="shared" si="77"/>
        <v>396377.66641858919</v>
      </c>
      <c r="Z192" s="1">
        <f t="shared" si="77"/>
        <v>338259.74730248208</v>
      </c>
    </row>
    <row r="193" spans="2:26">
      <c r="B193">
        <f t="shared" si="62"/>
        <v>2030</v>
      </c>
      <c r="C193" t="str">
        <f t="shared" si="63"/>
        <v>GAS_NEW</v>
      </c>
      <c r="D193" t="str">
        <f t="shared" si="64"/>
        <v>DE0</v>
      </c>
      <c r="E193" s="26">
        <f t="shared" si="65"/>
        <v>11035862.615673466</v>
      </c>
      <c r="F193">
        <f t="shared" si="67"/>
        <v>4</v>
      </c>
      <c r="G193">
        <f t="shared" si="68"/>
        <v>5</v>
      </c>
      <c r="H193">
        <f t="shared" si="69"/>
        <v>1</v>
      </c>
      <c r="J193" s="200">
        <f t="shared" si="66"/>
        <v>0.01</v>
      </c>
      <c r="K193">
        <f t="shared" si="70"/>
        <v>11147335.975427743</v>
      </c>
      <c r="O193" t="s">
        <v>417</v>
      </c>
      <c r="P193" t="s">
        <v>12</v>
      </c>
      <c r="Q193" t="s">
        <v>55</v>
      </c>
      <c r="R193" s="1">
        <f t="shared" si="75"/>
        <v>2142873.3326516799</v>
      </c>
      <c r="S193" s="1">
        <f t="shared" si="77"/>
        <v>1377183.9207656786</v>
      </c>
      <c r="T193" s="1">
        <f t="shared" si="77"/>
        <v>1690814.3053727152</v>
      </c>
      <c r="U193" s="1">
        <f t="shared" si="77"/>
        <v>1662344.0220077648</v>
      </c>
      <c r="V193" s="1">
        <f t="shared" si="77"/>
        <v>1768453.6641771006</v>
      </c>
      <c r="W193" s="1">
        <f t="shared" si="77"/>
        <v>1753488.5300854426</v>
      </c>
      <c r="X193" s="1">
        <f t="shared" si="77"/>
        <v>2246261.9726441642</v>
      </c>
      <c r="Y193" s="1">
        <f t="shared" si="77"/>
        <v>2155770.2014282211</v>
      </c>
      <c r="Z193" s="1">
        <f t="shared" si="77"/>
        <v>1839685.5962294771</v>
      </c>
    </row>
    <row r="194" spans="2:26">
      <c r="B194">
        <f t="shared" si="62"/>
        <v>2035</v>
      </c>
      <c r="C194" t="str">
        <f t="shared" si="63"/>
        <v>GAS_NEW</v>
      </c>
      <c r="D194" t="str">
        <f t="shared" si="64"/>
        <v>DE0</v>
      </c>
      <c r="E194" s="26">
        <f t="shared" si="65"/>
        <v>37305248.770254046</v>
      </c>
      <c r="F194">
        <f t="shared" si="67"/>
        <v>5</v>
      </c>
      <c r="G194">
        <f t="shared" si="68"/>
        <v>5</v>
      </c>
      <c r="H194">
        <f t="shared" si="69"/>
        <v>1</v>
      </c>
      <c r="J194" s="200">
        <f t="shared" si="66"/>
        <v>0.01</v>
      </c>
      <c r="K194">
        <f t="shared" si="70"/>
        <v>37682069.464903079</v>
      </c>
      <c r="M194" t="str">
        <f>Q194&amp;"."&amp;P194</f>
        <v>GAS_NEW.AT0</v>
      </c>
      <c r="N194" t="s">
        <v>21</v>
      </c>
      <c r="O194" t="s">
        <v>417</v>
      </c>
      <c r="P194" t="s">
        <v>12</v>
      </c>
      <c r="Q194" t="s">
        <v>441</v>
      </c>
      <c r="R194" s="1">
        <f t="shared" si="75"/>
        <v>0</v>
      </c>
      <c r="S194" s="1">
        <f t="shared" si="77"/>
        <v>0</v>
      </c>
      <c r="T194" s="1">
        <f t="shared" si="77"/>
        <v>0</v>
      </c>
      <c r="U194" s="1">
        <f t="shared" si="77"/>
        <v>0</v>
      </c>
      <c r="V194" s="1">
        <f t="shared" si="77"/>
        <v>0</v>
      </c>
      <c r="W194" s="1">
        <f t="shared" si="77"/>
        <v>0</v>
      </c>
      <c r="X194" s="1">
        <f t="shared" si="77"/>
        <v>0</v>
      </c>
      <c r="Y194" s="1">
        <f t="shared" si="77"/>
        <v>0</v>
      </c>
      <c r="Z194" s="1">
        <f t="shared" si="77"/>
        <v>0</v>
      </c>
    </row>
    <row r="195" spans="2:26">
      <c r="B195">
        <f t="shared" si="62"/>
        <v>2040</v>
      </c>
      <c r="C195" t="str">
        <f t="shared" si="63"/>
        <v>GAS_NEW</v>
      </c>
      <c r="D195" t="str">
        <f t="shared" si="64"/>
        <v>DE0</v>
      </c>
      <c r="E195" s="26">
        <f t="shared" si="65"/>
        <v>43670035.002410769</v>
      </c>
      <c r="F195">
        <f t="shared" si="67"/>
        <v>6</v>
      </c>
      <c r="G195">
        <f t="shared" si="68"/>
        <v>5</v>
      </c>
      <c r="H195">
        <f t="shared" si="69"/>
        <v>1</v>
      </c>
      <c r="J195" s="200">
        <f t="shared" si="66"/>
        <v>0.01</v>
      </c>
      <c r="K195">
        <f t="shared" si="70"/>
        <v>44111146.467081584</v>
      </c>
      <c r="R195" s="1">
        <f t="shared" ref="R195:Z195" si="78">SUM(R188:R194)</f>
        <v>8563182.2408425007</v>
      </c>
      <c r="S195" s="1">
        <f t="shared" si="78"/>
        <v>10273055.306179099</v>
      </c>
      <c r="T195" s="1">
        <f t="shared" si="78"/>
        <v>9424005.3082102407</v>
      </c>
      <c r="U195" s="1">
        <f t="shared" si="78"/>
        <v>7871935.2357890978</v>
      </c>
      <c r="V195" s="1">
        <f t="shared" si="78"/>
        <v>7439473.3465987332</v>
      </c>
      <c r="W195" s="1">
        <f t="shared" si="78"/>
        <v>7223337.5810490493</v>
      </c>
      <c r="X195" s="1">
        <f t="shared" si="78"/>
        <v>6474811.9281109776</v>
      </c>
      <c r="Y195" s="1">
        <f t="shared" si="78"/>
        <v>6354678.6532028485</v>
      </c>
      <c r="Z195" s="1">
        <f t="shared" si="78"/>
        <v>5708138.4803546006</v>
      </c>
    </row>
    <row r="196" spans="2:26">
      <c r="B196">
        <f t="shared" si="62"/>
        <v>2045</v>
      </c>
      <c r="C196" t="str">
        <f t="shared" si="63"/>
        <v>GAS_NEW</v>
      </c>
      <c r="D196" t="str">
        <f t="shared" si="64"/>
        <v>DE0</v>
      </c>
      <c r="E196" s="26">
        <f t="shared" si="65"/>
        <v>46432510.394070193</v>
      </c>
      <c r="F196">
        <f t="shared" si="67"/>
        <v>7</v>
      </c>
      <c r="G196">
        <f t="shared" si="68"/>
        <v>5</v>
      </c>
      <c r="H196">
        <f t="shared" si="69"/>
        <v>1</v>
      </c>
      <c r="J196" s="200">
        <f t="shared" si="66"/>
        <v>0.01</v>
      </c>
      <c r="K196">
        <f t="shared" si="70"/>
        <v>46901525.650575951</v>
      </c>
      <c r="R196" s="145">
        <f t="shared" ref="R196:Z196" si="79">(R195-R185)/R185</f>
        <v>-0.18147175178499014</v>
      </c>
      <c r="S196" s="145">
        <f t="shared" si="79"/>
        <v>-2.5724154047159473E-2</v>
      </c>
      <c r="T196" s="145">
        <f t="shared" si="79"/>
        <v>-0.41541632364556946</v>
      </c>
      <c r="U196" s="145">
        <f t="shared" si="79"/>
        <v>-0.45865977143413089</v>
      </c>
      <c r="V196" s="145">
        <f t="shared" si="79"/>
        <v>-0.49393979658075049</v>
      </c>
      <c r="W196" s="145">
        <f t="shared" si="79"/>
        <v>-0.59072811912485435</v>
      </c>
      <c r="X196" s="145">
        <f t="shared" si="79"/>
        <v>-0.69559585881694563</v>
      </c>
      <c r="Y196" s="145">
        <f t="shared" si="79"/>
        <v>-0.70891960904242213</v>
      </c>
      <c r="Z196" s="145">
        <f t="shared" si="79"/>
        <v>-0.72288444411758579</v>
      </c>
    </row>
    <row r="197" spans="2:26">
      <c r="B197">
        <f t="shared" si="62"/>
        <v>2050</v>
      </c>
      <c r="C197" t="str">
        <f t="shared" si="63"/>
        <v>GAS_NEW</v>
      </c>
      <c r="D197" t="str">
        <f t="shared" si="64"/>
        <v>DE0</v>
      </c>
      <c r="E197" s="26">
        <f t="shared" si="65"/>
        <v>46432510.394070193</v>
      </c>
      <c r="F197">
        <f t="shared" si="67"/>
        <v>8</v>
      </c>
      <c r="G197">
        <f t="shared" si="68"/>
        <v>5</v>
      </c>
      <c r="H197">
        <f t="shared" si="69"/>
        <v>1</v>
      </c>
      <c r="J197" s="200">
        <f t="shared" si="66"/>
        <v>0.01</v>
      </c>
      <c r="K197">
        <f t="shared" si="70"/>
        <v>46901525.650575951</v>
      </c>
      <c r="O197" t="s">
        <v>404</v>
      </c>
      <c r="P197" t="s">
        <v>12</v>
      </c>
      <c r="Q197" t="s">
        <v>91</v>
      </c>
      <c r="R197" s="1">
        <f t="shared" ref="R197:R203" si="80">SUMIFS($AV$7:$AV$74,$AR$7:$AR$74,$P197,$AP$7:$AP$74,$Q197)</f>
        <v>0</v>
      </c>
      <c r="S197" s="26">
        <f>INDEX(ALL_CAPACITY!$P$6:$X$68,MATCH($P197&amp;"."&amp;$Q197,ALL_CAPACITY!$Z$6:$Z$68,0),MATCH(S$80,ALL_CAPACITY!$P$5:$X$5,0))</f>
        <v>0</v>
      </c>
      <c r="T197" s="26">
        <f>INDEX(ALL_CAPACITY!$P$6:$X$68,MATCH($P197&amp;"."&amp;$Q197,ALL_CAPACITY!$Z$6:$Z$68,0),MATCH(T$80,ALL_CAPACITY!$P$5:$X$5,0))</f>
        <v>0</v>
      </c>
      <c r="U197" s="26">
        <f>INDEX(ALL_CAPACITY!$P$6:$X$68,MATCH($P197&amp;"."&amp;$Q197,ALL_CAPACITY!$Z$6:$Z$68,0),MATCH(U$80,ALL_CAPACITY!$P$5:$X$5,0))</f>
        <v>0</v>
      </c>
      <c r="V197" s="26">
        <f>INDEX(ALL_CAPACITY!$P$6:$X$68,MATCH($P197&amp;"."&amp;$Q197,ALL_CAPACITY!$Z$6:$Z$68,0),MATCH(V$80,ALL_CAPACITY!$P$5:$X$5,0))</f>
        <v>0</v>
      </c>
      <c r="W197" s="26">
        <f>INDEX(ALL_CAPACITY!$P$6:$X$68,MATCH($P197&amp;"."&amp;$Q197,ALL_CAPACITY!$Z$6:$Z$68,0),MATCH(W$80,ALL_CAPACITY!$P$5:$X$5,0))</f>
        <v>0</v>
      </c>
      <c r="X197" s="26">
        <f>INDEX(ALL_CAPACITY!$P$6:$X$68,MATCH($P197&amp;"."&amp;$Q197,ALL_CAPACITY!$Z$6:$Z$68,0),MATCH(X$80,ALL_CAPACITY!$P$5:$X$5,0))</f>
        <v>0</v>
      </c>
      <c r="Y197" s="26">
        <f>INDEX(ALL_CAPACITY!$P$6:$X$68,MATCH($P197&amp;"."&amp;$Q197,ALL_CAPACITY!$Z$6:$Z$68,0),MATCH(Y$80,ALL_CAPACITY!$P$5:$X$5,0))</f>
        <v>0</v>
      </c>
      <c r="Z197" s="26">
        <f>INDEX(ALL_CAPACITY!$P$6:$X$68,MATCH($P197&amp;"."&amp;$Q197,ALL_CAPACITY!$Z$6:$Z$68,0),MATCH(Z$80,ALL_CAPACITY!$P$5:$X$5,0))</f>
        <v>0</v>
      </c>
    </row>
    <row r="198" spans="2:26">
      <c r="E198" s="26"/>
      <c r="O198" t="s">
        <v>404</v>
      </c>
      <c r="P198" t="s">
        <v>12</v>
      </c>
      <c r="Q198" t="s">
        <v>70</v>
      </c>
      <c r="R198" s="1">
        <f t="shared" si="80"/>
        <v>1100</v>
      </c>
      <c r="S198" s="26">
        <f>INDEX(ALL_CAPACITY!$P$6:$X$68,MATCH($P198&amp;"."&amp;$Q198,ALL_CAPACITY!$Z$6:$Z$68,0),MATCH(S$80,ALL_CAPACITY!$P$5:$X$5,0))</f>
        <v>872.75400000000002</v>
      </c>
      <c r="T198" s="26">
        <f>INDEX(ALL_CAPACITY!$P$6:$X$68,MATCH($P198&amp;"."&amp;$Q198,ALL_CAPACITY!$Z$6:$Z$68,0),MATCH(T$80,ALL_CAPACITY!$P$5:$X$5,0))</f>
        <v>804.16070107564599</v>
      </c>
      <c r="U198" s="26">
        <f>INDEX(ALL_CAPACITY!$P$6:$X$68,MATCH($P198&amp;"."&amp;$Q198,ALL_CAPACITY!$Z$6:$Z$68,0),MATCH(U$80,ALL_CAPACITY!$P$5:$X$5,0))</f>
        <v>778.21670107564603</v>
      </c>
      <c r="V198" s="26">
        <f>INDEX(ALL_CAPACITY!$P$6:$X$68,MATCH($P198&amp;"."&amp;$Q198,ALL_CAPACITY!$Z$6:$Z$68,0),MATCH(V$80,ALL_CAPACITY!$P$5:$X$5,0))</f>
        <v>778.21670107564603</v>
      </c>
      <c r="W198" s="26">
        <f>INDEX(ALL_CAPACITY!$P$6:$X$68,MATCH($P198&amp;"."&amp;$Q198,ALL_CAPACITY!$Z$6:$Z$68,0),MATCH(W$80,ALL_CAPACITY!$P$5:$X$5,0))</f>
        <v>80.8567010756462</v>
      </c>
      <c r="X198" s="26">
        <f>INDEX(ALL_CAPACITY!$P$6:$X$68,MATCH($P198&amp;"."&amp;$Q198,ALL_CAPACITY!$Z$6:$Z$68,0),MATCH(X$80,ALL_CAPACITY!$P$5:$X$5,0))</f>
        <v>72.116701075646205</v>
      </c>
      <c r="Y198" s="26">
        <f>INDEX(ALL_CAPACITY!$P$6:$X$68,MATCH($P198&amp;"."&amp;$Q198,ALL_CAPACITY!$Z$6:$Z$68,0),MATCH(Y$80,ALL_CAPACITY!$P$5:$X$5,0))</f>
        <v>36.396701075646199</v>
      </c>
      <c r="Z198" s="26">
        <f>INDEX(ALL_CAPACITY!$P$6:$X$68,MATCH($P198&amp;"."&amp;$Q198,ALL_CAPACITY!$Z$6:$Z$68,0),MATCH(Z$80,ALL_CAPACITY!$P$5:$X$5,0))</f>
        <v>36.396701075646199</v>
      </c>
    </row>
    <row r="199" spans="2:26">
      <c r="E199" s="26"/>
      <c r="O199" t="s">
        <v>404</v>
      </c>
      <c r="P199" t="s">
        <v>12</v>
      </c>
      <c r="Q199" t="s">
        <v>60</v>
      </c>
      <c r="R199" s="1">
        <f t="shared" si="80"/>
        <v>3996.3</v>
      </c>
      <c r="S199" s="26">
        <f>INDEX(ALL_CAPACITY!$P$6:$X$68,MATCH($P199&amp;"."&amp;$Q199,ALL_CAPACITY!$Z$6:$Z$68,0),MATCH(S$80,ALL_CAPACITY!$P$5:$X$5,0))</f>
        <v>4073.8726499999998</v>
      </c>
      <c r="T199" s="26">
        <f>INDEX(ALL_CAPACITY!$P$6:$X$68,MATCH($P199&amp;"."&amp;$Q199,ALL_CAPACITY!$Z$6:$Z$68,0),MATCH(T$80,ALL_CAPACITY!$P$5:$X$5,0))</f>
        <v>3527.0057198664999</v>
      </c>
      <c r="U199" s="26">
        <f>INDEX(ALL_CAPACITY!$P$6:$X$68,MATCH($P199&amp;"."&amp;$Q199,ALL_CAPACITY!$Z$6:$Z$68,0),MATCH(U$80,ALL_CAPACITY!$P$5:$X$5,0))</f>
        <v>3194.6868892017701</v>
      </c>
      <c r="V199" s="26">
        <f>INDEX(ALL_CAPACITY!$P$6:$X$68,MATCH($P199&amp;"."&amp;$Q199,ALL_CAPACITY!$Z$6:$Z$68,0),MATCH(V$80,ALL_CAPACITY!$P$5:$X$5,0))</f>
        <v>2902.3660922104</v>
      </c>
      <c r="W199" s="26">
        <f>INDEX(ALL_CAPACITY!$P$6:$X$68,MATCH($P199&amp;"."&amp;$Q199,ALL_CAPACITY!$Z$6:$Z$68,0),MATCH(W$80,ALL_CAPACITY!$P$5:$X$5,0))</f>
        <v>3114.7595411872298</v>
      </c>
      <c r="X199" s="26">
        <f>INDEX(ALL_CAPACITY!$P$6:$X$68,MATCH($P199&amp;"."&amp;$Q199,ALL_CAPACITY!$Z$6:$Z$68,0),MATCH(X$80,ALL_CAPACITY!$P$5:$X$5,0))</f>
        <v>3045.50220700512</v>
      </c>
      <c r="Y199" s="26">
        <f>INDEX(ALL_CAPACITY!$P$6:$X$68,MATCH($P199&amp;"."&amp;$Q199,ALL_CAPACITY!$Z$6:$Z$68,0),MATCH(Y$80,ALL_CAPACITY!$P$5:$X$5,0))</f>
        <v>3062.8146136684099</v>
      </c>
      <c r="Z199" s="26">
        <f>INDEX(ALL_CAPACITY!$P$6:$X$68,MATCH($P199&amp;"."&amp;$Q199,ALL_CAPACITY!$Z$6:$Z$68,0),MATCH(Z$80,ALL_CAPACITY!$P$5:$X$5,0))</f>
        <v>2850.4510158637399</v>
      </c>
    </row>
    <row r="200" spans="2:26">
      <c r="O200" t="s">
        <v>404</v>
      </c>
      <c r="P200" t="s">
        <v>12</v>
      </c>
      <c r="Q200" t="s">
        <v>100</v>
      </c>
      <c r="R200" s="1">
        <f t="shared" si="80"/>
        <v>174</v>
      </c>
      <c r="S200" s="26">
        <f>INDEX(ALL_CAPACITY!$P$6:$X$68,MATCH($P200&amp;"."&amp;$Q200,ALL_CAPACITY!$Z$6:$Z$68,0),MATCH(S$80,ALL_CAPACITY!$P$5:$X$5,0))</f>
        <v>970.58312000000001</v>
      </c>
      <c r="T200" s="26">
        <f>INDEX(ALL_CAPACITY!$P$6:$X$68,MATCH($P200&amp;"."&amp;$Q200,ALL_CAPACITY!$Z$6:$Z$68,0),MATCH(T$80,ALL_CAPACITY!$P$5:$X$5,0))</f>
        <v>815.01612</v>
      </c>
      <c r="U200" s="26">
        <f>INDEX(ALL_CAPACITY!$P$6:$X$68,MATCH($P200&amp;"."&amp;$Q200,ALL_CAPACITY!$Z$6:$Z$68,0),MATCH(U$80,ALL_CAPACITY!$P$5:$X$5,0))</f>
        <v>482.888652858483</v>
      </c>
      <c r="V200" s="26">
        <f>INDEX(ALL_CAPACITY!$P$6:$X$68,MATCH($P200&amp;"."&amp;$Q200,ALL_CAPACITY!$Z$6:$Z$68,0),MATCH(V$80,ALL_CAPACITY!$P$5:$X$5,0))</f>
        <v>422.957882858483</v>
      </c>
      <c r="W200" s="26">
        <f>INDEX(ALL_CAPACITY!$P$6:$X$68,MATCH($P200&amp;"."&amp;$Q200,ALL_CAPACITY!$Z$6:$Z$68,0),MATCH(W$80,ALL_CAPACITY!$P$5:$X$5,0))</f>
        <v>384.78213285848301</v>
      </c>
      <c r="X200" s="26">
        <f>INDEX(ALL_CAPACITY!$P$6:$X$68,MATCH($P200&amp;"."&amp;$Q200,ALL_CAPACITY!$Z$6:$Z$68,0),MATCH(X$80,ALL_CAPACITY!$P$5:$X$5,0))</f>
        <v>8.4376999999999995</v>
      </c>
      <c r="Y200" s="26">
        <f>INDEX(ALL_CAPACITY!$P$6:$X$68,MATCH($P200&amp;"."&amp;$Q200,ALL_CAPACITY!$Z$6:$Z$68,0),MATCH(Y$80,ALL_CAPACITY!$P$5:$X$5,0))</f>
        <v>3.2204999999999999</v>
      </c>
      <c r="Z200" s="26">
        <f>INDEX(ALL_CAPACITY!$P$6:$X$68,MATCH($P200&amp;"."&amp;$Q200,ALL_CAPACITY!$Z$6:$Z$68,0),MATCH(Z$80,ALL_CAPACITY!$P$5:$X$5,0))</f>
        <v>0</v>
      </c>
    </row>
    <row r="201" spans="2:26">
      <c r="O201" t="s">
        <v>404</v>
      </c>
      <c r="P201" t="s">
        <v>12</v>
      </c>
      <c r="Q201" t="s">
        <v>110</v>
      </c>
      <c r="R201" s="1">
        <f t="shared" si="80"/>
        <v>368.98248725878699</v>
      </c>
      <c r="S201" s="26">
        <f>INDEX(ALL_CAPACITY!$P$6:$X$68,MATCH($P201&amp;"."&amp;$Q201,ALL_CAPACITY!$Z$6:$Z$68,0),MATCH(S$80,ALL_CAPACITY!$P$5:$X$5,0))</f>
        <v>237.13802433115077</v>
      </c>
      <c r="T201" s="26">
        <f>INDEX(ALL_CAPACITY!$P$6:$X$68,MATCH($P201&amp;"."&amp;$Q201,ALL_CAPACITY!$Z$6:$Z$68,0),MATCH(T$80,ALL_CAPACITY!$P$5:$X$5,0))</f>
        <v>291.1422053664491</v>
      </c>
      <c r="U201" s="26">
        <f>INDEX(ALL_CAPACITY!$P$6:$X$68,MATCH($P201&amp;"."&amp;$Q201,ALL_CAPACITY!$Z$6:$Z$68,0),MATCH(U$80,ALL_CAPACITY!$P$5:$X$5,0))</f>
        <v>286.23989228573964</v>
      </c>
      <c r="V201" s="26">
        <f>INDEX(ALL_CAPACITY!$P$6:$X$68,MATCH($P201&amp;"."&amp;$Q201,ALL_CAPACITY!$Z$6:$Z$68,0),MATCH(V$80,ALL_CAPACITY!$P$5:$X$5,0))</f>
        <v>304.51096743199309</v>
      </c>
      <c r="W201" s="26">
        <f>INDEX(ALL_CAPACITY!$P$6:$X$68,MATCH($P201&amp;"."&amp;$Q201,ALL_CAPACITY!$Z$6:$Z$68,0),MATCH(W$80,ALL_CAPACITY!$P$5:$X$5,0))</f>
        <v>301.93411311439871</v>
      </c>
      <c r="X201" s="26">
        <f>INDEX(ALL_CAPACITY!$P$6:$X$68,MATCH($P201&amp;"."&amp;$Q201,ALL_CAPACITY!$Z$6:$Z$68,0),MATCH(X$80,ALL_CAPACITY!$P$5:$X$5,0))</f>
        <v>386.7850316077446</v>
      </c>
      <c r="Y201" s="26">
        <f>INDEX(ALL_CAPACITY!$P$6:$X$68,MATCH($P201&amp;"."&amp;$Q201,ALL_CAPACITY!$Z$6:$Z$68,0),MATCH(Y$80,ALL_CAPACITY!$P$5:$X$5,0))</f>
        <v>371.20320588293902</v>
      </c>
      <c r="Z201" s="26">
        <f>INDEX(ALL_CAPACITY!$P$6:$X$68,MATCH($P201&amp;"."&amp;$Q201,ALL_CAPACITY!$Z$6:$Z$68,0),MATCH(Z$80,ALL_CAPACITY!$P$5:$X$5,0))</f>
        <v>316.77643131193724</v>
      </c>
    </row>
    <row r="202" spans="2:26">
      <c r="O202" t="s">
        <v>404</v>
      </c>
      <c r="P202" t="s">
        <v>12</v>
      </c>
      <c r="Q202" t="s">
        <v>55</v>
      </c>
      <c r="R202" s="1">
        <f t="shared" si="80"/>
        <v>616.39374999999995</v>
      </c>
      <c r="S202" s="26">
        <f>INDEX(ALL_CAPACITY!$P$6:$X$68,MATCH($P202&amp;"."&amp;$Q202,ALL_CAPACITY!$Z$6:$Z$68,0),MATCH(S$80,ALL_CAPACITY!$P$5:$X$5,0))</f>
        <v>396.1445356688493</v>
      </c>
      <c r="T202" s="26">
        <f>INDEX(ALL_CAPACITY!$P$6:$X$68,MATCH($P202&amp;"."&amp;$Q202,ALL_CAPACITY!$Z$6:$Z$68,0),MATCH(T$80,ALL_CAPACITY!$P$5:$X$5,0))</f>
        <v>486.35976488291192</v>
      </c>
      <c r="U202" s="26">
        <f>INDEX(ALL_CAPACITY!$P$6:$X$68,MATCH($P202&amp;"."&amp;$Q202,ALL_CAPACITY!$Z$6:$Z$68,0),MATCH(U$80,ALL_CAPACITY!$P$5:$X$5,0))</f>
        <v>478.17033788343144</v>
      </c>
      <c r="V202" s="26">
        <f>INDEX(ALL_CAPACITY!$P$6:$X$68,MATCH($P202&amp;"."&amp;$Q202,ALL_CAPACITY!$Z$6:$Z$68,0),MATCH(V$80,ALL_CAPACITY!$P$5:$X$5,0))</f>
        <v>508.69259006292907</v>
      </c>
      <c r="W202" s="26">
        <f>INDEX(ALL_CAPACITY!$P$6:$X$68,MATCH($P202&amp;"."&amp;$Q202,ALL_CAPACITY!$Z$6:$Z$68,0),MATCH(W$80,ALL_CAPACITY!$P$5:$X$5,0))</f>
        <v>504.38789552898044</v>
      </c>
      <c r="X202" s="26">
        <f>INDEX(ALL_CAPACITY!$P$6:$X$68,MATCH($P202&amp;"."&amp;$Q202,ALL_CAPACITY!$Z$6:$Z$68,0),MATCH(X$80,ALL_CAPACITY!$P$5:$X$5,0))</f>
        <v>646.13331068299544</v>
      </c>
      <c r="Y202" s="26">
        <f>INDEX(ALL_CAPACITY!$P$6:$X$68,MATCH($P202&amp;"."&amp;$Q202,ALL_CAPACITY!$Z$6:$Z$68,0),MATCH(Y$80,ALL_CAPACITY!$P$5:$X$5,0))</f>
        <v>620.1035116491372</v>
      </c>
      <c r="Z202" s="26">
        <f>INDEX(ALL_CAPACITY!$P$6:$X$68,MATCH($P202&amp;"."&amp;$Q202,ALL_CAPACITY!$Z$6:$Z$68,0),MATCH(Z$80,ALL_CAPACITY!$P$5:$X$5,0))</f>
        <v>529.18233019291483</v>
      </c>
    </row>
    <row r="203" spans="2:26">
      <c r="O203" t="s">
        <v>404</v>
      </c>
      <c r="P203" t="s">
        <v>12</v>
      </c>
      <c r="Q203" t="s">
        <v>441</v>
      </c>
      <c r="R203" s="1">
        <f t="shared" si="80"/>
        <v>0</v>
      </c>
      <c r="S203" s="26">
        <f>INDEX(ALL_CAPACITY!$P$6:$X$68,MATCH($P203&amp;"."&amp;$Q203,ALL_CAPACITY!$Z$6:$Z$68,0),MATCH(S$80,ALL_CAPACITY!$P$5:$X$5,0))</f>
        <v>0</v>
      </c>
      <c r="T203" s="26">
        <f>INDEX(ALL_CAPACITY!$P$6:$X$68,MATCH($P203&amp;"."&amp;$Q203,ALL_CAPACITY!$Z$6:$Z$68,0),MATCH(T$80,ALL_CAPACITY!$P$5:$X$5,0))</f>
        <v>0</v>
      </c>
      <c r="U203" s="26">
        <f>INDEX(ALL_CAPACITY!$P$6:$X$68,MATCH($P203&amp;"."&amp;$Q203,ALL_CAPACITY!$Z$6:$Z$68,0),MATCH(U$80,ALL_CAPACITY!$P$5:$X$5,0))</f>
        <v>0</v>
      </c>
      <c r="V203" s="26">
        <f>INDEX(ALL_CAPACITY!$P$6:$X$68,MATCH($P203&amp;"."&amp;$Q203,ALL_CAPACITY!$Z$6:$Z$68,0),MATCH(V$80,ALL_CAPACITY!$P$5:$X$5,0))</f>
        <v>0</v>
      </c>
      <c r="W203" s="26">
        <f>INDEX(ALL_CAPACITY!$P$6:$X$68,MATCH($P203&amp;"."&amp;$Q203,ALL_CAPACITY!$Z$6:$Z$68,0),MATCH(W$80,ALL_CAPACITY!$P$5:$X$5,0))</f>
        <v>0</v>
      </c>
      <c r="X203" s="26">
        <f>INDEX(ALL_CAPACITY!$P$6:$X$68,MATCH($P203&amp;"."&amp;$Q203,ALL_CAPACITY!$Z$6:$Z$68,0),MATCH(X$80,ALL_CAPACITY!$P$5:$X$5,0))</f>
        <v>0</v>
      </c>
      <c r="Y203" s="26">
        <f>INDEX(ALL_CAPACITY!$P$6:$X$68,MATCH($P203&amp;"."&amp;$Q203,ALL_CAPACITY!$Z$6:$Z$68,0),MATCH(Y$80,ALL_CAPACITY!$P$5:$X$5,0))</f>
        <v>0</v>
      </c>
      <c r="Z203" s="26">
        <f>INDEX(ALL_CAPACITY!$P$6:$X$68,MATCH($P203&amp;"."&amp;$Q203,ALL_CAPACITY!$Z$6:$Z$68,0),MATCH(Z$80,ALL_CAPACITY!$P$5:$X$5,0))</f>
        <v>0</v>
      </c>
    </row>
    <row r="205" spans="2:26">
      <c r="O205" t="s">
        <v>416</v>
      </c>
      <c r="P205" t="s">
        <v>12</v>
      </c>
      <c r="Q205" t="s">
        <v>91</v>
      </c>
      <c r="R205" t="e">
        <f t="shared" ref="R205:R210" si="81">R188/R197</f>
        <v>#DIV/0!</v>
      </c>
    </row>
    <row r="206" spans="2:26">
      <c r="O206" t="s">
        <v>416</v>
      </c>
      <c r="P206" t="s">
        <v>12</v>
      </c>
      <c r="Q206" t="s">
        <v>70</v>
      </c>
      <c r="R206">
        <f t="shared" si="81"/>
        <v>479.14770218709094</v>
      </c>
    </row>
    <row r="207" spans="2:26">
      <c r="O207" t="s">
        <v>416</v>
      </c>
      <c r="P207" t="s">
        <v>12</v>
      </c>
      <c r="Q207" t="s">
        <v>60</v>
      </c>
      <c r="R207">
        <f t="shared" si="81"/>
        <v>1232.3501514621275</v>
      </c>
    </row>
    <row r="208" spans="2:26">
      <c r="O208" t="s">
        <v>416</v>
      </c>
      <c r="P208" t="s">
        <v>12</v>
      </c>
      <c r="Q208" t="s">
        <v>100</v>
      </c>
      <c r="R208">
        <f t="shared" si="81"/>
        <v>3301.1447333547244</v>
      </c>
    </row>
    <row r="209" spans="15:18">
      <c r="O209" t="s">
        <v>416</v>
      </c>
      <c r="P209" t="s">
        <v>12</v>
      </c>
      <c r="Q209" t="s">
        <v>110</v>
      </c>
      <c r="R209">
        <f t="shared" si="81"/>
        <v>1067.8185428807667</v>
      </c>
    </row>
    <row r="210" spans="15:18">
      <c r="O210" t="s">
        <v>416</v>
      </c>
      <c r="P210" t="s">
        <v>12</v>
      </c>
      <c r="Q210" t="s">
        <v>55</v>
      </c>
      <c r="R210">
        <f t="shared" si="81"/>
        <v>3476.4683007439321</v>
      </c>
    </row>
    <row r="211" spans="15:18">
      <c r="O211" t="s">
        <v>416</v>
      </c>
      <c r="P211" t="s">
        <v>12</v>
      </c>
      <c r="Q211" t="s">
        <v>441</v>
      </c>
      <c r="R211" s="146">
        <f>R207</f>
        <v>1232.3501514621275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2"/>
  <sheetViews>
    <sheetView zoomScale="85" zoomScaleNormal="85" workbookViewId="0">
      <selection activeCell="M56" sqref="M56"/>
    </sheetView>
  </sheetViews>
  <sheetFormatPr defaultRowHeight="14.25"/>
  <cols>
    <col min="1" max="4" width="10.625" customWidth="1"/>
    <col min="5" max="5" width="15.625" customWidth="1"/>
    <col min="6" max="7" width="10.625" customWidth="1"/>
    <col min="8" max="8" width="15.625" customWidth="1"/>
    <col min="9" max="10" width="10.625" customWidth="1"/>
    <col min="11" max="11" width="15.625" customWidth="1"/>
    <col min="12" max="28" width="10.625" customWidth="1"/>
  </cols>
  <sheetData>
    <row r="1" spans="1:28">
      <c r="E1">
        <f>COUNTA(E2:E9)</f>
        <v>8</v>
      </c>
      <c r="F1">
        <f>COUNTA(F2:F9)</f>
        <v>8</v>
      </c>
      <c r="G1">
        <f>COUNTA(G2:G9)</f>
        <v>5</v>
      </c>
      <c r="H1">
        <f>PRODUCT(E1:G1)</f>
        <v>320</v>
      </c>
    </row>
    <row r="2" spans="1:28">
      <c r="E2">
        <v>2015</v>
      </c>
      <c r="F2" t="s">
        <v>18</v>
      </c>
      <c r="G2" t="s">
        <v>14</v>
      </c>
    </row>
    <row r="3" spans="1:28">
      <c r="E3">
        <v>2020</v>
      </c>
      <c r="F3" t="s">
        <v>20</v>
      </c>
      <c r="G3" t="s">
        <v>15</v>
      </c>
    </row>
    <row r="4" spans="1:28">
      <c r="E4">
        <v>2025</v>
      </c>
      <c r="F4" t="s">
        <v>21</v>
      </c>
      <c r="G4" t="s">
        <v>16</v>
      </c>
    </row>
    <row r="5" spans="1:28">
      <c r="E5">
        <v>2030</v>
      </c>
      <c r="F5" t="s">
        <v>19</v>
      </c>
      <c r="G5" t="s">
        <v>17</v>
      </c>
    </row>
    <row r="6" spans="1:28">
      <c r="E6">
        <v>2035</v>
      </c>
      <c r="F6" t="s">
        <v>22</v>
      </c>
      <c r="G6" t="s">
        <v>12</v>
      </c>
    </row>
    <row r="7" spans="1:28">
      <c r="E7">
        <v>2040</v>
      </c>
      <c r="F7" t="s">
        <v>24</v>
      </c>
    </row>
    <row r="8" spans="1:28">
      <c r="E8">
        <v>2045</v>
      </c>
      <c r="F8" t="s">
        <v>11</v>
      </c>
    </row>
    <row r="9" spans="1:28">
      <c r="E9">
        <v>2050</v>
      </c>
      <c r="F9" t="s">
        <v>444</v>
      </c>
    </row>
    <row r="10" spans="1:28">
      <c r="A10" t="s">
        <v>130</v>
      </c>
      <c r="B10" t="s">
        <v>33</v>
      </c>
      <c r="C10" t="s">
        <v>32</v>
      </c>
      <c r="D10" t="s">
        <v>9</v>
      </c>
    </row>
    <row r="11" spans="1:28" ht="15">
      <c r="A11">
        <f t="shared" ref="A11:A74" si="0">INDEX(E$2:E$9,E11)</f>
        <v>2015</v>
      </c>
      <c r="B11" t="str">
        <f t="shared" ref="B11:B74" si="1">INDEX(F$2:F$9,F11)</f>
        <v>hard_coal</v>
      </c>
      <c r="C11" t="str">
        <f t="shared" ref="C11:C74" si="2">INDEX(G$2:G$9,G11)</f>
        <v>CH0</v>
      </c>
      <c r="D11" s="90">
        <f>INDEX($L$43:$S$82,MATCH(C11&amp;"-"&amp;B11,$K$43:$K$82,0),MATCH(A11,$L$42:$S$42,0))</f>
        <v>0</v>
      </c>
      <c r="E11">
        <v>1</v>
      </c>
      <c r="F11">
        <v>1</v>
      </c>
      <c r="G11">
        <v>1</v>
      </c>
      <c r="K11" s="126" t="s">
        <v>423</v>
      </c>
    </row>
    <row r="12" spans="1:28">
      <c r="A12">
        <f t="shared" si="0"/>
        <v>2020</v>
      </c>
      <c r="B12" t="str">
        <f t="shared" si="1"/>
        <v>hard_coal</v>
      </c>
      <c r="C12" t="str">
        <f t="shared" si="2"/>
        <v>CH0</v>
      </c>
      <c r="D12" s="90">
        <f t="shared" ref="D12:D75" si="3">INDEX($L$43:$S$82,MATCH(C12&amp;"-"&amp;B12,$K$43:$K$82,0),MATCH(A12,$L$42:$S$42,0))</f>
        <v>16.551073991832286</v>
      </c>
      <c r="E12">
        <f t="shared" ref="E12:E75" si="4">IF(E11=$E$1,1,E11+1)</f>
        <v>2</v>
      </c>
      <c r="F12">
        <f t="shared" ref="F12:F75" si="5">IF(E12=1,IF(F11=$F$1,1,F11+1),F11)</f>
        <v>1</v>
      </c>
      <c r="G12">
        <f t="shared" ref="G12:G75" si="6">IF(AND(F12=1,F11&gt;1),IF(G11=$G$1,1,G11+1),G11)</f>
        <v>1</v>
      </c>
      <c r="L12">
        <v>2015</v>
      </c>
      <c r="M12">
        <v>2020</v>
      </c>
      <c r="N12">
        <v>2025</v>
      </c>
      <c r="O12">
        <v>2030</v>
      </c>
      <c r="P12">
        <v>2035</v>
      </c>
      <c r="Q12">
        <v>2040</v>
      </c>
      <c r="R12">
        <v>2045</v>
      </c>
      <c r="S12">
        <v>2050</v>
      </c>
      <c r="U12">
        <v>2015</v>
      </c>
      <c r="V12">
        <v>2020</v>
      </c>
      <c r="W12">
        <v>2025</v>
      </c>
      <c r="X12">
        <v>2030</v>
      </c>
      <c r="Y12">
        <v>2035</v>
      </c>
      <c r="Z12">
        <v>2040</v>
      </c>
      <c r="AA12">
        <v>2045</v>
      </c>
      <c r="AB12">
        <v>2050</v>
      </c>
    </row>
    <row r="13" spans="1:28">
      <c r="A13">
        <f t="shared" si="0"/>
        <v>2025</v>
      </c>
      <c r="B13" t="str">
        <f t="shared" si="1"/>
        <v>hard_coal</v>
      </c>
      <c r="C13" t="str">
        <f t="shared" si="2"/>
        <v>CH0</v>
      </c>
      <c r="D13" s="90">
        <f t="shared" si="3"/>
        <v>20.489252716740868</v>
      </c>
      <c r="E13">
        <f t="shared" si="4"/>
        <v>3</v>
      </c>
      <c r="F13">
        <f t="shared" si="5"/>
        <v>1</v>
      </c>
      <c r="G13">
        <f t="shared" si="6"/>
        <v>1</v>
      </c>
      <c r="K13" t="s">
        <v>18</v>
      </c>
      <c r="L13">
        <f t="shared" ref="L13:S15" si="7">($U$18-$U$17)/($V$18-$V$17)*(U13-$V$17)</f>
        <v>12.799670050854886</v>
      </c>
      <c r="M13">
        <f t="shared" si="7"/>
        <v>16.551073991832286</v>
      </c>
      <c r="N13">
        <f t="shared" si="7"/>
        <v>20.489252716740868</v>
      </c>
      <c r="O13">
        <f t="shared" si="7"/>
        <v>24.521702625968029</v>
      </c>
      <c r="P13">
        <f t="shared" si="7"/>
        <v>26.021792846437396</v>
      </c>
      <c r="Q13">
        <f t="shared" si="7"/>
        <v>27.053473119823831</v>
      </c>
      <c r="R13">
        <f t="shared" si="7"/>
        <v>28.084564198308275</v>
      </c>
      <c r="S13">
        <f t="shared" si="7"/>
        <v>28.83519850344495</v>
      </c>
      <c r="U13">
        <v>664031</v>
      </c>
      <c r="V13">
        <v>670398</v>
      </c>
      <c r="W13">
        <v>677082</v>
      </c>
      <c r="X13">
        <v>683926</v>
      </c>
      <c r="Y13">
        <v>686472</v>
      </c>
      <c r="Z13">
        <v>688223</v>
      </c>
      <c r="AA13">
        <v>689973</v>
      </c>
      <c r="AB13">
        <v>691247</v>
      </c>
    </row>
    <row r="14" spans="1:28">
      <c r="A14">
        <f t="shared" si="0"/>
        <v>2030</v>
      </c>
      <c r="B14" t="str">
        <f t="shared" si="1"/>
        <v>hard_coal</v>
      </c>
      <c r="C14" t="str">
        <f t="shared" si="2"/>
        <v>CH0</v>
      </c>
      <c r="D14" s="90">
        <f t="shared" si="3"/>
        <v>24.521702625968029</v>
      </c>
      <c r="E14">
        <f t="shared" si="4"/>
        <v>4</v>
      </c>
      <c r="F14">
        <f t="shared" si="5"/>
        <v>1</v>
      </c>
      <c r="G14">
        <f t="shared" si="6"/>
        <v>1</v>
      </c>
      <c r="K14" t="s">
        <v>21</v>
      </c>
      <c r="L14">
        <f t="shared" si="7"/>
        <v>43.74477549833</v>
      </c>
      <c r="M14">
        <f t="shared" si="7"/>
        <v>56.30817839348645</v>
      </c>
      <c r="N14">
        <f t="shared" si="7"/>
        <v>63.059762775402582</v>
      </c>
      <c r="O14">
        <f t="shared" si="7"/>
        <v>68.592302905099118</v>
      </c>
      <c r="P14">
        <f t="shared" si="7"/>
        <v>73.281115935144371</v>
      </c>
      <c r="Q14">
        <f t="shared" si="7"/>
        <v>75.719204439583592</v>
      </c>
      <c r="R14">
        <f t="shared" si="7"/>
        <v>77.312976649469533</v>
      </c>
      <c r="S14">
        <f t="shared" si="7"/>
        <v>78.438338912272556</v>
      </c>
      <c r="U14">
        <v>716552</v>
      </c>
      <c r="V14">
        <v>737875</v>
      </c>
      <c r="W14">
        <v>749334</v>
      </c>
      <c r="X14">
        <v>758724</v>
      </c>
      <c r="Y14">
        <v>766682</v>
      </c>
      <c r="Z14">
        <v>770820</v>
      </c>
      <c r="AA14">
        <v>773525</v>
      </c>
      <c r="AB14">
        <v>775435</v>
      </c>
    </row>
    <row r="15" spans="1:28">
      <c r="A15">
        <f t="shared" si="0"/>
        <v>2035</v>
      </c>
      <c r="B15" t="str">
        <f t="shared" si="1"/>
        <v>hard_coal</v>
      </c>
      <c r="C15" t="str">
        <f t="shared" si="2"/>
        <v>CH0</v>
      </c>
      <c r="D15" s="90">
        <f t="shared" si="3"/>
        <v>26.021792846437396</v>
      </c>
      <c r="E15">
        <f t="shared" si="4"/>
        <v>5</v>
      </c>
      <c r="F15">
        <f t="shared" si="5"/>
        <v>1</v>
      </c>
      <c r="G15">
        <f t="shared" si="6"/>
        <v>1</v>
      </c>
      <c r="K15" t="s">
        <v>20</v>
      </c>
      <c r="L15">
        <f t="shared" si="7"/>
        <v>53.870089889047236</v>
      </c>
      <c r="M15">
        <f t="shared" si="7"/>
        <v>86.877966688393229</v>
      </c>
      <c r="N15">
        <f t="shared" si="7"/>
        <v>101.97549685701344</v>
      </c>
      <c r="O15">
        <f t="shared" si="7"/>
        <v>112.3842139955884</v>
      </c>
      <c r="P15">
        <f t="shared" si="7"/>
        <v>117.16670901505024</v>
      </c>
      <c r="Q15">
        <f t="shared" si="7"/>
        <v>124.10565737579955</v>
      </c>
      <c r="R15">
        <f t="shared" si="7"/>
        <v>126.9190630328071</v>
      </c>
      <c r="S15">
        <f t="shared" si="7"/>
        <v>129.82615067923123</v>
      </c>
      <c r="U15">
        <v>733737</v>
      </c>
      <c r="V15">
        <v>789759</v>
      </c>
      <c r="W15">
        <v>815383</v>
      </c>
      <c r="X15">
        <v>833049</v>
      </c>
      <c r="Y15">
        <v>841166</v>
      </c>
      <c r="Z15">
        <v>852943</v>
      </c>
      <c r="AA15">
        <v>857718</v>
      </c>
      <c r="AB15">
        <v>862652</v>
      </c>
    </row>
    <row r="16" spans="1:28">
      <c r="A16">
        <f t="shared" si="0"/>
        <v>2040</v>
      </c>
      <c r="B16" t="str">
        <f t="shared" si="1"/>
        <v>hard_coal</v>
      </c>
      <c r="C16" t="str">
        <f t="shared" si="2"/>
        <v>CH0</v>
      </c>
      <c r="D16" s="90">
        <f t="shared" si="3"/>
        <v>27.053473119823831</v>
      </c>
      <c r="E16">
        <f t="shared" si="4"/>
        <v>6</v>
      </c>
      <c r="F16">
        <f t="shared" si="5"/>
        <v>1</v>
      </c>
      <c r="G16">
        <f t="shared" si="6"/>
        <v>1</v>
      </c>
    </row>
    <row r="17" spans="1:26">
      <c r="A17">
        <f t="shared" si="0"/>
        <v>2045</v>
      </c>
      <c r="B17" t="str">
        <f t="shared" si="1"/>
        <v>hard_coal</v>
      </c>
      <c r="C17" t="str">
        <f t="shared" si="2"/>
        <v>CH0</v>
      </c>
      <c r="D17" s="90">
        <f t="shared" si="3"/>
        <v>28.084564198308275</v>
      </c>
      <c r="E17">
        <f t="shared" si="4"/>
        <v>7</v>
      </c>
      <c r="F17">
        <f t="shared" si="5"/>
        <v>1</v>
      </c>
      <c r="G17">
        <f t="shared" si="6"/>
        <v>1</v>
      </c>
      <c r="U17">
        <v>0</v>
      </c>
      <c r="V17">
        <v>642307</v>
      </c>
    </row>
    <row r="18" spans="1:26">
      <c r="A18">
        <f t="shared" si="0"/>
        <v>2050</v>
      </c>
      <c r="B18" t="str">
        <f t="shared" si="1"/>
        <v>hard_coal</v>
      </c>
      <c r="C18" t="str">
        <f t="shared" si="2"/>
        <v>CH0</v>
      </c>
      <c r="D18" s="90">
        <f t="shared" si="3"/>
        <v>28.83519850344495</v>
      </c>
      <c r="E18">
        <f t="shared" si="4"/>
        <v>8</v>
      </c>
      <c r="F18">
        <f t="shared" si="5"/>
        <v>1</v>
      </c>
      <c r="G18">
        <f t="shared" si="6"/>
        <v>1</v>
      </c>
      <c r="L18" t="s">
        <v>15</v>
      </c>
      <c r="M18" t="s">
        <v>16</v>
      </c>
      <c r="N18" t="s">
        <v>12</v>
      </c>
      <c r="O18" t="s">
        <v>14</v>
      </c>
      <c r="P18" t="s">
        <v>17</v>
      </c>
      <c r="U18">
        <v>160</v>
      </c>
      <c r="V18">
        <v>913864</v>
      </c>
    </row>
    <row r="19" spans="1:26">
      <c r="A19">
        <f t="shared" si="0"/>
        <v>2015</v>
      </c>
      <c r="B19" t="str">
        <f t="shared" si="1"/>
        <v>mineral_oil_heavy</v>
      </c>
      <c r="C19" t="str">
        <f t="shared" si="2"/>
        <v>CH0</v>
      </c>
      <c r="D19" s="90">
        <f t="shared" si="3"/>
        <v>29.241509433962261</v>
      </c>
      <c r="E19">
        <f t="shared" si="4"/>
        <v>1</v>
      </c>
      <c r="F19">
        <f t="shared" si="5"/>
        <v>2</v>
      </c>
      <c r="G19">
        <f t="shared" si="6"/>
        <v>1</v>
      </c>
      <c r="K19" t="s">
        <v>18</v>
      </c>
      <c r="L19" s="147">
        <f>SUMIFS($Z$23:$Z$88,$X$23:$X$88,$K19,$Y$23:$Y$88,L$18)</f>
        <v>8.4515092478679605</v>
      </c>
      <c r="M19" s="147">
        <f>SUMIFS($Z$23:$Z$88,$X$23:$X$88,$K19,$Y$23:$Y$88,M$18)</f>
        <v>10.8351179180115</v>
      </c>
      <c r="N19" s="147">
        <f>SUMIFS($Z$23:$Z$88,$X$23:$X$88,$K19,$Y$23:$Y$88,N$18)</f>
        <v>10.8351179180115</v>
      </c>
      <c r="O19" s="147">
        <f>SUMIFS($Z$23:$Z$88,$X$23:$X$88,$K19,$Y$23:$Y$88,O$18)</f>
        <v>0</v>
      </c>
      <c r="P19" s="147">
        <f>SUMIFS($Z$23:$Z$88,$X$23:$X$88,$K19,$Y$23:$Y$88,P$18)</f>
        <v>12.1371685288369</v>
      </c>
    </row>
    <row r="20" spans="1:26">
      <c r="A20">
        <f t="shared" si="0"/>
        <v>2020</v>
      </c>
      <c r="B20" t="str">
        <f t="shared" si="1"/>
        <v>mineral_oil_heavy</v>
      </c>
      <c r="C20" t="str">
        <f t="shared" si="2"/>
        <v>CH0</v>
      </c>
      <c r="D20" s="90">
        <f t="shared" si="3"/>
        <v>86.877966688393229</v>
      </c>
      <c r="E20">
        <f t="shared" si="4"/>
        <v>2</v>
      </c>
      <c r="F20">
        <f t="shared" si="5"/>
        <v>2</v>
      </c>
      <c r="G20">
        <f t="shared" si="6"/>
        <v>1</v>
      </c>
      <c r="K20" t="s">
        <v>20</v>
      </c>
      <c r="L20" s="147">
        <f t="shared" ref="L20:N25" si="8">SUMIFS($Z$23:$Z$88,$X$23:$X$88,$K20,$Y$23:$Y$88,L$18)</f>
        <v>23.305902969622899</v>
      </c>
      <c r="M20" s="147">
        <f t="shared" si="8"/>
        <v>32.7896200185357</v>
      </c>
      <c r="N20" s="147">
        <f t="shared" si="8"/>
        <v>24.108039300057399</v>
      </c>
      <c r="O20" s="148">
        <f>L37</f>
        <v>29.241509433962261</v>
      </c>
      <c r="P20" s="147">
        <f t="shared" ref="P20:P25" si="9">SUMIFS($Z$23:$Z$88,$X$23:$X$88,$K20,$Y$23:$Y$88,P$18)</f>
        <v>38.3946500286862</v>
      </c>
    </row>
    <row r="21" spans="1:26">
      <c r="A21">
        <f t="shared" si="0"/>
        <v>2025</v>
      </c>
      <c r="B21" t="str">
        <f t="shared" si="1"/>
        <v>mineral_oil_heavy</v>
      </c>
      <c r="C21" t="str">
        <f t="shared" si="2"/>
        <v>CH0</v>
      </c>
      <c r="D21" s="90">
        <f t="shared" si="3"/>
        <v>101.97549685701344</v>
      </c>
      <c r="E21">
        <f t="shared" si="4"/>
        <v>3</v>
      </c>
      <c r="F21">
        <f t="shared" si="5"/>
        <v>2</v>
      </c>
      <c r="G21">
        <f t="shared" si="6"/>
        <v>1</v>
      </c>
      <c r="K21" t="s">
        <v>21</v>
      </c>
      <c r="L21" s="147">
        <f t="shared" si="8"/>
        <v>29.5</v>
      </c>
      <c r="M21" s="147">
        <f t="shared" si="8"/>
        <v>42.2</v>
      </c>
      <c r="N21" s="147">
        <f t="shared" si="8"/>
        <v>38</v>
      </c>
      <c r="O21" s="147">
        <f>SUMIFS($Z$23:$Z$88,$X$23:$X$88,$K21,$Y$23:$Y$88,O$18)</f>
        <v>63.29</v>
      </c>
      <c r="P21" s="147">
        <f t="shared" si="9"/>
        <v>41.822222222222202</v>
      </c>
    </row>
    <row r="22" spans="1:26">
      <c r="A22">
        <f t="shared" si="0"/>
        <v>2030</v>
      </c>
      <c r="B22" t="str">
        <f t="shared" si="1"/>
        <v>mineral_oil_heavy</v>
      </c>
      <c r="C22" t="str">
        <f t="shared" si="2"/>
        <v>CH0</v>
      </c>
      <c r="D22" s="90">
        <f t="shared" si="3"/>
        <v>112.3842139955884</v>
      </c>
      <c r="E22">
        <f t="shared" si="4"/>
        <v>4</v>
      </c>
      <c r="F22">
        <f t="shared" si="5"/>
        <v>2</v>
      </c>
      <c r="G22">
        <f t="shared" si="6"/>
        <v>1</v>
      </c>
      <c r="K22" t="s">
        <v>19</v>
      </c>
      <c r="L22" s="147">
        <f t="shared" si="8"/>
        <v>1.44</v>
      </c>
      <c r="M22" s="147">
        <f t="shared" si="8"/>
        <v>0</v>
      </c>
      <c r="N22" s="147">
        <f t="shared" si="8"/>
        <v>1.44</v>
      </c>
      <c r="O22" s="147">
        <f>SUMIFS($Z$23:$Z$88,$X$23:$X$88,$K22,$Y$23:$Y$88,O$18)</f>
        <v>0</v>
      </c>
      <c r="P22" s="147">
        <f t="shared" si="9"/>
        <v>1.44</v>
      </c>
      <c r="V22" t="s">
        <v>127</v>
      </c>
      <c r="W22" t="s">
        <v>128</v>
      </c>
      <c r="X22" t="s">
        <v>33</v>
      </c>
      <c r="Y22" t="s">
        <v>32</v>
      </c>
      <c r="Z22" t="s">
        <v>9</v>
      </c>
    </row>
    <row r="23" spans="1:26">
      <c r="A23">
        <f t="shared" si="0"/>
        <v>2035</v>
      </c>
      <c r="B23" t="str">
        <f t="shared" si="1"/>
        <v>mineral_oil_heavy</v>
      </c>
      <c r="C23" t="str">
        <f t="shared" si="2"/>
        <v>CH0</v>
      </c>
      <c r="D23" s="90">
        <f t="shared" si="3"/>
        <v>117.16670901505024</v>
      </c>
      <c r="E23">
        <f t="shared" si="4"/>
        <v>5</v>
      </c>
      <c r="F23">
        <f t="shared" si="5"/>
        <v>2</v>
      </c>
      <c r="G23">
        <f t="shared" si="6"/>
        <v>1</v>
      </c>
      <c r="K23" t="s">
        <v>22</v>
      </c>
      <c r="L23" s="147">
        <f t="shared" si="8"/>
        <v>1.881</v>
      </c>
      <c r="M23" s="147">
        <f t="shared" si="8"/>
        <v>1.881</v>
      </c>
      <c r="N23" s="147">
        <f t="shared" si="8"/>
        <v>1.881</v>
      </c>
      <c r="O23" s="147">
        <f>SUMIFS($Z$23:$Z$88,$X$23:$X$88,$K23,$Y$23:$Y$88,O$18)</f>
        <v>1.881</v>
      </c>
      <c r="P23" s="147">
        <f t="shared" si="9"/>
        <v>1.881</v>
      </c>
      <c r="V23" t="s">
        <v>52</v>
      </c>
      <c r="W23" t="s">
        <v>55</v>
      </c>
      <c r="X23" t="s">
        <v>11</v>
      </c>
      <c r="Y23" t="s">
        <v>12</v>
      </c>
      <c r="Z23">
        <v>1</v>
      </c>
    </row>
    <row r="24" spans="1:26">
      <c r="A24">
        <f t="shared" si="0"/>
        <v>2040</v>
      </c>
      <c r="B24" t="str">
        <f t="shared" si="1"/>
        <v>mineral_oil_heavy</v>
      </c>
      <c r="C24" t="str">
        <f t="shared" si="2"/>
        <v>CH0</v>
      </c>
      <c r="D24" s="90">
        <f t="shared" si="3"/>
        <v>124.10565737579955</v>
      </c>
      <c r="E24">
        <f t="shared" si="4"/>
        <v>6</v>
      </c>
      <c r="F24">
        <f t="shared" si="5"/>
        <v>2</v>
      </c>
      <c r="G24">
        <f t="shared" si="6"/>
        <v>1</v>
      </c>
      <c r="K24" t="s">
        <v>24</v>
      </c>
      <c r="L24" s="147">
        <f t="shared" si="8"/>
        <v>0.5</v>
      </c>
      <c r="M24" s="147">
        <f t="shared" si="8"/>
        <v>0.5</v>
      </c>
      <c r="N24" s="147">
        <f t="shared" si="8"/>
        <v>0.5</v>
      </c>
      <c r="O24" s="147">
        <f>SUMIFS($Z$23:$Z$88,$X$23:$X$88,$K24,$Y$23:$Y$88,O$18)</f>
        <v>0.5</v>
      </c>
      <c r="P24" s="147">
        <f t="shared" si="9"/>
        <v>0.5</v>
      </c>
      <c r="V24" t="s">
        <v>54</v>
      </c>
      <c r="W24" t="s">
        <v>55</v>
      </c>
      <c r="X24" t="s">
        <v>11</v>
      </c>
      <c r="Y24" t="s">
        <v>14</v>
      </c>
      <c r="Z24">
        <v>1</v>
      </c>
    </row>
    <row r="25" spans="1:26">
      <c r="A25">
        <f t="shared" si="0"/>
        <v>2045</v>
      </c>
      <c r="B25" t="str">
        <f t="shared" si="1"/>
        <v>mineral_oil_heavy</v>
      </c>
      <c r="C25" t="str">
        <f t="shared" si="2"/>
        <v>CH0</v>
      </c>
      <c r="D25" s="90">
        <f t="shared" si="3"/>
        <v>126.9190630328071</v>
      </c>
      <c r="E25">
        <f t="shared" si="4"/>
        <v>7</v>
      </c>
      <c r="F25">
        <f t="shared" si="5"/>
        <v>2</v>
      </c>
      <c r="G25">
        <f t="shared" si="6"/>
        <v>1</v>
      </c>
      <c r="K25" t="s">
        <v>11</v>
      </c>
      <c r="L25" s="147">
        <f t="shared" si="8"/>
        <v>1</v>
      </c>
      <c r="M25" s="147">
        <f t="shared" si="8"/>
        <v>1</v>
      </c>
      <c r="N25" s="147">
        <f t="shared" si="8"/>
        <v>1</v>
      </c>
      <c r="O25" s="147">
        <f>SUMIFS($Z$23:$Z$88,$X$23:$X$88,$K25,$Y$23:$Y$88,O$18)</f>
        <v>1</v>
      </c>
      <c r="P25" s="147">
        <f t="shared" si="9"/>
        <v>1</v>
      </c>
      <c r="V25" t="s">
        <v>56</v>
      </c>
      <c r="W25" t="s">
        <v>55</v>
      </c>
      <c r="X25" t="s">
        <v>11</v>
      </c>
      <c r="Y25" t="s">
        <v>15</v>
      </c>
      <c r="Z25">
        <v>1</v>
      </c>
    </row>
    <row r="26" spans="1:26">
      <c r="A26">
        <f t="shared" si="0"/>
        <v>2050</v>
      </c>
      <c r="B26" t="str">
        <f t="shared" si="1"/>
        <v>mineral_oil_heavy</v>
      </c>
      <c r="C26" t="str">
        <f t="shared" si="2"/>
        <v>CH0</v>
      </c>
      <c r="D26" s="90">
        <f t="shared" si="3"/>
        <v>129.82615067923123</v>
      </c>
      <c r="E26">
        <f t="shared" si="4"/>
        <v>8</v>
      </c>
      <c r="F26">
        <f t="shared" si="5"/>
        <v>2</v>
      </c>
      <c r="G26">
        <f t="shared" si="6"/>
        <v>1</v>
      </c>
      <c r="L26" s="147"/>
      <c r="M26" s="147"/>
      <c r="N26" s="147"/>
      <c r="O26" s="147"/>
      <c r="P26" s="147"/>
      <c r="V26" t="s">
        <v>57</v>
      </c>
      <c r="W26" t="s">
        <v>55</v>
      </c>
      <c r="X26" t="s">
        <v>11</v>
      </c>
      <c r="Y26" t="s">
        <v>16</v>
      </c>
      <c r="Z26">
        <v>1</v>
      </c>
    </row>
    <row r="27" spans="1:26" ht="15">
      <c r="A27">
        <f t="shared" si="0"/>
        <v>2015</v>
      </c>
      <c r="B27" t="str">
        <f t="shared" si="1"/>
        <v>natural_gas</v>
      </c>
      <c r="C27" t="str">
        <f t="shared" si="2"/>
        <v>CH0</v>
      </c>
      <c r="D27" s="90">
        <f t="shared" si="3"/>
        <v>63.29</v>
      </c>
      <c r="E27">
        <f t="shared" si="4"/>
        <v>1</v>
      </c>
      <c r="F27">
        <f t="shared" si="5"/>
        <v>3</v>
      </c>
      <c r="G27">
        <f t="shared" si="6"/>
        <v>1</v>
      </c>
      <c r="K27" s="126" t="s">
        <v>424</v>
      </c>
      <c r="V27" t="s">
        <v>58</v>
      </c>
      <c r="W27" t="s">
        <v>55</v>
      </c>
      <c r="X27" t="s">
        <v>11</v>
      </c>
      <c r="Y27" t="s">
        <v>17</v>
      </c>
      <c r="Z27">
        <v>1</v>
      </c>
    </row>
    <row r="28" spans="1:26">
      <c r="A28">
        <f t="shared" si="0"/>
        <v>2020</v>
      </c>
      <c r="B28" t="str">
        <f t="shared" si="1"/>
        <v>natural_gas</v>
      </c>
      <c r="C28" t="str">
        <f t="shared" si="2"/>
        <v>CH0</v>
      </c>
      <c r="D28" s="90">
        <f t="shared" si="3"/>
        <v>56.30817839348645</v>
      </c>
      <c r="E28">
        <f t="shared" si="4"/>
        <v>2</v>
      </c>
      <c r="F28">
        <f t="shared" si="5"/>
        <v>3</v>
      </c>
      <c r="G28">
        <f t="shared" si="6"/>
        <v>1</v>
      </c>
      <c r="K28" t="s">
        <v>425</v>
      </c>
      <c r="L28">
        <v>2015</v>
      </c>
      <c r="M28">
        <v>2020</v>
      </c>
      <c r="N28">
        <v>2025</v>
      </c>
      <c r="O28">
        <v>2030</v>
      </c>
      <c r="P28">
        <v>2035</v>
      </c>
      <c r="Q28">
        <v>2040</v>
      </c>
      <c r="R28">
        <v>2045</v>
      </c>
      <c r="S28">
        <v>2050</v>
      </c>
      <c r="V28" t="s">
        <v>67</v>
      </c>
      <c r="W28" t="s">
        <v>65</v>
      </c>
      <c r="X28" t="s">
        <v>23</v>
      </c>
      <c r="Y28" t="s">
        <v>17</v>
      </c>
      <c r="Z28">
        <v>0</v>
      </c>
    </row>
    <row r="29" spans="1:26">
      <c r="A29">
        <f t="shared" si="0"/>
        <v>2025</v>
      </c>
      <c r="B29" t="str">
        <f t="shared" si="1"/>
        <v>natural_gas</v>
      </c>
      <c r="C29" t="str">
        <f t="shared" si="2"/>
        <v>CH0</v>
      </c>
      <c r="D29" s="90">
        <f t="shared" si="3"/>
        <v>63.059762775402582</v>
      </c>
      <c r="E29">
        <f t="shared" si="4"/>
        <v>3</v>
      </c>
      <c r="F29">
        <f t="shared" si="5"/>
        <v>3</v>
      </c>
      <c r="G29">
        <f t="shared" si="6"/>
        <v>1</v>
      </c>
      <c r="K29" t="s">
        <v>426</v>
      </c>
      <c r="L29">
        <v>3.63</v>
      </c>
      <c r="M29">
        <v>5.0999999999999996</v>
      </c>
      <c r="N29">
        <v>5.29</v>
      </c>
      <c r="O29">
        <v>5.47</v>
      </c>
      <c r="P29">
        <v>5.6</v>
      </c>
      <c r="Q29">
        <v>5.72</v>
      </c>
      <c r="R29">
        <v>5.83</v>
      </c>
      <c r="S29">
        <v>5.94</v>
      </c>
      <c r="V29" t="s">
        <v>68</v>
      </c>
      <c r="W29" t="s">
        <v>70</v>
      </c>
      <c r="X29" t="s">
        <v>18</v>
      </c>
      <c r="Y29" t="s">
        <v>12</v>
      </c>
      <c r="Z29">
        <v>10.8351179180115</v>
      </c>
    </row>
    <row r="30" spans="1:26">
      <c r="A30">
        <f t="shared" si="0"/>
        <v>2030</v>
      </c>
      <c r="B30" t="str">
        <f t="shared" si="1"/>
        <v>natural_gas</v>
      </c>
      <c r="C30" t="str">
        <f t="shared" si="2"/>
        <v>CH0</v>
      </c>
      <c r="D30" s="90">
        <f t="shared" si="3"/>
        <v>68.592302905099118</v>
      </c>
      <c r="E30">
        <f t="shared" si="4"/>
        <v>4</v>
      </c>
      <c r="F30">
        <f t="shared" si="5"/>
        <v>3</v>
      </c>
      <c r="G30">
        <f t="shared" si="6"/>
        <v>1</v>
      </c>
      <c r="K30" t="s">
        <v>427</v>
      </c>
      <c r="L30">
        <v>12.67</v>
      </c>
      <c r="M30">
        <v>14.87</v>
      </c>
      <c r="N30">
        <v>17.760000000000002</v>
      </c>
      <c r="O30">
        <v>20.41</v>
      </c>
      <c r="P30">
        <v>21.72</v>
      </c>
      <c r="Q30">
        <v>22.85</v>
      </c>
      <c r="R30">
        <v>23.65</v>
      </c>
      <c r="S30">
        <v>24.29</v>
      </c>
      <c r="V30" t="s">
        <v>69</v>
      </c>
      <c r="W30" t="s">
        <v>70</v>
      </c>
      <c r="X30" t="s">
        <v>18</v>
      </c>
      <c r="Y30" t="s">
        <v>15</v>
      </c>
      <c r="Z30">
        <v>8.4515092478679605</v>
      </c>
    </row>
    <row r="31" spans="1:26">
      <c r="A31">
        <f t="shared" si="0"/>
        <v>2035</v>
      </c>
      <c r="B31" t="str">
        <f t="shared" si="1"/>
        <v>natural_gas</v>
      </c>
      <c r="C31" t="str">
        <f t="shared" si="2"/>
        <v>CH0</v>
      </c>
      <c r="D31" s="90">
        <f t="shared" si="3"/>
        <v>73.281115935144371</v>
      </c>
      <c r="E31">
        <f t="shared" si="4"/>
        <v>5</v>
      </c>
      <c r="F31">
        <f t="shared" si="5"/>
        <v>3</v>
      </c>
      <c r="G31">
        <f t="shared" si="6"/>
        <v>1</v>
      </c>
      <c r="K31" t="s">
        <v>428</v>
      </c>
      <c r="L31">
        <v>8.61</v>
      </c>
      <c r="M31">
        <v>13.89</v>
      </c>
      <c r="N31">
        <v>15.7</v>
      </c>
      <c r="O31">
        <v>17.23</v>
      </c>
      <c r="P31">
        <v>17.940000000000001</v>
      </c>
      <c r="Q31">
        <v>18.579999999999998</v>
      </c>
      <c r="R31">
        <v>19.02</v>
      </c>
      <c r="S31">
        <v>19.38</v>
      </c>
      <c r="V31" t="s">
        <v>71</v>
      </c>
      <c r="W31" t="s">
        <v>70</v>
      </c>
      <c r="X31" t="s">
        <v>18</v>
      </c>
      <c r="Y31" t="s">
        <v>16</v>
      </c>
      <c r="Z31">
        <v>10.8351179180115</v>
      </c>
    </row>
    <row r="32" spans="1:26">
      <c r="A32">
        <f t="shared" si="0"/>
        <v>2040</v>
      </c>
      <c r="B32" t="str">
        <f t="shared" si="1"/>
        <v>natural_gas</v>
      </c>
      <c r="C32" t="str">
        <f t="shared" si="2"/>
        <v>CH0</v>
      </c>
      <c r="D32" s="90">
        <f t="shared" si="3"/>
        <v>75.719204439583592</v>
      </c>
      <c r="E32">
        <f t="shared" si="4"/>
        <v>6</v>
      </c>
      <c r="F32">
        <f t="shared" si="5"/>
        <v>3</v>
      </c>
      <c r="G32">
        <f t="shared" si="6"/>
        <v>1</v>
      </c>
      <c r="K32" t="s">
        <v>429</v>
      </c>
      <c r="L32">
        <v>15.46</v>
      </c>
      <c r="M32">
        <v>15.87</v>
      </c>
      <c r="N32">
        <v>17.95</v>
      </c>
      <c r="O32">
        <v>19.91</v>
      </c>
      <c r="P32">
        <v>20.72</v>
      </c>
      <c r="Q32">
        <v>21.37</v>
      </c>
      <c r="R32">
        <v>21.92</v>
      </c>
      <c r="S32">
        <v>22.35</v>
      </c>
      <c r="V32" t="s">
        <v>72</v>
      </c>
      <c r="W32" t="s">
        <v>70</v>
      </c>
      <c r="X32" t="s">
        <v>18</v>
      </c>
      <c r="Y32" t="s">
        <v>17</v>
      </c>
      <c r="Z32">
        <v>12.1371685288369</v>
      </c>
    </row>
    <row r="33" spans="1:26">
      <c r="A33">
        <f t="shared" si="0"/>
        <v>2045</v>
      </c>
      <c r="B33" t="str">
        <f t="shared" si="1"/>
        <v>natural_gas</v>
      </c>
      <c r="C33" t="str">
        <f t="shared" si="2"/>
        <v>CH0</v>
      </c>
      <c r="D33" s="90">
        <f t="shared" si="3"/>
        <v>77.312976649469533</v>
      </c>
      <c r="E33">
        <f t="shared" si="4"/>
        <v>7</v>
      </c>
      <c r="F33">
        <f t="shared" si="5"/>
        <v>3</v>
      </c>
      <c r="G33">
        <f t="shared" si="6"/>
        <v>1</v>
      </c>
      <c r="X33" t="s">
        <v>19</v>
      </c>
      <c r="Y33" t="s">
        <v>12</v>
      </c>
      <c r="Z33">
        <v>1.44</v>
      </c>
    </row>
    <row r="34" spans="1:26">
      <c r="A34">
        <f t="shared" si="0"/>
        <v>2050</v>
      </c>
      <c r="B34" t="str">
        <f t="shared" si="1"/>
        <v>natural_gas</v>
      </c>
      <c r="C34" t="str">
        <f t="shared" si="2"/>
        <v>CH0</v>
      </c>
      <c r="D34" s="90">
        <f t="shared" si="3"/>
        <v>78.438338912272556</v>
      </c>
      <c r="E34">
        <f t="shared" si="4"/>
        <v>8</v>
      </c>
      <c r="F34">
        <f t="shared" si="5"/>
        <v>3</v>
      </c>
      <c r="G34">
        <f t="shared" si="6"/>
        <v>1</v>
      </c>
      <c r="K34" t="s">
        <v>430</v>
      </c>
      <c r="L34">
        <v>2015</v>
      </c>
      <c r="M34">
        <v>2020</v>
      </c>
      <c r="N34">
        <v>2025</v>
      </c>
      <c r="O34">
        <v>2030</v>
      </c>
      <c r="P34">
        <v>2035</v>
      </c>
      <c r="Q34">
        <v>2040</v>
      </c>
      <c r="R34">
        <v>2045</v>
      </c>
      <c r="S34">
        <v>2050</v>
      </c>
      <c r="V34" t="s">
        <v>92</v>
      </c>
      <c r="W34" t="s">
        <v>91</v>
      </c>
      <c r="X34" t="s">
        <v>19</v>
      </c>
      <c r="Y34" t="s">
        <v>15</v>
      </c>
      <c r="Z34">
        <v>1.44</v>
      </c>
    </row>
    <row r="35" spans="1:26">
      <c r="A35">
        <f t="shared" si="0"/>
        <v>2015</v>
      </c>
      <c r="B35" t="str">
        <f t="shared" si="1"/>
        <v>lignite</v>
      </c>
      <c r="C35" t="str">
        <f t="shared" si="2"/>
        <v>CH0</v>
      </c>
      <c r="D35" s="90" t="e">
        <f t="shared" si="3"/>
        <v>#N/A</v>
      </c>
      <c r="E35">
        <f t="shared" si="4"/>
        <v>1</v>
      </c>
      <c r="F35">
        <f t="shared" si="5"/>
        <v>4</v>
      </c>
      <c r="G35">
        <f t="shared" si="6"/>
        <v>1</v>
      </c>
      <c r="J35" t="s">
        <v>14</v>
      </c>
      <c r="K35" t="s">
        <v>426</v>
      </c>
      <c r="L35" s="90">
        <f t="shared" ref="L35:S38" si="10">L29*3.6/1.06</f>
        <v>12.328301886792453</v>
      </c>
      <c r="M35" s="90">
        <f t="shared" si="10"/>
        <v>17.320754716981131</v>
      </c>
      <c r="N35" s="90">
        <f t="shared" si="10"/>
        <v>17.966037735849056</v>
      </c>
      <c r="O35" s="90">
        <f t="shared" si="10"/>
        <v>18.577358490566038</v>
      </c>
      <c r="P35" s="90">
        <f t="shared" si="10"/>
        <v>19.018867924528301</v>
      </c>
      <c r="Q35" s="90">
        <f t="shared" si="10"/>
        <v>19.426415094339621</v>
      </c>
      <c r="R35" s="90">
        <f t="shared" si="10"/>
        <v>19.799999999999997</v>
      </c>
      <c r="S35" s="90">
        <f t="shared" si="10"/>
        <v>20.173584905660377</v>
      </c>
      <c r="X35" t="s">
        <v>19</v>
      </c>
      <c r="Y35" t="s">
        <v>17</v>
      </c>
      <c r="Z35">
        <v>1.44</v>
      </c>
    </row>
    <row r="36" spans="1:26">
      <c r="A36">
        <f t="shared" si="0"/>
        <v>2020</v>
      </c>
      <c r="B36" t="str">
        <f t="shared" si="1"/>
        <v>lignite</v>
      </c>
      <c r="C36" t="str">
        <f t="shared" si="2"/>
        <v>CH0</v>
      </c>
      <c r="D36" s="90" t="e">
        <f t="shared" si="3"/>
        <v>#N/A</v>
      </c>
      <c r="E36">
        <f t="shared" si="4"/>
        <v>2</v>
      </c>
      <c r="F36">
        <f t="shared" si="5"/>
        <v>4</v>
      </c>
      <c r="G36">
        <f t="shared" si="6"/>
        <v>1</v>
      </c>
      <c r="J36" t="s">
        <v>14</v>
      </c>
      <c r="K36" t="s">
        <v>427</v>
      </c>
      <c r="L36" s="90">
        <f t="shared" si="10"/>
        <v>43.030188679245285</v>
      </c>
      <c r="M36" s="90">
        <f t="shared" si="10"/>
        <v>50.501886792452822</v>
      </c>
      <c r="N36" s="90">
        <f t="shared" si="10"/>
        <v>60.316981132075476</v>
      </c>
      <c r="O36" s="90">
        <f t="shared" si="10"/>
        <v>69.316981132075469</v>
      </c>
      <c r="P36" s="90">
        <f t="shared" si="10"/>
        <v>73.766037735849039</v>
      </c>
      <c r="Q36" s="90">
        <f t="shared" si="10"/>
        <v>77.603773584905667</v>
      </c>
      <c r="R36" s="90">
        <f t="shared" si="10"/>
        <v>80.320754716981128</v>
      </c>
      <c r="S36" s="90">
        <f t="shared" si="10"/>
        <v>82.494339622641505</v>
      </c>
      <c r="V36" t="s">
        <v>97</v>
      </c>
      <c r="W36" t="s">
        <v>100</v>
      </c>
      <c r="X36" t="s">
        <v>20</v>
      </c>
      <c r="Y36" t="s">
        <v>12</v>
      </c>
      <c r="Z36">
        <v>24.108039300057399</v>
      </c>
    </row>
    <row r="37" spans="1:26">
      <c r="A37">
        <f t="shared" si="0"/>
        <v>2025</v>
      </c>
      <c r="B37" t="str">
        <f t="shared" si="1"/>
        <v>lignite</v>
      </c>
      <c r="C37" t="str">
        <f t="shared" si="2"/>
        <v>CH0</v>
      </c>
      <c r="D37" s="90" t="e">
        <f t="shared" si="3"/>
        <v>#N/A</v>
      </c>
      <c r="E37">
        <f t="shared" si="4"/>
        <v>3</v>
      </c>
      <c r="F37">
        <f t="shared" si="5"/>
        <v>4</v>
      </c>
      <c r="G37">
        <f t="shared" si="6"/>
        <v>1</v>
      </c>
      <c r="J37" t="s">
        <v>14</v>
      </c>
      <c r="K37" t="s">
        <v>428</v>
      </c>
      <c r="L37" s="90">
        <f t="shared" si="10"/>
        <v>29.241509433962261</v>
      </c>
      <c r="M37" s="90">
        <f t="shared" si="10"/>
        <v>47.173584905660377</v>
      </c>
      <c r="N37" s="90">
        <f t="shared" si="10"/>
        <v>53.320754716981128</v>
      </c>
      <c r="O37" s="90">
        <f t="shared" si="10"/>
        <v>58.516981132075472</v>
      </c>
      <c r="P37" s="90">
        <f t="shared" si="10"/>
        <v>60.928301886792454</v>
      </c>
      <c r="Q37" s="90">
        <f t="shared" si="10"/>
        <v>63.101886792452817</v>
      </c>
      <c r="R37" s="90">
        <f t="shared" si="10"/>
        <v>64.596226415094335</v>
      </c>
      <c r="S37" s="90">
        <f t="shared" si="10"/>
        <v>65.818867924528305</v>
      </c>
      <c r="V37" t="s">
        <v>98</v>
      </c>
      <c r="W37" t="s">
        <v>100</v>
      </c>
      <c r="X37" t="s">
        <v>20</v>
      </c>
      <c r="Y37" t="s">
        <v>14</v>
      </c>
      <c r="Z37">
        <v>100</v>
      </c>
    </row>
    <row r="38" spans="1:26">
      <c r="A38">
        <f t="shared" si="0"/>
        <v>2030</v>
      </c>
      <c r="B38" t="str">
        <f t="shared" si="1"/>
        <v>lignite</v>
      </c>
      <c r="C38" t="str">
        <f t="shared" si="2"/>
        <v>CH0</v>
      </c>
      <c r="D38" s="90" t="e">
        <f t="shared" si="3"/>
        <v>#N/A</v>
      </c>
      <c r="E38">
        <f t="shared" si="4"/>
        <v>4</v>
      </c>
      <c r="F38">
        <f t="shared" si="5"/>
        <v>4</v>
      </c>
      <c r="G38">
        <f t="shared" si="6"/>
        <v>1</v>
      </c>
      <c r="J38" t="s">
        <v>14</v>
      </c>
      <c r="K38" t="s">
        <v>429</v>
      </c>
      <c r="L38" s="90">
        <f t="shared" si="10"/>
        <v>52.505660377358495</v>
      </c>
      <c r="M38" s="90">
        <f t="shared" si="10"/>
        <v>53.898113207547162</v>
      </c>
      <c r="N38" s="90">
        <f t="shared" si="10"/>
        <v>60.962264150943398</v>
      </c>
      <c r="O38" s="90">
        <f t="shared" si="10"/>
        <v>67.618867924528303</v>
      </c>
      <c r="P38" s="90">
        <f t="shared" si="10"/>
        <v>70.369811320754707</v>
      </c>
      <c r="Q38" s="90">
        <f t="shared" si="10"/>
        <v>72.577358490566041</v>
      </c>
      <c r="R38" s="90">
        <f t="shared" si="10"/>
        <v>74.445283018867926</v>
      </c>
      <c r="S38" s="90">
        <f t="shared" si="10"/>
        <v>75.905660377358501</v>
      </c>
      <c r="V38" t="s">
        <v>99</v>
      </c>
      <c r="W38" t="s">
        <v>100</v>
      </c>
      <c r="X38" t="s">
        <v>20</v>
      </c>
      <c r="Y38" t="s">
        <v>15</v>
      </c>
      <c r="Z38">
        <v>23.305902969622899</v>
      </c>
    </row>
    <row r="39" spans="1:26">
      <c r="A39">
        <f t="shared" si="0"/>
        <v>2035</v>
      </c>
      <c r="B39" t="str">
        <f t="shared" si="1"/>
        <v>lignite</v>
      </c>
      <c r="C39" t="str">
        <f t="shared" si="2"/>
        <v>CH0</v>
      </c>
      <c r="D39" s="90" t="e">
        <f t="shared" si="3"/>
        <v>#N/A</v>
      </c>
      <c r="E39">
        <f t="shared" si="4"/>
        <v>5</v>
      </c>
      <c r="F39">
        <f t="shared" si="5"/>
        <v>4</v>
      </c>
      <c r="G39">
        <f t="shared" si="6"/>
        <v>1</v>
      </c>
      <c r="V39" t="s">
        <v>101</v>
      </c>
      <c r="W39" t="s">
        <v>100</v>
      </c>
      <c r="X39" t="s">
        <v>20</v>
      </c>
      <c r="Y39" t="s">
        <v>16</v>
      </c>
      <c r="Z39">
        <v>32.7896200185357</v>
      </c>
    </row>
    <row r="40" spans="1:26">
      <c r="A40">
        <f t="shared" si="0"/>
        <v>2040</v>
      </c>
      <c r="B40" t="str">
        <f t="shared" si="1"/>
        <v>lignite</v>
      </c>
      <c r="C40" t="str">
        <f t="shared" si="2"/>
        <v>CH0</v>
      </c>
      <c r="D40" s="90" t="e">
        <f t="shared" si="3"/>
        <v>#N/A</v>
      </c>
      <c r="E40">
        <f t="shared" si="4"/>
        <v>6</v>
      </c>
      <c r="F40">
        <f t="shared" si="5"/>
        <v>4</v>
      </c>
      <c r="G40">
        <f t="shared" si="6"/>
        <v>1</v>
      </c>
      <c r="V40" t="s">
        <v>102</v>
      </c>
      <c r="W40" t="s">
        <v>100</v>
      </c>
      <c r="X40" t="s">
        <v>20</v>
      </c>
      <c r="Y40" t="s">
        <v>17</v>
      </c>
      <c r="Z40">
        <v>38.3946500286862</v>
      </c>
    </row>
    <row r="41" spans="1:26">
      <c r="A41">
        <f t="shared" si="0"/>
        <v>2045</v>
      </c>
      <c r="B41" t="str">
        <f t="shared" si="1"/>
        <v>lignite</v>
      </c>
      <c r="C41" t="str">
        <f t="shared" si="2"/>
        <v>CH0</v>
      </c>
      <c r="D41" s="90" t="e">
        <f t="shared" si="3"/>
        <v>#N/A</v>
      </c>
      <c r="E41">
        <f t="shared" si="4"/>
        <v>7</v>
      </c>
      <c r="F41">
        <f t="shared" si="5"/>
        <v>4</v>
      </c>
      <c r="G41">
        <f t="shared" si="6"/>
        <v>1</v>
      </c>
      <c r="V41" t="s">
        <v>59</v>
      </c>
      <c r="W41" t="s">
        <v>60</v>
      </c>
      <c r="X41" t="s">
        <v>21</v>
      </c>
      <c r="Y41" t="s">
        <v>12</v>
      </c>
      <c r="Z41">
        <v>38</v>
      </c>
    </row>
    <row r="42" spans="1:26">
      <c r="A42">
        <f t="shared" si="0"/>
        <v>2050</v>
      </c>
      <c r="B42" t="str">
        <f t="shared" si="1"/>
        <v>lignite</v>
      </c>
      <c r="C42" t="str">
        <f t="shared" si="2"/>
        <v>CH0</v>
      </c>
      <c r="D42" s="90" t="e">
        <f t="shared" si="3"/>
        <v>#N/A</v>
      </c>
      <c r="E42">
        <f t="shared" si="4"/>
        <v>8</v>
      </c>
      <c r="F42">
        <f t="shared" si="5"/>
        <v>4</v>
      </c>
      <c r="G42">
        <f t="shared" si="6"/>
        <v>1</v>
      </c>
      <c r="L42">
        <v>2015</v>
      </c>
      <c r="M42">
        <v>2020</v>
      </c>
      <c r="N42">
        <v>2025</v>
      </c>
      <c r="O42">
        <v>2030</v>
      </c>
      <c r="P42">
        <v>2035</v>
      </c>
      <c r="Q42">
        <v>2040</v>
      </c>
      <c r="R42">
        <v>2045</v>
      </c>
      <c r="S42">
        <v>2050</v>
      </c>
      <c r="V42" t="s">
        <v>61</v>
      </c>
      <c r="W42" t="s">
        <v>60</v>
      </c>
      <c r="X42" t="s">
        <v>21</v>
      </c>
      <c r="Y42" t="s">
        <v>14</v>
      </c>
      <c r="Z42">
        <v>63.29</v>
      </c>
    </row>
    <row r="43" spans="1:26">
      <c r="A43">
        <f t="shared" si="0"/>
        <v>2015</v>
      </c>
      <c r="B43" t="str">
        <f t="shared" si="1"/>
        <v>nuclear_fuel</v>
      </c>
      <c r="C43" t="str">
        <f t="shared" si="2"/>
        <v>CH0</v>
      </c>
      <c r="D43" s="90">
        <f t="shared" si="3"/>
        <v>1.881</v>
      </c>
      <c r="E43">
        <f t="shared" si="4"/>
        <v>1</v>
      </c>
      <c r="F43">
        <f t="shared" si="5"/>
        <v>5</v>
      </c>
      <c r="G43">
        <f t="shared" si="6"/>
        <v>1</v>
      </c>
      <c r="I43" t="s">
        <v>12</v>
      </c>
      <c r="J43" t="s">
        <v>18</v>
      </c>
      <c r="K43" t="str">
        <f t="shared" ref="K43:K57" si="11">I43&amp;"-"&amp;J43</f>
        <v>AT0-hard_coal</v>
      </c>
      <c r="L43" s="90">
        <f t="shared" ref="L43:L57" si="12">INDEX($L$19:$P$21,MATCH($J43,$K$19:$K$21,0),MATCH($I43,$L$18:$P$18,0))</f>
        <v>10.8351179180115</v>
      </c>
      <c r="M43" s="90">
        <f t="shared" ref="M43:S57" si="13">INDEX($L$13:$S$15,MATCH($J43,$K$13:$K$15,0),MATCH(M$42,$L$12:$S$12,0))</f>
        <v>16.551073991832286</v>
      </c>
      <c r="N43" s="90">
        <f t="shared" si="13"/>
        <v>20.489252716740868</v>
      </c>
      <c r="O43" s="90">
        <f t="shared" si="13"/>
        <v>24.521702625968029</v>
      </c>
      <c r="P43" s="90">
        <f t="shared" si="13"/>
        <v>26.021792846437396</v>
      </c>
      <c r="Q43" s="90">
        <f t="shared" si="13"/>
        <v>27.053473119823831</v>
      </c>
      <c r="R43" s="90">
        <f t="shared" si="13"/>
        <v>28.084564198308275</v>
      </c>
      <c r="S43" s="90">
        <f t="shared" si="13"/>
        <v>28.83519850344495</v>
      </c>
      <c r="V43" t="s">
        <v>62</v>
      </c>
      <c r="W43" t="s">
        <v>60</v>
      </c>
      <c r="X43" t="s">
        <v>21</v>
      </c>
      <c r="Y43" t="s">
        <v>15</v>
      </c>
      <c r="Z43">
        <v>29.5</v>
      </c>
    </row>
    <row r="44" spans="1:26">
      <c r="A44">
        <f t="shared" si="0"/>
        <v>2020</v>
      </c>
      <c r="B44" t="str">
        <f t="shared" si="1"/>
        <v>nuclear_fuel</v>
      </c>
      <c r="C44" t="str">
        <f t="shared" si="2"/>
        <v>CH0</v>
      </c>
      <c r="D44" s="90">
        <f t="shared" si="3"/>
        <v>1.881</v>
      </c>
      <c r="E44">
        <f t="shared" si="4"/>
        <v>2</v>
      </c>
      <c r="F44">
        <f t="shared" si="5"/>
        <v>5</v>
      </c>
      <c r="G44">
        <f t="shared" si="6"/>
        <v>1</v>
      </c>
      <c r="I44" t="s">
        <v>12</v>
      </c>
      <c r="J44" t="s">
        <v>20</v>
      </c>
      <c r="K44" t="str">
        <f t="shared" si="11"/>
        <v>AT0-mineral_oil_heavy</v>
      </c>
      <c r="L44" s="90">
        <f t="shared" si="12"/>
        <v>24.108039300057399</v>
      </c>
      <c r="M44" s="90">
        <f t="shared" si="13"/>
        <v>86.877966688393229</v>
      </c>
      <c r="N44" s="90">
        <f t="shared" si="13"/>
        <v>101.97549685701344</v>
      </c>
      <c r="O44" s="90">
        <f t="shared" si="13"/>
        <v>112.3842139955884</v>
      </c>
      <c r="P44" s="90">
        <f t="shared" si="13"/>
        <v>117.16670901505024</v>
      </c>
      <c r="Q44" s="90">
        <f t="shared" si="13"/>
        <v>124.10565737579955</v>
      </c>
      <c r="R44" s="90">
        <f t="shared" si="13"/>
        <v>126.9190630328071</v>
      </c>
      <c r="S44" s="90">
        <f t="shared" si="13"/>
        <v>129.82615067923123</v>
      </c>
      <c r="V44" t="s">
        <v>63</v>
      </c>
      <c r="W44" t="s">
        <v>60</v>
      </c>
      <c r="X44" t="s">
        <v>21</v>
      </c>
      <c r="Y44" t="s">
        <v>16</v>
      </c>
      <c r="Z44">
        <v>42.2</v>
      </c>
    </row>
    <row r="45" spans="1:26">
      <c r="A45">
        <f t="shared" si="0"/>
        <v>2025</v>
      </c>
      <c r="B45" t="str">
        <f t="shared" si="1"/>
        <v>nuclear_fuel</v>
      </c>
      <c r="C45" t="str">
        <f t="shared" si="2"/>
        <v>CH0</v>
      </c>
      <c r="D45" s="90">
        <f t="shared" si="3"/>
        <v>1.881</v>
      </c>
      <c r="E45">
        <f t="shared" si="4"/>
        <v>3</v>
      </c>
      <c r="F45">
        <f t="shared" si="5"/>
        <v>5</v>
      </c>
      <c r="G45">
        <f t="shared" si="6"/>
        <v>1</v>
      </c>
      <c r="I45" t="s">
        <v>12</v>
      </c>
      <c r="J45" t="s">
        <v>21</v>
      </c>
      <c r="K45" t="str">
        <f t="shared" si="11"/>
        <v>AT0-natural_gas</v>
      </c>
      <c r="L45" s="90">
        <f t="shared" si="12"/>
        <v>38</v>
      </c>
      <c r="M45" s="90">
        <f t="shared" si="13"/>
        <v>56.30817839348645</v>
      </c>
      <c r="N45" s="90">
        <f t="shared" si="13"/>
        <v>63.059762775402582</v>
      </c>
      <c r="O45" s="90">
        <f t="shared" si="13"/>
        <v>68.592302905099118</v>
      </c>
      <c r="P45" s="90">
        <f t="shared" si="13"/>
        <v>73.281115935144371</v>
      </c>
      <c r="Q45" s="90">
        <f t="shared" si="13"/>
        <v>75.719204439583592</v>
      </c>
      <c r="R45" s="90">
        <f t="shared" si="13"/>
        <v>77.312976649469533</v>
      </c>
      <c r="S45" s="90">
        <f t="shared" si="13"/>
        <v>78.438338912272556</v>
      </c>
      <c r="V45" t="s">
        <v>64</v>
      </c>
      <c r="W45" t="s">
        <v>60</v>
      </c>
      <c r="X45" t="s">
        <v>21</v>
      </c>
      <c r="Y45" t="s">
        <v>17</v>
      </c>
      <c r="Z45">
        <v>41.822222222222202</v>
      </c>
    </row>
    <row r="46" spans="1:26">
      <c r="A46">
        <f t="shared" si="0"/>
        <v>2030</v>
      </c>
      <c r="B46" t="str">
        <f t="shared" si="1"/>
        <v>nuclear_fuel</v>
      </c>
      <c r="C46" t="str">
        <f t="shared" si="2"/>
        <v>CH0</v>
      </c>
      <c r="D46" s="90">
        <f t="shared" si="3"/>
        <v>1.881</v>
      </c>
      <c r="E46">
        <f t="shared" si="4"/>
        <v>4</v>
      </c>
      <c r="F46">
        <f t="shared" si="5"/>
        <v>5</v>
      </c>
      <c r="G46">
        <f t="shared" si="6"/>
        <v>1</v>
      </c>
      <c r="I46" t="s">
        <v>15</v>
      </c>
      <c r="J46" t="s">
        <v>18</v>
      </c>
      <c r="K46" t="str">
        <f t="shared" si="11"/>
        <v>DE0-hard_coal</v>
      </c>
      <c r="L46" s="90">
        <f t="shared" si="12"/>
        <v>8.4515092478679605</v>
      </c>
      <c r="M46" s="90">
        <f t="shared" si="13"/>
        <v>16.551073991832286</v>
      </c>
      <c r="N46" s="90">
        <f t="shared" si="13"/>
        <v>20.489252716740868</v>
      </c>
      <c r="O46" s="90">
        <f t="shared" si="13"/>
        <v>24.521702625968029</v>
      </c>
      <c r="P46" s="90">
        <f t="shared" si="13"/>
        <v>26.021792846437396</v>
      </c>
      <c r="Q46" s="90">
        <f t="shared" si="13"/>
        <v>27.053473119823831</v>
      </c>
      <c r="R46" s="90">
        <f t="shared" si="13"/>
        <v>28.084564198308275</v>
      </c>
      <c r="S46" s="90">
        <f t="shared" si="13"/>
        <v>28.83519850344495</v>
      </c>
      <c r="X46" t="s">
        <v>22</v>
      </c>
      <c r="Y46" t="s">
        <v>12</v>
      </c>
      <c r="Z46">
        <v>1.881</v>
      </c>
    </row>
    <row r="47" spans="1:26">
      <c r="A47">
        <f t="shared" si="0"/>
        <v>2035</v>
      </c>
      <c r="B47" t="str">
        <f t="shared" si="1"/>
        <v>nuclear_fuel</v>
      </c>
      <c r="C47" t="str">
        <f t="shared" si="2"/>
        <v>CH0</v>
      </c>
      <c r="D47" s="90">
        <f t="shared" si="3"/>
        <v>1.881</v>
      </c>
      <c r="E47">
        <f t="shared" si="4"/>
        <v>5</v>
      </c>
      <c r="F47">
        <f t="shared" si="5"/>
        <v>5</v>
      </c>
      <c r="G47">
        <f t="shared" si="6"/>
        <v>1</v>
      </c>
      <c r="I47" t="s">
        <v>15</v>
      </c>
      <c r="J47" t="s">
        <v>20</v>
      </c>
      <c r="K47" t="str">
        <f t="shared" si="11"/>
        <v>DE0-mineral_oil_heavy</v>
      </c>
      <c r="L47" s="90">
        <f t="shared" si="12"/>
        <v>23.305902969622899</v>
      </c>
      <c r="M47" s="90">
        <f t="shared" si="13"/>
        <v>86.877966688393229</v>
      </c>
      <c r="N47" s="90">
        <f t="shared" si="13"/>
        <v>101.97549685701344</v>
      </c>
      <c r="O47" s="90">
        <f t="shared" si="13"/>
        <v>112.3842139955884</v>
      </c>
      <c r="P47" s="90">
        <f t="shared" si="13"/>
        <v>117.16670901505024</v>
      </c>
      <c r="Q47" s="90">
        <f t="shared" si="13"/>
        <v>124.10565737579955</v>
      </c>
      <c r="R47" s="90">
        <f t="shared" si="13"/>
        <v>126.9190630328071</v>
      </c>
      <c r="S47" s="90">
        <f t="shared" si="13"/>
        <v>129.82615067923123</v>
      </c>
      <c r="V47" t="s">
        <v>93</v>
      </c>
      <c r="W47" t="s">
        <v>95</v>
      </c>
      <c r="X47" t="s">
        <v>22</v>
      </c>
      <c r="Y47" t="s">
        <v>14</v>
      </c>
      <c r="Z47">
        <v>1.881</v>
      </c>
    </row>
    <row r="48" spans="1:26">
      <c r="A48">
        <f t="shared" si="0"/>
        <v>2040</v>
      </c>
      <c r="B48" t="str">
        <f t="shared" si="1"/>
        <v>nuclear_fuel</v>
      </c>
      <c r="C48" t="str">
        <f t="shared" si="2"/>
        <v>CH0</v>
      </c>
      <c r="D48" s="90">
        <f t="shared" si="3"/>
        <v>1.881</v>
      </c>
      <c r="E48">
        <f t="shared" si="4"/>
        <v>6</v>
      </c>
      <c r="F48">
        <f t="shared" si="5"/>
        <v>5</v>
      </c>
      <c r="G48">
        <f t="shared" si="6"/>
        <v>1</v>
      </c>
      <c r="I48" t="s">
        <v>15</v>
      </c>
      <c r="J48" t="s">
        <v>21</v>
      </c>
      <c r="K48" t="str">
        <f t="shared" si="11"/>
        <v>DE0-natural_gas</v>
      </c>
      <c r="L48" s="90">
        <f t="shared" si="12"/>
        <v>29.5</v>
      </c>
      <c r="M48" s="90">
        <f t="shared" si="13"/>
        <v>56.30817839348645</v>
      </c>
      <c r="N48" s="90">
        <f t="shared" si="13"/>
        <v>63.059762775402582</v>
      </c>
      <c r="O48" s="90">
        <f t="shared" si="13"/>
        <v>68.592302905099118</v>
      </c>
      <c r="P48" s="90">
        <f t="shared" si="13"/>
        <v>73.281115935144371</v>
      </c>
      <c r="Q48" s="90">
        <f t="shared" si="13"/>
        <v>75.719204439583592</v>
      </c>
      <c r="R48" s="90">
        <f t="shared" si="13"/>
        <v>77.312976649469533</v>
      </c>
      <c r="S48" s="90">
        <f t="shared" si="13"/>
        <v>78.438338912272556</v>
      </c>
      <c r="V48" t="s">
        <v>94</v>
      </c>
      <c r="W48" t="s">
        <v>95</v>
      </c>
      <c r="X48" t="s">
        <v>22</v>
      </c>
      <c r="Y48" t="s">
        <v>15</v>
      </c>
      <c r="Z48">
        <v>1.881</v>
      </c>
    </row>
    <row r="49" spans="1:26">
      <c r="A49">
        <f t="shared" si="0"/>
        <v>2045</v>
      </c>
      <c r="B49" t="str">
        <f t="shared" si="1"/>
        <v>nuclear_fuel</v>
      </c>
      <c r="C49" t="str">
        <f t="shared" si="2"/>
        <v>CH0</v>
      </c>
      <c r="D49" s="90">
        <f t="shared" si="3"/>
        <v>1.881</v>
      </c>
      <c r="E49">
        <f t="shared" si="4"/>
        <v>7</v>
      </c>
      <c r="F49">
        <f t="shared" si="5"/>
        <v>5</v>
      </c>
      <c r="G49">
        <f t="shared" si="6"/>
        <v>1</v>
      </c>
      <c r="I49" t="s">
        <v>17</v>
      </c>
      <c r="J49" t="s">
        <v>18</v>
      </c>
      <c r="K49" t="str">
        <f t="shared" si="11"/>
        <v>IT0-hard_coal</v>
      </c>
      <c r="L49" s="90">
        <f t="shared" si="12"/>
        <v>12.1371685288369</v>
      </c>
      <c r="M49" s="90">
        <f t="shared" si="13"/>
        <v>16.551073991832286</v>
      </c>
      <c r="N49" s="90">
        <f t="shared" si="13"/>
        <v>20.489252716740868</v>
      </c>
      <c r="O49" s="90">
        <f t="shared" si="13"/>
        <v>24.521702625968029</v>
      </c>
      <c r="P49" s="90">
        <f t="shared" si="13"/>
        <v>26.021792846437396</v>
      </c>
      <c r="Q49" s="90">
        <f t="shared" si="13"/>
        <v>27.053473119823831</v>
      </c>
      <c r="R49" s="90">
        <f t="shared" si="13"/>
        <v>28.084564198308275</v>
      </c>
      <c r="S49" s="90">
        <f t="shared" si="13"/>
        <v>28.83519850344495</v>
      </c>
      <c r="V49" t="s">
        <v>96</v>
      </c>
      <c r="W49" t="s">
        <v>95</v>
      </c>
      <c r="X49" t="s">
        <v>22</v>
      </c>
      <c r="Y49" t="s">
        <v>16</v>
      </c>
      <c r="Z49">
        <v>1.881</v>
      </c>
    </row>
    <row r="50" spans="1:26">
      <c r="A50">
        <f t="shared" si="0"/>
        <v>2050</v>
      </c>
      <c r="B50" t="str">
        <f t="shared" si="1"/>
        <v>nuclear_fuel</v>
      </c>
      <c r="C50" t="str">
        <f t="shared" si="2"/>
        <v>CH0</v>
      </c>
      <c r="D50" s="90">
        <f t="shared" si="3"/>
        <v>1.881</v>
      </c>
      <c r="E50">
        <f t="shared" si="4"/>
        <v>8</v>
      </c>
      <c r="F50">
        <f t="shared" si="5"/>
        <v>5</v>
      </c>
      <c r="G50">
        <f t="shared" si="6"/>
        <v>1</v>
      </c>
      <c r="I50" t="s">
        <v>17</v>
      </c>
      <c r="J50" t="s">
        <v>20</v>
      </c>
      <c r="K50" t="str">
        <f t="shared" si="11"/>
        <v>IT0-mineral_oil_heavy</v>
      </c>
      <c r="L50" s="90">
        <f t="shared" si="12"/>
        <v>38.3946500286862</v>
      </c>
      <c r="M50" s="90">
        <f t="shared" si="13"/>
        <v>86.877966688393229</v>
      </c>
      <c r="N50" s="90">
        <f t="shared" si="13"/>
        <v>101.97549685701344</v>
      </c>
      <c r="O50" s="90">
        <f t="shared" si="13"/>
        <v>112.3842139955884</v>
      </c>
      <c r="P50" s="90">
        <f t="shared" si="13"/>
        <v>117.16670901505024</v>
      </c>
      <c r="Q50" s="90">
        <f t="shared" si="13"/>
        <v>124.10565737579955</v>
      </c>
      <c r="R50" s="90">
        <f t="shared" si="13"/>
        <v>126.9190630328071</v>
      </c>
      <c r="S50" s="90">
        <f t="shared" si="13"/>
        <v>129.82615067923123</v>
      </c>
      <c r="X50" t="s">
        <v>22</v>
      </c>
      <c r="Y50" t="s">
        <v>17</v>
      </c>
      <c r="Z50">
        <v>1.881</v>
      </c>
    </row>
    <row r="51" spans="1:26">
      <c r="A51">
        <f t="shared" si="0"/>
        <v>2015</v>
      </c>
      <c r="B51" t="str">
        <f t="shared" si="1"/>
        <v>waste_mix</v>
      </c>
      <c r="C51" t="str">
        <f t="shared" si="2"/>
        <v>CH0</v>
      </c>
      <c r="D51" s="90">
        <f t="shared" si="3"/>
        <v>0.5</v>
      </c>
      <c r="E51">
        <f t="shared" si="4"/>
        <v>1</v>
      </c>
      <c r="F51">
        <f t="shared" si="5"/>
        <v>6</v>
      </c>
      <c r="G51">
        <f t="shared" si="6"/>
        <v>1</v>
      </c>
      <c r="I51" t="s">
        <v>17</v>
      </c>
      <c r="J51" t="s">
        <v>21</v>
      </c>
      <c r="K51" t="str">
        <f t="shared" si="11"/>
        <v>IT0-natural_gas</v>
      </c>
      <c r="L51" s="90">
        <f t="shared" si="12"/>
        <v>41.822222222222202</v>
      </c>
      <c r="M51" s="90">
        <f t="shared" si="13"/>
        <v>56.30817839348645</v>
      </c>
      <c r="N51" s="90">
        <f t="shared" si="13"/>
        <v>63.059762775402582</v>
      </c>
      <c r="O51" s="90">
        <f t="shared" si="13"/>
        <v>68.592302905099118</v>
      </c>
      <c r="P51" s="90">
        <f t="shared" si="13"/>
        <v>73.281115935144371</v>
      </c>
      <c r="Q51" s="90">
        <f t="shared" si="13"/>
        <v>75.719204439583592</v>
      </c>
      <c r="R51" s="90">
        <f t="shared" si="13"/>
        <v>77.312976649469533</v>
      </c>
      <c r="S51" s="90">
        <f t="shared" si="13"/>
        <v>78.438338912272556</v>
      </c>
      <c r="V51" t="s">
        <v>103</v>
      </c>
      <c r="W51" t="s">
        <v>105</v>
      </c>
      <c r="X51" t="s">
        <v>131</v>
      </c>
      <c r="Y51" t="s">
        <v>12</v>
      </c>
      <c r="Z51">
        <v>0</v>
      </c>
    </row>
    <row r="52" spans="1:26">
      <c r="A52">
        <f t="shared" si="0"/>
        <v>2020</v>
      </c>
      <c r="B52" t="str">
        <f t="shared" si="1"/>
        <v>waste_mix</v>
      </c>
      <c r="C52" t="str">
        <f t="shared" si="2"/>
        <v>CH0</v>
      </c>
      <c r="D52" s="90">
        <f t="shared" si="3"/>
        <v>0.5</v>
      </c>
      <c r="E52">
        <f t="shared" si="4"/>
        <v>2</v>
      </c>
      <c r="F52">
        <f t="shared" si="5"/>
        <v>6</v>
      </c>
      <c r="G52">
        <f t="shared" si="6"/>
        <v>1</v>
      </c>
      <c r="I52" t="s">
        <v>16</v>
      </c>
      <c r="J52" t="s">
        <v>18</v>
      </c>
      <c r="K52" t="str">
        <f t="shared" si="11"/>
        <v>FR0-hard_coal</v>
      </c>
      <c r="L52" s="90">
        <f t="shared" si="12"/>
        <v>10.8351179180115</v>
      </c>
      <c r="M52" s="90">
        <f t="shared" si="13"/>
        <v>16.551073991832286</v>
      </c>
      <c r="N52" s="90">
        <f t="shared" si="13"/>
        <v>20.489252716740868</v>
      </c>
      <c r="O52" s="90">
        <f t="shared" si="13"/>
        <v>24.521702625968029</v>
      </c>
      <c r="P52" s="90">
        <f t="shared" si="13"/>
        <v>26.021792846437396</v>
      </c>
      <c r="Q52" s="90">
        <f t="shared" si="13"/>
        <v>27.053473119823831</v>
      </c>
      <c r="R52" s="90">
        <f t="shared" si="13"/>
        <v>28.084564198308275</v>
      </c>
      <c r="S52" s="90">
        <f t="shared" si="13"/>
        <v>28.83519850344495</v>
      </c>
      <c r="V52" t="s">
        <v>104</v>
      </c>
      <c r="W52" t="s">
        <v>105</v>
      </c>
      <c r="X52" t="s">
        <v>131</v>
      </c>
      <c r="Y52" t="s">
        <v>14</v>
      </c>
      <c r="Z52">
        <v>0</v>
      </c>
    </row>
    <row r="53" spans="1:26">
      <c r="A53">
        <f t="shared" si="0"/>
        <v>2025</v>
      </c>
      <c r="B53" t="str">
        <f t="shared" si="1"/>
        <v>waste_mix</v>
      </c>
      <c r="C53" t="str">
        <f t="shared" si="2"/>
        <v>CH0</v>
      </c>
      <c r="D53" s="90">
        <f t="shared" si="3"/>
        <v>0.5</v>
      </c>
      <c r="E53">
        <f t="shared" si="4"/>
        <v>3</v>
      </c>
      <c r="F53">
        <f t="shared" si="5"/>
        <v>6</v>
      </c>
      <c r="G53">
        <f t="shared" si="6"/>
        <v>1</v>
      </c>
      <c r="I53" t="s">
        <v>16</v>
      </c>
      <c r="J53" t="s">
        <v>20</v>
      </c>
      <c r="K53" t="str">
        <f t="shared" si="11"/>
        <v>FR0-mineral_oil_heavy</v>
      </c>
      <c r="L53" s="90">
        <f t="shared" si="12"/>
        <v>32.7896200185357</v>
      </c>
      <c r="M53" s="90">
        <f t="shared" si="13"/>
        <v>86.877966688393229</v>
      </c>
      <c r="N53" s="90">
        <f t="shared" si="13"/>
        <v>101.97549685701344</v>
      </c>
      <c r="O53" s="90">
        <f t="shared" si="13"/>
        <v>112.3842139955884</v>
      </c>
      <c r="P53" s="90">
        <f t="shared" si="13"/>
        <v>117.16670901505024</v>
      </c>
      <c r="Q53" s="90">
        <f t="shared" si="13"/>
        <v>124.10565737579955</v>
      </c>
      <c r="R53" s="90">
        <f t="shared" si="13"/>
        <v>126.9190630328071</v>
      </c>
      <c r="S53" s="90">
        <f t="shared" si="13"/>
        <v>129.82615067923123</v>
      </c>
      <c r="V53" t="s">
        <v>106</v>
      </c>
      <c r="W53" t="s">
        <v>105</v>
      </c>
      <c r="X53" t="s">
        <v>131</v>
      </c>
      <c r="Y53" t="s">
        <v>15</v>
      </c>
      <c r="Z53">
        <v>0</v>
      </c>
    </row>
    <row r="54" spans="1:26">
      <c r="A54">
        <f t="shared" si="0"/>
        <v>2030</v>
      </c>
      <c r="B54" t="str">
        <f t="shared" si="1"/>
        <v>waste_mix</v>
      </c>
      <c r="C54" t="str">
        <f t="shared" si="2"/>
        <v>CH0</v>
      </c>
      <c r="D54" s="90">
        <f t="shared" si="3"/>
        <v>0.5</v>
      </c>
      <c r="E54">
        <f t="shared" si="4"/>
        <v>4</v>
      </c>
      <c r="F54">
        <f t="shared" si="5"/>
        <v>6</v>
      </c>
      <c r="G54">
        <f t="shared" si="6"/>
        <v>1</v>
      </c>
      <c r="I54" t="s">
        <v>16</v>
      </c>
      <c r="J54" t="s">
        <v>21</v>
      </c>
      <c r="K54" t="str">
        <f t="shared" si="11"/>
        <v>FR0-natural_gas</v>
      </c>
      <c r="L54" s="90">
        <f t="shared" si="12"/>
        <v>42.2</v>
      </c>
      <c r="M54" s="90">
        <f t="shared" si="13"/>
        <v>56.30817839348645</v>
      </c>
      <c r="N54" s="90">
        <f t="shared" si="13"/>
        <v>63.059762775402582</v>
      </c>
      <c r="O54" s="90">
        <f t="shared" si="13"/>
        <v>68.592302905099118</v>
      </c>
      <c r="P54" s="90">
        <f t="shared" si="13"/>
        <v>73.281115935144371</v>
      </c>
      <c r="Q54" s="90">
        <f t="shared" si="13"/>
        <v>75.719204439583592</v>
      </c>
      <c r="R54" s="90">
        <f t="shared" si="13"/>
        <v>77.312976649469533</v>
      </c>
      <c r="S54" s="90">
        <f t="shared" si="13"/>
        <v>78.438338912272556</v>
      </c>
      <c r="V54" t="s">
        <v>107</v>
      </c>
      <c r="W54" t="s">
        <v>105</v>
      </c>
      <c r="X54" t="s">
        <v>131</v>
      </c>
      <c r="Y54" t="s">
        <v>16</v>
      </c>
      <c r="Z54">
        <v>0</v>
      </c>
    </row>
    <row r="55" spans="1:26">
      <c r="A55">
        <f t="shared" si="0"/>
        <v>2035</v>
      </c>
      <c r="B55" t="str">
        <f t="shared" si="1"/>
        <v>waste_mix</v>
      </c>
      <c r="C55" t="str">
        <f t="shared" si="2"/>
        <v>CH0</v>
      </c>
      <c r="D55" s="90">
        <f t="shared" si="3"/>
        <v>0.5</v>
      </c>
      <c r="E55">
        <f t="shared" si="4"/>
        <v>5</v>
      </c>
      <c r="F55">
        <f t="shared" si="5"/>
        <v>6</v>
      </c>
      <c r="G55">
        <f t="shared" si="6"/>
        <v>1</v>
      </c>
      <c r="I55" t="s">
        <v>14</v>
      </c>
      <c r="J55" t="s">
        <v>18</v>
      </c>
      <c r="K55" t="str">
        <f t="shared" si="11"/>
        <v>CH0-hard_coal</v>
      </c>
      <c r="L55" s="90">
        <f t="shared" si="12"/>
        <v>0</v>
      </c>
      <c r="M55" s="90">
        <f t="shared" si="13"/>
        <v>16.551073991832286</v>
      </c>
      <c r="N55" s="90">
        <f t="shared" si="13"/>
        <v>20.489252716740868</v>
      </c>
      <c r="O55" s="90">
        <f t="shared" si="13"/>
        <v>24.521702625968029</v>
      </c>
      <c r="P55" s="90">
        <f t="shared" si="13"/>
        <v>26.021792846437396</v>
      </c>
      <c r="Q55" s="90">
        <f t="shared" si="13"/>
        <v>27.053473119823831</v>
      </c>
      <c r="R55" s="90">
        <f t="shared" si="13"/>
        <v>28.084564198308275</v>
      </c>
      <c r="S55" s="90">
        <f t="shared" si="13"/>
        <v>28.83519850344495</v>
      </c>
      <c r="V55" t="s">
        <v>108</v>
      </c>
      <c r="W55" t="s">
        <v>105</v>
      </c>
      <c r="X55" t="s">
        <v>131</v>
      </c>
      <c r="Y55" t="s">
        <v>17</v>
      </c>
      <c r="Z55">
        <v>0</v>
      </c>
    </row>
    <row r="56" spans="1:26">
      <c r="A56">
        <f t="shared" si="0"/>
        <v>2040</v>
      </c>
      <c r="B56" t="str">
        <f t="shared" si="1"/>
        <v>waste_mix</v>
      </c>
      <c r="C56" t="str">
        <f t="shared" si="2"/>
        <v>CH0</v>
      </c>
      <c r="D56" s="90">
        <f t="shared" si="3"/>
        <v>0.5</v>
      </c>
      <c r="E56">
        <f t="shared" si="4"/>
        <v>6</v>
      </c>
      <c r="F56">
        <f t="shared" si="5"/>
        <v>6</v>
      </c>
      <c r="G56">
        <f t="shared" si="6"/>
        <v>1</v>
      </c>
      <c r="I56" t="s">
        <v>14</v>
      </c>
      <c r="J56" t="s">
        <v>20</v>
      </c>
      <c r="K56" t="str">
        <f t="shared" si="11"/>
        <v>CH0-mineral_oil_heavy</v>
      </c>
      <c r="L56" s="90">
        <f t="shared" si="12"/>
        <v>29.241509433962261</v>
      </c>
      <c r="M56" s="90">
        <f t="shared" si="13"/>
        <v>86.877966688393229</v>
      </c>
      <c r="N56" s="90">
        <f t="shared" si="13"/>
        <v>101.97549685701344</v>
      </c>
      <c r="O56" s="90">
        <f t="shared" si="13"/>
        <v>112.3842139955884</v>
      </c>
      <c r="P56" s="90">
        <f t="shared" si="13"/>
        <v>117.16670901505024</v>
      </c>
      <c r="Q56" s="90">
        <f t="shared" si="13"/>
        <v>124.10565737579955</v>
      </c>
      <c r="R56" s="90">
        <f t="shared" si="13"/>
        <v>126.9190630328071</v>
      </c>
      <c r="S56" s="90">
        <f t="shared" si="13"/>
        <v>129.82615067923123</v>
      </c>
      <c r="V56" t="s">
        <v>86</v>
      </c>
      <c r="W56" t="s">
        <v>85</v>
      </c>
      <c r="X56" t="s">
        <v>132</v>
      </c>
      <c r="Y56" t="s">
        <v>12</v>
      </c>
      <c r="Z56">
        <v>0</v>
      </c>
    </row>
    <row r="57" spans="1:26">
      <c r="A57">
        <f t="shared" si="0"/>
        <v>2045</v>
      </c>
      <c r="B57" t="str">
        <f t="shared" si="1"/>
        <v>waste_mix</v>
      </c>
      <c r="C57" t="str">
        <f t="shared" si="2"/>
        <v>CH0</v>
      </c>
      <c r="D57" s="90">
        <f t="shared" si="3"/>
        <v>0.5</v>
      </c>
      <c r="E57">
        <f t="shared" si="4"/>
        <v>7</v>
      </c>
      <c r="F57">
        <f t="shared" si="5"/>
        <v>6</v>
      </c>
      <c r="G57">
        <f t="shared" si="6"/>
        <v>1</v>
      </c>
      <c r="I57" t="s">
        <v>14</v>
      </c>
      <c r="J57" t="s">
        <v>21</v>
      </c>
      <c r="K57" t="str">
        <f t="shared" si="11"/>
        <v>CH0-natural_gas</v>
      </c>
      <c r="L57" s="90">
        <f t="shared" si="12"/>
        <v>63.29</v>
      </c>
      <c r="M57" s="90">
        <f t="shared" si="13"/>
        <v>56.30817839348645</v>
      </c>
      <c r="N57" s="90">
        <f t="shared" si="13"/>
        <v>63.059762775402582</v>
      </c>
      <c r="O57" s="90">
        <f t="shared" si="13"/>
        <v>68.592302905099118</v>
      </c>
      <c r="P57" s="90">
        <f t="shared" si="13"/>
        <v>73.281115935144371</v>
      </c>
      <c r="Q57" s="90">
        <f t="shared" si="13"/>
        <v>75.719204439583592</v>
      </c>
      <c r="R57" s="90">
        <f t="shared" si="13"/>
        <v>77.312976649469533</v>
      </c>
      <c r="S57" s="90">
        <f t="shared" si="13"/>
        <v>78.438338912272556</v>
      </c>
      <c r="V57" t="s">
        <v>87</v>
      </c>
      <c r="W57" t="s">
        <v>85</v>
      </c>
      <c r="X57" t="s">
        <v>132</v>
      </c>
      <c r="Y57" t="s">
        <v>14</v>
      </c>
      <c r="Z57">
        <v>0</v>
      </c>
    </row>
    <row r="58" spans="1:26">
      <c r="A58">
        <f t="shared" si="0"/>
        <v>2050</v>
      </c>
      <c r="B58" t="str">
        <f t="shared" si="1"/>
        <v>waste_mix</v>
      </c>
      <c r="C58" t="str">
        <f t="shared" si="2"/>
        <v>CH0</v>
      </c>
      <c r="D58" s="90">
        <f t="shared" si="3"/>
        <v>0.5</v>
      </c>
      <c r="E58">
        <f t="shared" si="4"/>
        <v>8</v>
      </c>
      <c r="F58">
        <f t="shared" si="5"/>
        <v>6</v>
      </c>
      <c r="G58">
        <f t="shared" si="6"/>
        <v>1</v>
      </c>
      <c r="V58" t="s">
        <v>88</v>
      </c>
      <c r="W58" t="s">
        <v>85</v>
      </c>
      <c r="X58" t="s">
        <v>132</v>
      </c>
      <c r="Y58" t="s">
        <v>15</v>
      </c>
      <c r="Z58">
        <v>0</v>
      </c>
    </row>
    <row r="59" spans="1:26">
      <c r="A59">
        <f t="shared" si="0"/>
        <v>2015</v>
      </c>
      <c r="B59" t="str">
        <f t="shared" si="1"/>
        <v>bio_all</v>
      </c>
      <c r="C59" t="str">
        <f t="shared" si="2"/>
        <v>CH0</v>
      </c>
      <c r="D59" s="90">
        <f t="shared" si="3"/>
        <v>1</v>
      </c>
      <c r="E59">
        <f t="shared" si="4"/>
        <v>1</v>
      </c>
      <c r="F59">
        <f t="shared" si="5"/>
        <v>7</v>
      </c>
      <c r="G59">
        <f t="shared" si="6"/>
        <v>1</v>
      </c>
      <c r="V59" t="s">
        <v>89</v>
      </c>
      <c r="W59" t="s">
        <v>85</v>
      </c>
      <c r="X59" t="s">
        <v>132</v>
      </c>
      <c r="Y59" t="s">
        <v>16</v>
      </c>
      <c r="Z59">
        <v>0</v>
      </c>
    </row>
    <row r="60" spans="1:26">
      <c r="A60">
        <f t="shared" si="0"/>
        <v>2020</v>
      </c>
      <c r="B60" t="str">
        <f t="shared" si="1"/>
        <v>bio_all</v>
      </c>
      <c r="C60" t="str">
        <f t="shared" si="2"/>
        <v>CH0</v>
      </c>
      <c r="D60" s="90">
        <f t="shared" si="3"/>
        <v>1</v>
      </c>
      <c r="E60">
        <f t="shared" si="4"/>
        <v>2</v>
      </c>
      <c r="F60">
        <f t="shared" si="5"/>
        <v>7</v>
      </c>
      <c r="G60">
        <f t="shared" si="6"/>
        <v>1</v>
      </c>
      <c r="I60" t="s">
        <v>15</v>
      </c>
      <c r="J60" t="s">
        <v>19</v>
      </c>
      <c r="K60" t="str">
        <f>I60&amp;"-"&amp;J60</f>
        <v>DE0-lignite</v>
      </c>
      <c r="L60" s="90">
        <f t="shared" ref="L60:S60" si="14">INDEX($L$19:$P$25,MATCH($J60,$K$19:$K$25,0),MATCH($I60,$L$18:$P$18,0))</f>
        <v>1.44</v>
      </c>
      <c r="M60" s="90">
        <f t="shared" si="14"/>
        <v>1.44</v>
      </c>
      <c r="N60" s="90">
        <f t="shared" si="14"/>
        <v>1.44</v>
      </c>
      <c r="O60" s="90">
        <f t="shared" si="14"/>
        <v>1.44</v>
      </c>
      <c r="P60" s="90">
        <f t="shared" si="14"/>
        <v>1.44</v>
      </c>
      <c r="Q60" s="90">
        <f t="shared" si="14"/>
        <v>1.44</v>
      </c>
      <c r="R60" s="90">
        <f t="shared" si="14"/>
        <v>1.44</v>
      </c>
      <c r="S60" s="90">
        <f t="shared" si="14"/>
        <v>1.44</v>
      </c>
      <c r="V60" t="s">
        <v>90</v>
      </c>
      <c r="W60" t="s">
        <v>85</v>
      </c>
      <c r="X60" t="s">
        <v>132</v>
      </c>
      <c r="Y60" t="s">
        <v>17</v>
      </c>
      <c r="Z60">
        <v>0</v>
      </c>
    </row>
    <row r="61" spans="1:26">
      <c r="A61">
        <f t="shared" si="0"/>
        <v>2025</v>
      </c>
      <c r="B61" t="str">
        <f t="shared" si="1"/>
        <v>bio_all</v>
      </c>
      <c r="C61" t="str">
        <f t="shared" si="2"/>
        <v>CH0</v>
      </c>
      <c r="D61" s="90">
        <f t="shared" si="3"/>
        <v>1</v>
      </c>
      <c r="E61">
        <f t="shared" si="4"/>
        <v>3</v>
      </c>
      <c r="F61">
        <f t="shared" si="5"/>
        <v>7</v>
      </c>
      <c r="G61">
        <f t="shared" si="6"/>
        <v>1</v>
      </c>
      <c r="V61" t="s">
        <v>73</v>
      </c>
      <c r="W61" t="s">
        <v>75</v>
      </c>
      <c r="X61" t="s">
        <v>25</v>
      </c>
      <c r="Y61" t="s">
        <v>12</v>
      </c>
      <c r="Z61">
        <v>0</v>
      </c>
    </row>
    <row r="62" spans="1:26">
      <c r="A62">
        <f t="shared" si="0"/>
        <v>2030</v>
      </c>
      <c r="B62" t="str">
        <f t="shared" si="1"/>
        <v>bio_all</v>
      </c>
      <c r="C62" t="str">
        <f t="shared" si="2"/>
        <v>CH0</v>
      </c>
      <c r="D62" s="90">
        <f t="shared" si="3"/>
        <v>1</v>
      </c>
      <c r="E62">
        <f t="shared" si="4"/>
        <v>4</v>
      </c>
      <c r="F62">
        <f t="shared" si="5"/>
        <v>7</v>
      </c>
      <c r="G62">
        <f t="shared" si="6"/>
        <v>1</v>
      </c>
      <c r="I62" t="s">
        <v>15</v>
      </c>
      <c r="J62" t="s">
        <v>22</v>
      </c>
      <c r="K62" t="str">
        <f>I62&amp;"-"&amp;J62</f>
        <v>DE0-nuclear_fuel</v>
      </c>
      <c r="L62" s="90">
        <f t="shared" ref="L62:S64" si="15">INDEX($L$19:$P$25,MATCH($J62,$K$19:$K$25,0),MATCH($I62,$L$18:$P$18,0))</f>
        <v>1.881</v>
      </c>
      <c r="M62" s="90">
        <f t="shared" si="15"/>
        <v>1.881</v>
      </c>
      <c r="N62" s="90">
        <f t="shared" si="15"/>
        <v>1.881</v>
      </c>
      <c r="O62" s="90">
        <f t="shared" si="15"/>
        <v>1.881</v>
      </c>
      <c r="P62" s="90">
        <f t="shared" si="15"/>
        <v>1.881</v>
      </c>
      <c r="Q62" s="90">
        <f t="shared" si="15"/>
        <v>1.881</v>
      </c>
      <c r="R62" s="90">
        <f t="shared" si="15"/>
        <v>1.881</v>
      </c>
      <c r="S62" s="90">
        <f t="shared" si="15"/>
        <v>1.881</v>
      </c>
      <c r="V62" t="s">
        <v>74</v>
      </c>
      <c r="W62" t="s">
        <v>75</v>
      </c>
      <c r="X62" t="s">
        <v>25</v>
      </c>
      <c r="Y62" t="s">
        <v>14</v>
      </c>
      <c r="Z62">
        <v>0</v>
      </c>
    </row>
    <row r="63" spans="1:26">
      <c r="A63">
        <f t="shared" si="0"/>
        <v>2035</v>
      </c>
      <c r="B63" t="str">
        <f t="shared" si="1"/>
        <v>bio_all</v>
      </c>
      <c r="C63" t="str">
        <f t="shared" si="2"/>
        <v>CH0</v>
      </c>
      <c r="D63" s="90">
        <f t="shared" si="3"/>
        <v>1</v>
      </c>
      <c r="E63">
        <f t="shared" si="4"/>
        <v>5</v>
      </c>
      <c r="F63">
        <f t="shared" si="5"/>
        <v>7</v>
      </c>
      <c r="G63">
        <f t="shared" si="6"/>
        <v>1</v>
      </c>
      <c r="I63" t="s">
        <v>16</v>
      </c>
      <c r="J63" t="s">
        <v>22</v>
      </c>
      <c r="K63" t="str">
        <f>I63&amp;"-"&amp;J63</f>
        <v>FR0-nuclear_fuel</v>
      </c>
      <c r="L63" s="90">
        <f t="shared" si="15"/>
        <v>1.881</v>
      </c>
      <c r="M63" s="90">
        <f t="shared" si="15"/>
        <v>1.881</v>
      </c>
      <c r="N63" s="90">
        <f t="shared" si="15"/>
        <v>1.881</v>
      </c>
      <c r="O63" s="90">
        <f t="shared" si="15"/>
        <v>1.881</v>
      </c>
      <c r="P63" s="90">
        <f t="shared" si="15"/>
        <v>1.881</v>
      </c>
      <c r="Q63" s="90">
        <f t="shared" si="15"/>
        <v>1.881</v>
      </c>
      <c r="R63" s="90">
        <f t="shared" si="15"/>
        <v>1.881</v>
      </c>
      <c r="S63" s="90">
        <f t="shared" si="15"/>
        <v>1.881</v>
      </c>
      <c r="V63" t="s">
        <v>76</v>
      </c>
      <c r="W63" t="s">
        <v>75</v>
      </c>
      <c r="X63" t="s">
        <v>25</v>
      </c>
      <c r="Y63" t="s">
        <v>15</v>
      </c>
      <c r="Z63">
        <v>0</v>
      </c>
    </row>
    <row r="64" spans="1:26">
      <c r="A64">
        <f t="shared" si="0"/>
        <v>2040</v>
      </c>
      <c r="B64" t="str">
        <f t="shared" si="1"/>
        <v>bio_all</v>
      </c>
      <c r="C64" t="str">
        <f t="shared" si="2"/>
        <v>CH0</v>
      </c>
      <c r="D64" s="90">
        <f t="shared" si="3"/>
        <v>1</v>
      </c>
      <c r="E64">
        <f t="shared" si="4"/>
        <v>6</v>
      </c>
      <c r="F64">
        <f t="shared" si="5"/>
        <v>7</v>
      </c>
      <c r="G64">
        <f t="shared" si="6"/>
        <v>1</v>
      </c>
      <c r="I64" t="s">
        <v>14</v>
      </c>
      <c r="J64" t="s">
        <v>22</v>
      </c>
      <c r="K64" t="str">
        <f>I64&amp;"-"&amp;J64</f>
        <v>CH0-nuclear_fuel</v>
      </c>
      <c r="L64" s="90">
        <f t="shared" si="15"/>
        <v>1.881</v>
      </c>
      <c r="M64" s="90">
        <f t="shared" si="15"/>
        <v>1.881</v>
      </c>
      <c r="N64" s="90">
        <f t="shared" si="15"/>
        <v>1.881</v>
      </c>
      <c r="O64" s="90">
        <f t="shared" si="15"/>
        <v>1.881</v>
      </c>
      <c r="P64" s="90">
        <f t="shared" si="15"/>
        <v>1.881</v>
      </c>
      <c r="Q64" s="90">
        <f t="shared" si="15"/>
        <v>1.881</v>
      </c>
      <c r="R64" s="90">
        <f t="shared" si="15"/>
        <v>1.881</v>
      </c>
      <c r="S64" s="90">
        <f t="shared" si="15"/>
        <v>1.881</v>
      </c>
      <c r="V64" t="s">
        <v>77</v>
      </c>
      <c r="W64" t="s">
        <v>75</v>
      </c>
      <c r="X64" t="s">
        <v>25</v>
      </c>
      <c r="Y64" t="s">
        <v>16</v>
      </c>
      <c r="Z64">
        <v>0</v>
      </c>
    </row>
    <row r="65" spans="1:26">
      <c r="A65">
        <f t="shared" si="0"/>
        <v>2045</v>
      </c>
      <c r="B65" t="str">
        <f t="shared" si="1"/>
        <v>bio_all</v>
      </c>
      <c r="C65" t="str">
        <f t="shared" si="2"/>
        <v>CH0</v>
      </c>
      <c r="D65" s="90">
        <f t="shared" si="3"/>
        <v>1</v>
      </c>
      <c r="E65">
        <f t="shared" si="4"/>
        <v>7</v>
      </c>
      <c r="F65">
        <f t="shared" si="5"/>
        <v>7</v>
      </c>
      <c r="G65">
        <f t="shared" si="6"/>
        <v>1</v>
      </c>
      <c r="V65" t="s">
        <v>78</v>
      </c>
      <c r="W65" t="s">
        <v>75</v>
      </c>
      <c r="X65" t="s">
        <v>25</v>
      </c>
      <c r="Y65" t="s">
        <v>17</v>
      </c>
      <c r="Z65">
        <v>0</v>
      </c>
    </row>
    <row r="66" spans="1:26">
      <c r="A66">
        <f t="shared" si="0"/>
        <v>2050</v>
      </c>
      <c r="B66" t="str">
        <f t="shared" si="1"/>
        <v>bio_all</v>
      </c>
      <c r="C66" t="str">
        <f t="shared" si="2"/>
        <v>CH0</v>
      </c>
      <c r="D66" s="90">
        <f t="shared" si="3"/>
        <v>1</v>
      </c>
      <c r="E66">
        <f t="shared" si="4"/>
        <v>8</v>
      </c>
      <c r="F66">
        <f t="shared" si="5"/>
        <v>7</v>
      </c>
      <c r="G66">
        <f t="shared" si="6"/>
        <v>1</v>
      </c>
      <c r="I66" t="s">
        <v>15</v>
      </c>
      <c r="J66" t="s">
        <v>24</v>
      </c>
      <c r="K66" t="str">
        <f>I66&amp;"-"&amp;J66</f>
        <v>DE0-waste_mix</v>
      </c>
      <c r="L66" s="90">
        <f t="shared" ref="L66:S70" si="16">INDEX($L$19:$P$25,MATCH($J66,$K$19:$K$25,0),MATCH($I66,$L$18:$P$18,0))</f>
        <v>0.5</v>
      </c>
      <c r="M66" s="90">
        <f t="shared" si="16"/>
        <v>0.5</v>
      </c>
      <c r="N66" s="90">
        <f t="shared" si="16"/>
        <v>0.5</v>
      </c>
      <c r="O66" s="90">
        <f t="shared" si="16"/>
        <v>0.5</v>
      </c>
      <c r="P66" s="90">
        <f t="shared" si="16"/>
        <v>0.5</v>
      </c>
      <c r="Q66" s="90">
        <f t="shared" si="16"/>
        <v>0.5</v>
      </c>
      <c r="R66" s="90">
        <f t="shared" si="16"/>
        <v>0.5</v>
      </c>
      <c r="S66" s="90">
        <f t="shared" si="16"/>
        <v>0.5</v>
      </c>
      <c r="V66" t="s">
        <v>79</v>
      </c>
      <c r="W66" t="s">
        <v>80</v>
      </c>
      <c r="X66" t="s">
        <v>26</v>
      </c>
      <c r="Y66" t="s">
        <v>12</v>
      </c>
      <c r="Z66">
        <v>0</v>
      </c>
    </row>
    <row r="67" spans="1:26">
      <c r="A67">
        <f t="shared" si="0"/>
        <v>2015</v>
      </c>
      <c r="B67" t="str">
        <f t="shared" si="1"/>
        <v>lost_load</v>
      </c>
      <c r="C67" t="str">
        <f t="shared" si="2"/>
        <v>CH0</v>
      </c>
      <c r="D67" s="90">
        <f t="shared" si="3"/>
        <v>300</v>
      </c>
      <c r="E67">
        <f t="shared" si="4"/>
        <v>1</v>
      </c>
      <c r="F67">
        <f t="shared" si="5"/>
        <v>8</v>
      </c>
      <c r="G67">
        <f t="shared" si="6"/>
        <v>1</v>
      </c>
      <c r="I67" t="s">
        <v>16</v>
      </c>
      <c r="J67" t="s">
        <v>24</v>
      </c>
      <c r="K67" t="str">
        <f>I67&amp;"-"&amp;J67</f>
        <v>FR0-waste_mix</v>
      </c>
      <c r="L67" s="90">
        <f t="shared" si="16"/>
        <v>0.5</v>
      </c>
      <c r="M67" s="90">
        <f t="shared" si="16"/>
        <v>0.5</v>
      </c>
      <c r="N67" s="90">
        <f t="shared" si="16"/>
        <v>0.5</v>
      </c>
      <c r="O67" s="90">
        <f t="shared" si="16"/>
        <v>0.5</v>
      </c>
      <c r="P67" s="90">
        <f t="shared" si="16"/>
        <v>0.5</v>
      </c>
      <c r="Q67" s="90">
        <f t="shared" si="16"/>
        <v>0.5</v>
      </c>
      <c r="R67" s="90">
        <f t="shared" si="16"/>
        <v>0.5</v>
      </c>
      <c r="S67" s="90">
        <f t="shared" si="16"/>
        <v>0.5</v>
      </c>
      <c r="V67" t="s">
        <v>81</v>
      </c>
      <c r="W67" t="s">
        <v>80</v>
      </c>
      <c r="X67" t="s">
        <v>26</v>
      </c>
      <c r="Y67" t="s">
        <v>14</v>
      </c>
      <c r="Z67">
        <v>0</v>
      </c>
    </row>
    <row r="68" spans="1:26">
      <c r="A68">
        <f t="shared" si="0"/>
        <v>2020</v>
      </c>
      <c r="B68" t="str">
        <f t="shared" si="1"/>
        <v>lost_load</v>
      </c>
      <c r="C68" t="str">
        <f t="shared" si="2"/>
        <v>CH0</v>
      </c>
      <c r="D68" s="90">
        <f t="shared" si="3"/>
        <v>300</v>
      </c>
      <c r="E68">
        <f t="shared" si="4"/>
        <v>2</v>
      </c>
      <c r="F68">
        <f t="shared" si="5"/>
        <v>8</v>
      </c>
      <c r="G68">
        <f t="shared" si="6"/>
        <v>1</v>
      </c>
      <c r="I68" t="s">
        <v>14</v>
      </c>
      <c r="J68" t="s">
        <v>24</v>
      </c>
      <c r="K68" t="str">
        <f>I68&amp;"-"&amp;J68</f>
        <v>CH0-waste_mix</v>
      </c>
      <c r="L68" s="90">
        <f t="shared" si="16"/>
        <v>0.5</v>
      </c>
      <c r="M68" s="90">
        <f t="shared" si="16"/>
        <v>0.5</v>
      </c>
      <c r="N68" s="90">
        <f t="shared" si="16"/>
        <v>0.5</v>
      </c>
      <c r="O68" s="90">
        <f t="shared" si="16"/>
        <v>0.5</v>
      </c>
      <c r="P68" s="90">
        <f t="shared" si="16"/>
        <v>0.5</v>
      </c>
      <c r="Q68" s="90">
        <f t="shared" si="16"/>
        <v>0.5</v>
      </c>
      <c r="R68" s="90">
        <f t="shared" si="16"/>
        <v>0.5</v>
      </c>
      <c r="S68" s="90">
        <f t="shared" si="16"/>
        <v>0.5</v>
      </c>
      <c r="V68" t="s">
        <v>82</v>
      </c>
      <c r="W68" t="s">
        <v>80</v>
      </c>
      <c r="X68" t="s">
        <v>26</v>
      </c>
      <c r="Y68" t="s">
        <v>15</v>
      </c>
      <c r="Z68">
        <v>0</v>
      </c>
    </row>
    <row r="69" spans="1:26">
      <c r="A69">
        <f t="shared" si="0"/>
        <v>2025</v>
      </c>
      <c r="B69" t="str">
        <f t="shared" si="1"/>
        <v>lost_load</v>
      </c>
      <c r="C69" t="str">
        <f t="shared" si="2"/>
        <v>CH0</v>
      </c>
      <c r="D69" s="90">
        <f t="shared" si="3"/>
        <v>300</v>
      </c>
      <c r="E69">
        <f t="shared" si="4"/>
        <v>3</v>
      </c>
      <c r="F69">
        <f t="shared" si="5"/>
        <v>8</v>
      </c>
      <c r="G69">
        <f t="shared" si="6"/>
        <v>1</v>
      </c>
      <c r="I69" t="s">
        <v>12</v>
      </c>
      <c r="J69" t="s">
        <v>24</v>
      </c>
      <c r="K69" t="str">
        <f>I69&amp;"-"&amp;J69</f>
        <v>AT0-waste_mix</v>
      </c>
      <c r="L69" s="90">
        <f t="shared" si="16"/>
        <v>0.5</v>
      </c>
      <c r="M69" s="90">
        <f t="shared" si="16"/>
        <v>0.5</v>
      </c>
      <c r="N69" s="90">
        <f t="shared" si="16"/>
        <v>0.5</v>
      </c>
      <c r="O69" s="90">
        <f t="shared" si="16"/>
        <v>0.5</v>
      </c>
      <c r="P69" s="90">
        <f t="shared" si="16"/>
        <v>0.5</v>
      </c>
      <c r="Q69" s="90">
        <f t="shared" si="16"/>
        <v>0.5</v>
      </c>
      <c r="R69" s="90">
        <f t="shared" si="16"/>
        <v>0.5</v>
      </c>
      <c r="S69" s="90">
        <f t="shared" si="16"/>
        <v>0.5</v>
      </c>
      <c r="V69" t="s">
        <v>83</v>
      </c>
      <c r="W69" t="s">
        <v>80</v>
      </c>
      <c r="X69" t="s">
        <v>26</v>
      </c>
      <c r="Y69" t="s">
        <v>16</v>
      </c>
      <c r="Z69">
        <v>0</v>
      </c>
    </row>
    <row r="70" spans="1:26">
      <c r="A70">
        <f t="shared" si="0"/>
        <v>2030</v>
      </c>
      <c r="B70" t="str">
        <f t="shared" si="1"/>
        <v>lost_load</v>
      </c>
      <c r="C70" t="str">
        <f t="shared" si="2"/>
        <v>CH0</v>
      </c>
      <c r="D70" s="90">
        <f t="shared" si="3"/>
        <v>300</v>
      </c>
      <c r="E70">
        <f t="shared" si="4"/>
        <v>4</v>
      </c>
      <c r="F70">
        <f t="shared" si="5"/>
        <v>8</v>
      </c>
      <c r="G70">
        <f t="shared" si="6"/>
        <v>1</v>
      </c>
      <c r="I70" t="s">
        <v>17</v>
      </c>
      <c r="J70" t="s">
        <v>24</v>
      </c>
      <c r="K70" t="str">
        <f>I70&amp;"-"&amp;J70</f>
        <v>IT0-waste_mix</v>
      </c>
      <c r="L70" s="90">
        <f t="shared" si="16"/>
        <v>0.5</v>
      </c>
      <c r="M70" s="90">
        <f t="shared" si="16"/>
        <v>0.5</v>
      </c>
      <c r="N70" s="90">
        <f t="shared" si="16"/>
        <v>0.5</v>
      </c>
      <c r="O70" s="90">
        <f t="shared" si="16"/>
        <v>0.5</v>
      </c>
      <c r="P70" s="90">
        <f t="shared" si="16"/>
        <v>0.5</v>
      </c>
      <c r="Q70" s="90">
        <f t="shared" si="16"/>
        <v>0.5</v>
      </c>
      <c r="R70" s="90">
        <f t="shared" si="16"/>
        <v>0.5</v>
      </c>
      <c r="S70" s="90">
        <f t="shared" si="16"/>
        <v>0.5</v>
      </c>
      <c r="V70" t="s">
        <v>84</v>
      </c>
      <c r="W70" t="s">
        <v>80</v>
      </c>
      <c r="X70" t="s">
        <v>26</v>
      </c>
      <c r="Y70" t="s">
        <v>17</v>
      </c>
      <c r="Z70">
        <v>0</v>
      </c>
    </row>
    <row r="71" spans="1:26">
      <c r="A71">
        <f t="shared" si="0"/>
        <v>2035</v>
      </c>
      <c r="B71" t="str">
        <f t="shared" si="1"/>
        <v>lost_load</v>
      </c>
      <c r="C71" t="str">
        <f t="shared" si="2"/>
        <v>CH0</v>
      </c>
      <c r="D71" s="90">
        <f t="shared" si="3"/>
        <v>300</v>
      </c>
      <c r="E71">
        <f t="shared" si="4"/>
        <v>5</v>
      </c>
      <c r="F71">
        <f t="shared" si="5"/>
        <v>8</v>
      </c>
      <c r="G71">
        <f t="shared" si="6"/>
        <v>1</v>
      </c>
      <c r="V71" t="s">
        <v>133</v>
      </c>
      <c r="W71" t="s">
        <v>134</v>
      </c>
      <c r="X71" t="s">
        <v>135</v>
      </c>
      <c r="Y71" t="s">
        <v>12</v>
      </c>
      <c r="Z71">
        <v>200</v>
      </c>
    </row>
    <row r="72" spans="1:26">
      <c r="A72">
        <f t="shared" si="0"/>
        <v>2040</v>
      </c>
      <c r="B72" t="str">
        <f t="shared" si="1"/>
        <v>lost_load</v>
      </c>
      <c r="C72" t="str">
        <f t="shared" si="2"/>
        <v>CH0</v>
      </c>
      <c r="D72" s="90">
        <f t="shared" si="3"/>
        <v>300</v>
      </c>
      <c r="E72">
        <f t="shared" si="4"/>
        <v>6</v>
      </c>
      <c r="F72">
        <f t="shared" si="5"/>
        <v>8</v>
      </c>
      <c r="G72">
        <f t="shared" si="6"/>
        <v>1</v>
      </c>
      <c r="I72" t="s">
        <v>15</v>
      </c>
      <c r="J72" t="s">
        <v>11</v>
      </c>
      <c r="K72" t="str">
        <f>I72&amp;"-"&amp;J72</f>
        <v>DE0-bio_all</v>
      </c>
      <c r="L72" s="90">
        <f t="shared" ref="L72:S76" si="17">INDEX($L$19:$P$25,MATCH($J72,$K$19:$K$25,0),MATCH($I72,$L$18:$P$18,0))</f>
        <v>1</v>
      </c>
      <c r="M72" s="90">
        <f t="shared" si="17"/>
        <v>1</v>
      </c>
      <c r="N72" s="90">
        <f t="shared" si="17"/>
        <v>1</v>
      </c>
      <c r="O72" s="90">
        <f t="shared" si="17"/>
        <v>1</v>
      </c>
      <c r="P72" s="90">
        <f t="shared" si="17"/>
        <v>1</v>
      </c>
      <c r="Q72" s="90">
        <f t="shared" si="17"/>
        <v>1</v>
      </c>
      <c r="R72" s="90">
        <f t="shared" si="17"/>
        <v>1</v>
      </c>
      <c r="S72" s="90">
        <f t="shared" si="17"/>
        <v>1</v>
      </c>
      <c r="V72" t="s">
        <v>136</v>
      </c>
      <c r="W72" t="s">
        <v>134</v>
      </c>
      <c r="X72" t="s">
        <v>135</v>
      </c>
      <c r="Y72" t="s">
        <v>14</v>
      </c>
      <c r="Z72">
        <v>200</v>
      </c>
    </row>
    <row r="73" spans="1:26">
      <c r="A73">
        <f t="shared" si="0"/>
        <v>2045</v>
      </c>
      <c r="B73" t="str">
        <f t="shared" si="1"/>
        <v>lost_load</v>
      </c>
      <c r="C73" t="str">
        <f t="shared" si="2"/>
        <v>CH0</v>
      </c>
      <c r="D73" s="90">
        <f t="shared" si="3"/>
        <v>300</v>
      </c>
      <c r="E73">
        <f t="shared" si="4"/>
        <v>7</v>
      </c>
      <c r="F73">
        <f t="shared" si="5"/>
        <v>8</v>
      </c>
      <c r="G73">
        <f t="shared" si="6"/>
        <v>1</v>
      </c>
      <c r="I73" t="s">
        <v>16</v>
      </c>
      <c r="J73" t="s">
        <v>11</v>
      </c>
      <c r="K73" t="str">
        <f>I73&amp;"-"&amp;J73</f>
        <v>FR0-bio_all</v>
      </c>
      <c r="L73" s="90">
        <f t="shared" si="17"/>
        <v>1</v>
      </c>
      <c r="M73" s="90">
        <f t="shared" si="17"/>
        <v>1</v>
      </c>
      <c r="N73" s="90">
        <f t="shared" si="17"/>
        <v>1</v>
      </c>
      <c r="O73" s="90">
        <f t="shared" si="17"/>
        <v>1</v>
      </c>
      <c r="P73" s="90">
        <f t="shared" si="17"/>
        <v>1</v>
      </c>
      <c r="Q73" s="90">
        <f t="shared" si="17"/>
        <v>1</v>
      </c>
      <c r="R73" s="90">
        <f t="shared" si="17"/>
        <v>1</v>
      </c>
      <c r="S73" s="90">
        <f t="shared" si="17"/>
        <v>1</v>
      </c>
      <c r="V73" t="s">
        <v>137</v>
      </c>
      <c r="W73" t="s">
        <v>134</v>
      </c>
      <c r="X73" t="s">
        <v>135</v>
      </c>
      <c r="Y73" t="s">
        <v>15</v>
      </c>
      <c r="Z73">
        <v>200</v>
      </c>
    </row>
    <row r="74" spans="1:26">
      <c r="A74">
        <f t="shared" si="0"/>
        <v>2050</v>
      </c>
      <c r="B74" t="str">
        <f t="shared" si="1"/>
        <v>lost_load</v>
      </c>
      <c r="C74" t="str">
        <f t="shared" si="2"/>
        <v>CH0</v>
      </c>
      <c r="D74" s="90">
        <f t="shared" si="3"/>
        <v>300</v>
      </c>
      <c r="E74">
        <f t="shared" si="4"/>
        <v>8</v>
      </c>
      <c r="F74">
        <f t="shared" si="5"/>
        <v>8</v>
      </c>
      <c r="G74">
        <f t="shared" si="6"/>
        <v>1</v>
      </c>
      <c r="I74" t="s">
        <v>14</v>
      </c>
      <c r="J74" t="s">
        <v>11</v>
      </c>
      <c r="K74" t="str">
        <f>I74&amp;"-"&amp;J74</f>
        <v>CH0-bio_all</v>
      </c>
      <c r="L74" s="90">
        <f t="shared" si="17"/>
        <v>1</v>
      </c>
      <c r="M74" s="90">
        <f t="shared" si="17"/>
        <v>1</v>
      </c>
      <c r="N74" s="90">
        <f t="shared" si="17"/>
        <v>1</v>
      </c>
      <c r="O74" s="90">
        <f t="shared" si="17"/>
        <v>1</v>
      </c>
      <c r="P74" s="90">
        <f t="shared" si="17"/>
        <v>1</v>
      </c>
      <c r="Q74" s="90">
        <f t="shared" si="17"/>
        <v>1</v>
      </c>
      <c r="R74" s="90">
        <f t="shared" si="17"/>
        <v>1</v>
      </c>
      <c r="S74" s="90">
        <f t="shared" si="17"/>
        <v>1</v>
      </c>
      <c r="V74" t="s">
        <v>138</v>
      </c>
      <c r="W74" t="s">
        <v>134</v>
      </c>
      <c r="X74" t="s">
        <v>135</v>
      </c>
      <c r="Y74" t="s">
        <v>16</v>
      </c>
      <c r="Z74">
        <v>200</v>
      </c>
    </row>
    <row r="75" spans="1:26">
      <c r="A75">
        <f t="shared" ref="A75:A138" si="18">INDEX(E$2:E$9,E75)</f>
        <v>2015</v>
      </c>
      <c r="B75" t="str">
        <f t="shared" ref="B75:B138" si="19">INDEX(F$2:F$9,F75)</f>
        <v>hard_coal</v>
      </c>
      <c r="C75" t="str">
        <f t="shared" ref="C75:C138" si="20">INDEX(G$2:G$9,G75)</f>
        <v>DE0</v>
      </c>
      <c r="D75" s="90">
        <f t="shared" si="3"/>
        <v>8.4515092478679605</v>
      </c>
      <c r="E75">
        <f t="shared" si="4"/>
        <v>1</v>
      </c>
      <c r="F75">
        <f t="shared" si="5"/>
        <v>1</v>
      </c>
      <c r="G75">
        <f t="shared" si="6"/>
        <v>2</v>
      </c>
      <c r="I75" t="s">
        <v>12</v>
      </c>
      <c r="J75" t="s">
        <v>11</v>
      </c>
      <c r="K75" t="str">
        <f>I75&amp;"-"&amp;J75</f>
        <v>AT0-bio_all</v>
      </c>
      <c r="L75" s="90">
        <f t="shared" si="17"/>
        <v>1</v>
      </c>
      <c r="M75" s="90">
        <f t="shared" si="17"/>
        <v>1</v>
      </c>
      <c r="N75" s="90">
        <f t="shared" si="17"/>
        <v>1</v>
      </c>
      <c r="O75" s="90">
        <f t="shared" si="17"/>
        <v>1</v>
      </c>
      <c r="P75" s="90">
        <f t="shared" si="17"/>
        <v>1</v>
      </c>
      <c r="Q75" s="90">
        <f t="shared" si="17"/>
        <v>1</v>
      </c>
      <c r="R75" s="90">
        <f t="shared" si="17"/>
        <v>1</v>
      </c>
      <c r="S75" s="90">
        <f t="shared" si="17"/>
        <v>1</v>
      </c>
      <c r="V75" t="s">
        <v>139</v>
      </c>
      <c r="W75" t="s">
        <v>134</v>
      </c>
      <c r="X75" t="s">
        <v>135</v>
      </c>
      <c r="Y75" t="s">
        <v>17</v>
      </c>
      <c r="Z75">
        <v>200</v>
      </c>
    </row>
    <row r="76" spans="1:26">
      <c r="A76">
        <f t="shared" si="18"/>
        <v>2020</v>
      </c>
      <c r="B76" t="str">
        <f t="shared" si="19"/>
        <v>hard_coal</v>
      </c>
      <c r="C76" t="str">
        <f t="shared" si="20"/>
        <v>DE0</v>
      </c>
      <c r="D76" s="90">
        <f t="shared" ref="D76:D139" si="21">INDEX($L$43:$S$82,MATCH(C76&amp;"-"&amp;B76,$K$43:$K$82,0),MATCH(A76,$L$42:$S$42,0))</f>
        <v>16.551073991832286</v>
      </c>
      <c r="E76">
        <f t="shared" ref="E76:E139" si="22">IF(E75=$E$1,1,E75+1)</f>
        <v>2</v>
      </c>
      <c r="F76">
        <f t="shared" ref="F76:F139" si="23">IF(E76=1,IF(F75=$F$1,1,F75+1),F75)</f>
        <v>1</v>
      </c>
      <c r="G76">
        <f t="shared" ref="G76:G139" si="24">IF(AND(F76=1,F75&gt;1),IF(G75=$G$1,1,G75+1),G75)</f>
        <v>2</v>
      </c>
      <c r="I76" t="s">
        <v>17</v>
      </c>
      <c r="J76" t="s">
        <v>11</v>
      </c>
      <c r="K76" t="str">
        <f>I76&amp;"-"&amp;J76</f>
        <v>IT0-bio_all</v>
      </c>
      <c r="L76" s="90">
        <f t="shared" si="17"/>
        <v>1</v>
      </c>
      <c r="M76" s="90">
        <f t="shared" si="17"/>
        <v>1</v>
      </c>
      <c r="N76" s="90">
        <f t="shared" si="17"/>
        <v>1</v>
      </c>
      <c r="O76" s="90">
        <f t="shared" si="17"/>
        <v>1</v>
      </c>
      <c r="P76" s="90">
        <f t="shared" si="17"/>
        <v>1</v>
      </c>
      <c r="Q76" s="90">
        <f t="shared" si="17"/>
        <v>1</v>
      </c>
      <c r="R76" s="90">
        <f t="shared" si="17"/>
        <v>1</v>
      </c>
      <c r="S76" s="90">
        <f t="shared" si="17"/>
        <v>1</v>
      </c>
      <c r="V76" t="s">
        <v>109</v>
      </c>
      <c r="W76" t="s">
        <v>110</v>
      </c>
      <c r="X76" t="s">
        <v>24</v>
      </c>
      <c r="Y76" t="s">
        <v>12</v>
      </c>
      <c r="Z76">
        <v>0.5</v>
      </c>
    </row>
    <row r="77" spans="1:26">
      <c r="A77">
        <f t="shared" si="18"/>
        <v>2025</v>
      </c>
      <c r="B77" t="str">
        <f t="shared" si="19"/>
        <v>hard_coal</v>
      </c>
      <c r="C77" t="str">
        <f t="shared" si="20"/>
        <v>DE0</v>
      </c>
      <c r="D77" s="90">
        <f t="shared" si="21"/>
        <v>20.489252716740868</v>
      </c>
      <c r="E77">
        <f t="shared" si="22"/>
        <v>3</v>
      </c>
      <c r="F77">
        <f t="shared" si="23"/>
        <v>1</v>
      </c>
      <c r="G77">
        <f t="shared" si="24"/>
        <v>2</v>
      </c>
      <c r="V77" t="s">
        <v>111</v>
      </c>
      <c r="W77" t="s">
        <v>110</v>
      </c>
      <c r="X77" t="s">
        <v>24</v>
      </c>
      <c r="Y77" t="s">
        <v>14</v>
      </c>
      <c r="Z77">
        <v>0.5</v>
      </c>
    </row>
    <row r="78" spans="1:26">
      <c r="A78">
        <f t="shared" si="18"/>
        <v>2030</v>
      </c>
      <c r="B78" t="str">
        <f t="shared" si="19"/>
        <v>hard_coal</v>
      </c>
      <c r="C78" t="str">
        <f t="shared" si="20"/>
        <v>DE0</v>
      </c>
      <c r="D78" s="90">
        <f t="shared" si="21"/>
        <v>24.521702625968029</v>
      </c>
      <c r="E78">
        <f t="shared" si="22"/>
        <v>4</v>
      </c>
      <c r="F78">
        <f t="shared" si="23"/>
        <v>1</v>
      </c>
      <c r="G78">
        <f t="shared" si="24"/>
        <v>2</v>
      </c>
      <c r="I78" t="s">
        <v>15</v>
      </c>
      <c r="J78" t="s">
        <v>444</v>
      </c>
      <c r="K78" t="str">
        <f>I78&amp;"-"&amp;J78</f>
        <v>DE0-lost_load</v>
      </c>
      <c r="L78" s="90">
        <v>300</v>
      </c>
      <c r="M78" s="90">
        <v>300</v>
      </c>
      <c r="N78" s="90">
        <v>300</v>
      </c>
      <c r="O78" s="90">
        <v>300</v>
      </c>
      <c r="P78" s="90">
        <v>300</v>
      </c>
      <c r="Q78" s="90">
        <v>300</v>
      </c>
      <c r="R78" s="90">
        <v>300</v>
      </c>
      <c r="S78" s="90">
        <v>300</v>
      </c>
      <c r="V78" t="s">
        <v>112</v>
      </c>
      <c r="W78" t="s">
        <v>110</v>
      </c>
      <c r="X78" t="s">
        <v>24</v>
      </c>
      <c r="Y78" t="s">
        <v>15</v>
      </c>
      <c r="Z78">
        <v>0.5</v>
      </c>
    </row>
    <row r="79" spans="1:26">
      <c r="A79">
        <f t="shared" si="18"/>
        <v>2035</v>
      </c>
      <c r="B79" t="str">
        <f t="shared" si="19"/>
        <v>hard_coal</v>
      </c>
      <c r="C79" t="str">
        <f t="shared" si="20"/>
        <v>DE0</v>
      </c>
      <c r="D79" s="90">
        <f t="shared" si="21"/>
        <v>26.021792846437396</v>
      </c>
      <c r="E79">
        <f t="shared" si="22"/>
        <v>5</v>
      </c>
      <c r="F79">
        <f t="shared" si="23"/>
        <v>1</v>
      </c>
      <c r="G79">
        <f t="shared" si="24"/>
        <v>2</v>
      </c>
      <c r="I79" t="s">
        <v>16</v>
      </c>
      <c r="J79" t="s">
        <v>444</v>
      </c>
      <c r="K79" t="str">
        <f t="shared" ref="K79:K82" si="25">I79&amp;"-"&amp;J79</f>
        <v>FR0-lost_load</v>
      </c>
      <c r="L79" s="90">
        <v>300</v>
      </c>
      <c r="M79" s="90">
        <v>300</v>
      </c>
      <c r="N79" s="90">
        <v>300</v>
      </c>
      <c r="O79" s="90">
        <v>300</v>
      </c>
      <c r="P79" s="90">
        <v>300</v>
      </c>
      <c r="Q79" s="90">
        <v>300</v>
      </c>
      <c r="R79" s="90">
        <v>300</v>
      </c>
      <c r="S79" s="90">
        <v>300</v>
      </c>
      <c r="V79" t="s">
        <v>113</v>
      </c>
      <c r="W79" t="s">
        <v>110</v>
      </c>
      <c r="X79" t="s">
        <v>24</v>
      </c>
      <c r="Y79" t="s">
        <v>16</v>
      </c>
      <c r="Z79">
        <v>0.5</v>
      </c>
    </row>
    <row r="80" spans="1:26">
      <c r="A80">
        <f t="shared" si="18"/>
        <v>2040</v>
      </c>
      <c r="B80" t="str">
        <f t="shared" si="19"/>
        <v>hard_coal</v>
      </c>
      <c r="C80" t="str">
        <f t="shared" si="20"/>
        <v>DE0</v>
      </c>
      <c r="D80" s="90">
        <f t="shared" si="21"/>
        <v>27.053473119823831</v>
      </c>
      <c r="E80">
        <f t="shared" si="22"/>
        <v>6</v>
      </c>
      <c r="F80">
        <f t="shared" si="23"/>
        <v>1</v>
      </c>
      <c r="G80">
        <f t="shared" si="24"/>
        <v>2</v>
      </c>
      <c r="I80" t="s">
        <v>14</v>
      </c>
      <c r="J80" t="s">
        <v>444</v>
      </c>
      <c r="K80" t="str">
        <f t="shared" si="25"/>
        <v>CH0-lost_load</v>
      </c>
      <c r="L80" s="90">
        <v>300</v>
      </c>
      <c r="M80" s="90">
        <v>300</v>
      </c>
      <c r="N80" s="90">
        <v>300</v>
      </c>
      <c r="O80" s="90">
        <v>300</v>
      </c>
      <c r="P80" s="90">
        <v>300</v>
      </c>
      <c r="Q80" s="90">
        <v>300</v>
      </c>
      <c r="R80" s="90">
        <v>300</v>
      </c>
      <c r="S80" s="90">
        <v>300</v>
      </c>
      <c r="V80" t="s">
        <v>114</v>
      </c>
      <c r="W80" t="s">
        <v>110</v>
      </c>
      <c r="X80" t="s">
        <v>24</v>
      </c>
      <c r="Y80" t="s">
        <v>17</v>
      </c>
      <c r="Z80">
        <v>0.5</v>
      </c>
    </row>
    <row r="81" spans="1:26">
      <c r="A81">
        <f t="shared" si="18"/>
        <v>2045</v>
      </c>
      <c r="B81" t="str">
        <f t="shared" si="19"/>
        <v>hard_coal</v>
      </c>
      <c r="C81" t="str">
        <f t="shared" si="20"/>
        <v>DE0</v>
      </c>
      <c r="D81" s="90">
        <f t="shared" si="21"/>
        <v>28.084564198308275</v>
      </c>
      <c r="E81">
        <f t="shared" si="22"/>
        <v>7</v>
      </c>
      <c r="F81">
        <f t="shared" si="23"/>
        <v>1</v>
      </c>
      <c r="G81">
        <f t="shared" si="24"/>
        <v>2</v>
      </c>
      <c r="I81" t="s">
        <v>12</v>
      </c>
      <c r="J81" t="s">
        <v>444</v>
      </c>
      <c r="K81" t="str">
        <f t="shared" si="25"/>
        <v>AT0-lost_load</v>
      </c>
      <c r="L81" s="90">
        <v>300</v>
      </c>
      <c r="M81" s="90">
        <v>300</v>
      </c>
      <c r="N81" s="90">
        <v>300</v>
      </c>
      <c r="O81" s="90">
        <v>300</v>
      </c>
      <c r="P81" s="90">
        <v>300</v>
      </c>
      <c r="Q81" s="90">
        <v>300</v>
      </c>
      <c r="R81" s="90">
        <v>300</v>
      </c>
      <c r="S81" s="90">
        <v>300</v>
      </c>
      <c r="X81" t="s">
        <v>140</v>
      </c>
      <c r="Y81" t="s">
        <v>14</v>
      </c>
      <c r="Z81">
        <v>0</v>
      </c>
    </row>
    <row r="82" spans="1:26">
      <c r="A82">
        <f t="shared" si="18"/>
        <v>2050</v>
      </c>
      <c r="B82" t="str">
        <f t="shared" si="19"/>
        <v>hard_coal</v>
      </c>
      <c r="C82" t="str">
        <f t="shared" si="20"/>
        <v>DE0</v>
      </c>
      <c r="D82" s="90">
        <f t="shared" si="21"/>
        <v>28.83519850344495</v>
      </c>
      <c r="E82">
        <f t="shared" si="22"/>
        <v>8</v>
      </c>
      <c r="F82">
        <f t="shared" si="23"/>
        <v>1</v>
      </c>
      <c r="G82">
        <f t="shared" si="24"/>
        <v>2</v>
      </c>
      <c r="I82" t="s">
        <v>17</v>
      </c>
      <c r="J82" t="s">
        <v>444</v>
      </c>
      <c r="K82" t="str">
        <f t="shared" si="25"/>
        <v>IT0-lost_load</v>
      </c>
      <c r="L82" s="90">
        <v>300</v>
      </c>
      <c r="M82" s="90">
        <v>300</v>
      </c>
      <c r="N82" s="90">
        <v>300</v>
      </c>
      <c r="O82" s="90">
        <v>300</v>
      </c>
      <c r="P82" s="90">
        <v>300</v>
      </c>
      <c r="Q82" s="90">
        <v>300</v>
      </c>
      <c r="R82" s="90">
        <v>300</v>
      </c>
      <c r="S82" s="90">
        <v>300</v>
      </c>
      <c r="V82" t="s">
        <v>116</v>
      </c>
      <c r="W82" t="s">
        <v>115</v>
      </c>
      <c r="X82" t="s">
        <v>140</v>
      </c>
      <c r="Y82" t="s">
        <v>15</v>
      </c>
      <c r="Z82">
        <v>0</v>
      </c>
    </row>
    <row r="83" spans="1:26">
      <c r="A83">
        <f t="shared" si="18"/>
        <v>2015</v>
      </c>
      <c r="B83" t="str">
        <f t="shared" si="19"/>
        <v>mineral_oil_heavy</v>
      </c>
      <c r="C83" t="str">
        <f t="shared" si="20"/>
        <v>DE0</v>
      </c>
      <c r="D83" s="90">
        <f t="shared" si="21"/>
        <v>23.305902969622899</v>
      </c>
      <c r="E83">
        <f t="shared" si="22"/>
        <v>1</v>
      </c>
      <c r="F83">
        <f t="shared" si="23"/>
        <v>2</v>
      </c>
      <c r="G83">
        <f t="shared" si="24"/>
        <v>2</v>
      </c>
      <c r="X83" t="s">
        <v>140</v>
      </c>
      <c r="Y83" t="s">
        <v>16</v>
      </c>
      <c r="Z83">
        <v>0</v>
      </c>
    </row>
    <row r="84" spans="1:26">
      <c r="A84">
        <f t="shared" si="18"/>
        <v>2020</v>
      </c>
      <c r="B84" t="str">
        <f t="shared" si="19"/>
        <v>mineral_oil_heavy</v>
      </c>
      <c r="C84" t="str">
        <f t="shared" si="20"/>
        <v>DE0</v>
      </c>
      <c r="D84" s="90">
        <f t="shared" si="21"/>
        <v>86.877966688393229</v>
      </c>
      <c r="E84">
        <f t="shared" si="22"/>
        <v>2</v>
      </c>
      <c r="F84">
        <f t="shared" si="23"/>
        <v>2</v>
      </c>
      <c r="G84">
        <f t="shared" si="24"/>
        <v>2</v>
      </c>
      <c r="V84" t="s">
        <v>118</v>
      </c>
      <c r="W84" t="s">
        <v>120</v>
      </c>
      <c r="X84" t="s">
        <v>141</v>
      </c>
      <c r="Y84" t="s">
        <v>12</v>
      </c>
      <c r="Z84">
        <v>0</v>
      </c>
    </row>
    <row r="85" spans="1:26">
      <c r="A85">
        <f t="shared" si="18"/>
        <v>2025</v>
      </c>
      <c r="B85" t="str">
        <f t="shared" si="19"/>
        <v>mineral_oil_heavy</v>
      </c>
      <c r="C85" t="str">
        <f t="shared" si="20"/>
        <v>DE0</v>
      </c>
      <c r="D85" s="90">
        <f t="shared" si="21"/>
        <v>101.97549685701344</v>
      </c>
      <c r="E85">
        <f t="shared" si="22"/>
        <v>3</v>
      </c>
      <c r="F85">
        <f t="shared" si="23"/>
        <v>2</v>
      </c>
      <c r="G85">
        <f t="shared" si="24"/>
        <v>2</v>
      </c>
      <c r="V85" t="s">
        <v>119</v>
      </c>
      <c r="W85" t="s">
        <v>120</v>
      </c>
      <c r="X85" t="s">
        <v>141</v>
      </c>
      <c r="Y85" t="s">
        <v>14</v>
      </c>
      <c r="Z85">
        <v>0</v>
      </c>
    </row>
    <row r="86" spans="1:26">
      <c r="A86">
        <f t="shared" si="18"/>
        <v>2030</v>
      </c>
      <c r="B86" t="str">
        <f t="shared" si="19"/>
        <v>mineral_oil_heavy</v>
      </c>
      <c r="C86" t="str">
        <f t="shared" si="20"/>
        <v>DE0</v>
      </c>
      <c r="D86" s="90">
        <f t="shared" si="21"/>
        <v>112.3842139955884</v>
      </c>
      <c r="E86">
        <f t="shared" si="22"/>
        <v>4</v>
      </c>
      <c r="F86">
        <f t="shared" si="23"/>
        <v>2</v>
      </c>
      <c r="G86">
        <f t="shared" si="24"/>
        <v>2</v>
      </c>
      <c r="V86" t="s">
        <v>121</v>
      </c>
      <c r="W86" t="s">
        <v>120</v>
      </c>
      <c r="X86" t="s">
        <v>141</v>
      </c>
      <c r="Y86" t="s">
        <v>15</v>
      </c>
      <c r="Z86">
        <v>0</v>
      </c>
    </row>
    <row r="87" spans="1:26">
      <c r="A87">
        <f t="shared" si="18"/>
        <v>2035</v>
      </c>
      <c r="B87" t="str">
        <f t="shared" si="19"/>
        <v>mineral_oil_heavy</v>
      </c>
      <c r="C87" t="str">
        <f t="shared" si="20"/>
        <v>DE0</v>
      </c>
      <c r="D87" s="90">
        <f t="shared" si="21"/>
        <v>117.16670901505024</v>
      </c>
      <c r="E87">
        <f t="shared" si="22"/>
        <v>5</v>
      </c>
      <c r="F87">
        <f t="shared" si="23"/>
        <v>2</v>
      </c>
      <c r="G87">
        <f t="shared" si="24"/>
        <v>2</v>
      </c>
      <c r="V87" t="s">
        <v>122</v>
      </c>
      <c r="W87" t="s">
        <v>120</v>
      </c>
      <c r="X87" t="s">
        <v>141</v>
      </c>
      <c r="Y87" t="s">
        <v>16</v>
      </c>
      <c r="Z87">
        <v>0</v>
      </c>
    </row>
    <row r="88" spans="1:26">
      <c r="A88">
        <f t="shared" si="18"/>
        <v>2040</v>
      </c>
      <c r="B88" t="str">
        <f t="shared" si="19"/>
        <v>mineral_oil_heavy</v>
      </c>
      <c r="C88" t="str">
        <f t="shared" si="20"/>
        <v>DE0</v>
      </c>
      <c r="D88" s="90">
        <f t="shared" si="21"/>
        <v>124.10565737579955</v>
      </c>
      <c r="E88">
        <f t="shared" si="22"/>
        <v>6</v>
      </c>
      <c r="F88">
        <f t="shared" si="23"/>
        <v>2</v>
      </c>
      <c r="G88">
        <f t="shared" si="24"/>
        <v>2</v>
      </c>
      <c r="V88" t="s">
        <v>123</v>
      </c>
      <c r="W88" t="s">
        <v>120</v>
      </c>
      <c r="X88" t="s">
        <v>141</v>
      </c>
      <c r="Y88" t="s">
        <v>17</v>
      </c>
      <c r="Z88">
        <v>0</v>
      </c>
    </row>
    <row r="89" spans="1:26">
      <c r="A89">
        <f t="shared" si="18"/>
        <v>2045</v>
      </c>
      <c r="B89" t="str">
        <f t="shared" si="19"/>
        <v>mineral_oil_heavy</v>
      </c>
      <c r="C89" t="str">
        <f t="shared" si="20"/>
        <v>DE0</v>
      </c>
      <c r="D89" s="90">
        <f t="shared" si="21"/>
        <v>126.9190630328071</v>
      </c>
      <c r="E89">
        <f t="shared" si="22"/>
        <v>7</v>
      </c>
      <c r="F89">
        <f t="shared" si="23"/>
        <v>2</v>
      </c>
      <c r="G89">
        <f t="shared" si="24"/>
        <v>2</v>
      </c>
    </row>
    <row r="90" spans="1:26">
      <c r="A90">
        <f t="shared" si="18"/>
        <v>2050</v>
      </c>
      <c r="B90" t="str">
        <f t="shared" si="19"/>
        <v>mineral_oil_heavy</v>
      </c>
      <c r="C90" t="str">
        <f t="shared" si="20"/>
        <v>DE0</v>
      </c>
      <c r="D90" s="90">
        <f t="shared" si="21"/>
        <v>129.82615067923123</v>
      </c>
      <c r="E90">
        <f t="shared" si="22"/>
        <v>8</v>
      </c>
      <c r="F90">
        <f t="shared" si="23"/>
        <v>2</v>
      </c>
      <c r="G90">
        <f t="shared" si="24"/>
        <v>2</v>
      </c>
    </row>
    <row r="91" spans="1:26">
      <c r="A91">
        <f t="shared" si="18"/>
        <v>2015</v>
      </c>
      <c r="B91" t="str">
        <f t="shared" si="19"/>
        <v>natural_gas</v>
      </c>
      <c r="C91" t="str">
        <f t="shared" si="20"/>
        <v>DE0</v>
      </c>
      <c r="D91" s="90">
        <f t="shared" si="21"/>
        <v>29.5</v>
      </c>
      <c r="E91">
        <f t="shared" si="22"/>
        <v>1</v>
      </c>
      <c r="F91">
        <f t="shared" si="23"/>
        <v>3</v>
      </c>
      <c r="G91">
        <f t="shared" si="24"/>
        <v>2</v>
      </c>
    </row>
    <row r="92" spans="1:26">
      <c r="A92">
        <f t="shared" si="18"/>
        <v>2020</v>
      </c>
      <c r="B92" t="str">
        <f t="shared" si="19"/>
        <v>natural_gas</v>
      </c>
      <c r="C92" t="str">
        <f t="shared" si="20"/>
        <v>DE0</v>
      </c>
      <c r="D92" s="90">
        <f t="shared" si="21"/>
        <v>56.30817839348645</v>
      </c>
      <c r="E92">
        <f t="shared" si="22"/>
        <v>2</v>
      </c>
      <c r="F92">
        <f t="shared" si="23"/>
        <v>3</v>
      </c>
      <c r="G92">
        <f t="shared" si="24"/>
        <v>2</v>
      </c>
    </row>
    <row r="93" spans="1:26">
      <c r="A93">
        <f t="shared" si="18"/>
        <v>2025</v>
      </c>
      <c r="B93" t="str">
        <f t="shared" si="19"/>
        <v>natural_gas</v>
      </c>
      <c r="C93" t="str">
        <f t="shared" si="20"/>
        <v>DE0</v>
      </c>
      <c r="D93" s="90">
        <f t="shared" si="21"/>
        <v>63.059762775402582</v>
      </c>
      <c r="E93">
        <f t="shared" si="22"/>
        <v>3</v>
      </c>
      <c r="F93">
        <f t="shared" si="23"/>
        <v>3</v>
      </c>
      <c r="G93">
        <f t="shared" si="24"/>
        <v>2</v>
      </c>
    </row>
    <row r="94" spans="1:26">
      <c r="A94">
        <f t="shared" si="18"/>
        <v>2030</v>
      </c>
      <c r="B94" t="str">
        <f t="shared" si="19"/>
        <v>natural_gas</v>
      </c>
      <c r="C94" t="str">
        <f t="shared" si="20"/>
        <v>DE0</v>
      </c>
      <c r="D94" s="90">
        <f t="shared" si="21"/>
        <v>68.592302905099118</v>
      </c>
      <c r="E94">
        <f t="shared" si="22"/>
        <v>4</v>
      </c>
      <c r="F94">
        <f t="shared" si="23"/>
        <v>3</v>
      </c>
      <c r="G94">
        <f t="shared" si="24"/>
        <v>2</v>
      </c>
    </row>
    <row r="95" spans="1:26">
      <c r="A95">
        <f t="shared" si="18"/>
        <v>2035</v>
      </c>
      <c r="B95" t="str">
        <f t="shared" si="19"/>
        <v>natural_gas</v>
      </c>
      <c r="C95" t="str">
        <f t="shared" si="20"/>
        <v>DE0</v>
      </c>
      <c r="D95" s="90">
        <f t="shared" si="21"/>
        <v>73.281115935144371</v>
      </c>
      <c r="E95">
        <f t="shared" si="22"/>
        <v>5</v>
      </c>
      <c r="F95">
        <f t="shared" si="23"/>
        <v>3</v>
      </c>
      <c r="G95">
        <f t="shared" si="24"/>
        <v>2</v>
      </c>
    </row>
    <row r="96" spans="1:26">
      <c r="A96">
        <f t="shared" si="18"/>
        <v>2040</v>
      </c>
      <c r="B96" t="str">
        <f t="shared" si="19"/>
        <v>natural_gas</v>
      </c>
      <c r="C96" t="str">
        <f t="shared" si="20"/>
        <v>DE0</v>
      </c>
      <c r="D96" s="90">
        <f t="shared" si="21"/>
        <v>75.719204439583592</v>
      </c>
      <c r="E96">
        <f t="shared" si="22"/>
        <v>6</v>
      </c>
      <c r="F96">
        <f t="shared" si="23"/>
        <v>3</v>
      </c>
      <c r="G96">
        <f t="shared" si="24"/>
        <v>2</v>
      </c>
    </row>
    <row r="97" spans="1:7">
      <c r="A97">
        <f t="shared" si="18"/>
        <v>2045</v>
      </c>
      <c r="B97" t="str">
        <f t="shared" si="19"/>
        <v>natural_gas</v>
      </c>
      <c r="C97" t="str">
        <f t="shared" si="20"/>
        <v>DE0</v>
      </c>
      <c r="D97" s="90">
        <f t="shared" si="21"/>
        <v>77.312976649469533</v>
      </c>
      <c r="E97">
        <f t="shared" si="22"/>
        <v>7</v>
      </c>
      <c r="F97">
        <f t="shared" si="23"/>
        <v>3</v>
      </c>
      <c r="G97">
        <f t="shared" si="24"/>
        <v>2</v>
      </c>
    </row>
    <row r="98" spans="1:7">
      <c r="A98">
        <f t="shared" si="18"/>
        <v>2050</v>
      </c>
      <c r="B98" t="str">
        <f t="shared" si="19"/>
        <v>natural_gas</v>
      </c>
      <c r="C98" t="str">
        <f t="shared" si="20"/>
        <v>DE0</v>
      </c>
      <c r="D98" s="90">
        <f t="shared" si="21"/>
        <v>78.438338912272556</v>
      </c>
      <c r="E98">
        <f t="shared" si="22"/>
        <v>8</v>
      </c>
      <c r="F98">
        <f t="shared" si="23"/>
        <v>3</v>
      </c>
      <c r="G98">
        <f t="shared" si="24"/>
        <v>2</v>
      </c>
    </row>
    <row r="99" spans="1:7">
      <c r="A99">
        <f t="shared" si="18"/>
        <v>2015</v>
      </c>
      <c r="B99" t="str">
        <f t="shared" si="19"/>
        <v>lignite</v>
      </c>
      <c r="C99" t="str">
        <f t="shared" si="20"/>
        <v>DE0</v>
      </c>
      <c r="D99" s="90">
        <f t="shared" si="21"/>
        <v>1.44</v>
      </c>
      <c r="E99">
        <f t="shared" si="22"/>
        <v>1</v>
      </c>
      <c r="F99">
        <f t="shared" si="23"/>
        <v>4</v>
      </c>
      <c r="G99">
        <f t="shared" si="24"/>
        <v>2</v>
      </c>
    </row>
    <row r="100" spans="1:7">
      <c r="A100">
        <f t="shared" si="18"/>
        <v>2020</v>
      </c>
      <c r="B100" t="str">
        <f t="shared" si="19"/>
        <v>lignite</v>
      </c>
      <c r="C100" t="str">
        <f t="shared" si="20"/>
        <v>DE0</v>
      </c>
      <c r="D100" s="90">
        <f t="shared" si="21"/>
        <v>1.44</v>
      </c>
      <c r="E100">
        <f t="shared" si="22"/>
        <v>2</v>
      </c>
      <c r="F100">
        <f t="shared" si="23"/>
        <v>4</v>
      </c>
      <c r="G100">
        <f t="shared" si="24"/>
        <v>2</v>
      </c>
    </row>
    <row r="101" spans="1:7">
      <c r="A101">
        <f t="shared" si="18"/>
        <v>2025</v>
      </c>
      <c r="B101" t="str">
        <f t="shared" si="19"/>
        <v>lignite</v>
      </c>
      <c r="C101" t="str">
        <f t="shared" si="20"/>
        <v>DE0</v>
      </c>
      <c r="D101" s="90">
        <f t="shared" si="21"/>
        <v>1.44</v>
      </c>
      <c r="E101">
        <f t="shared" si="22"/>
        <v>3</v>
      </c>
      <c r="F101">
        <f t="shared" si="23"/>
        <v>4</v>
      </c>
      <c r="G101">
        <f t="shared" si="24"/>
        <v>2</v>
      </c>
    </row>
    <row r="102" spans="1:7">
      <c r="A102">
        <f t="shared" si="18"/>
        <v>2030</v>
      </c>
      <c r="B102" t="str">
        <f t="shared" si="19"/>
        <v>lignite</v>
      </c>
      <c r="C102" t="str">
        <f t="shared" si="20"/>
        <v>DE0</v>
      </c>
      <c r="D102" s="90">
        <f t="shared" si="21"/>
        <v>1.44</v>
      </c>
      <c r="E102">
        <f t="shared" si="22"/>
        <v>4</v>
      </c>
      <c r="F102">
        <f t="shared" si="23"/>
        <v>4</v>
      </c>
      <c r="G102">
        <f t="shared" si="24"/>
        <v>2</v>
      </c>
    </row>
    <row r="103" spans="1:7">
      <c r="A103">
        <f t="shared" si="18"/>
        <v>2035</v>
      </c>
      <c r="B103" t="str">
        <f t="shared" si="19"/>
        <v>lignite</v>
      </c>
      <c r="C103" t="str">
        <f t="shared" si="20"/>
        <v>DE0</v>
      </c>
      <c r="D103" s="90">
        <f t="shared" si="21"/>
        <v>1.44</v>
      </c>
      <c r="E103">
        <f t="shared" si="22"/>
        <v>5</v>
      </c>
      <c r="F103">
        <f t="shared" si="23"/>
        <v>4</v>
      </c>
      <c r="G103">
        <f t="shared" si="24"/>
        <v>2</v>
      </c>
    </row>
    <row r="104" spans="1:7">
      <c r="A104">
        <f t="shared" si="18"/>
        <v>2040</v>
      </c>
      <c r="B104" t="str">
        <f t="shared" si="19"/>
        <v>lignite</v>
      </c>
      <c r="C104" t="str">
        <f t="shared" si="20"/>
        <v>DE0</v>
      </c>
      <c r="D104" s="90">
        <f t="shared" si="21"/>
        <v>1.44</v>
      </c>
      <c r="E104">
        <f t="shared" si="22"/>
        <v>6</v>
      </c>
      <c r="F104">
        <f t="shared" si="23"/>
        <v>4</v>
      </c>
      <c r="G104">
        <f t="shared" si="24"/>
        <v>2</v>
      </c>
    </row>
    <row r="105" spans="1:7">
      <c r="A105">
        <f t="shared" si="18"/>
        <v>2045</v>
      </c>
      <c r="B105" t="str">
        <f t="shared" si="19"/>
        <v>lignite</v>
      </c>
      <c r="C105" t="str">
        <f t="shared" si="20"/>
        <v>DE0</v>
      </c>
      <c r="D105" s="90">
        <f t="shared" si="21"/>
        <v>1.44</v>
      </c>
      <c r="E105">
        <f t="shared" si="22"/>
        <v>7</v>
      </c>
      <c r="F105">
        <f t="shared" si="23"/>
        <v>4</v>
      </c>
      <c r="G105">
        <f t="shared" si="24"/>
        <v>2</v>
      </c>
    </row>
    <row r="106" spans="1:7">
      <c r="A106">
        <f t="shared" si="18"/>
        <v>2050</v>
      </c>
      <c r="B106" t="str">
        <f t="shared" si="19"/>
        <v>lignite</v>
      </c>
      <c r="C106" t="str">
        <f t="shared" si="20"/>
        <v>DE0</v>
      </c>
      <c r="D106" s="90">
        <f t="shared" si="21"/>
        <v>1.44</v>
      </c>
      <c r="E106">
        <f t="shared" si="22"/>
        <v>8</v>
      </c>
      <c r="F106">
        <f t="shared" si="23"/>
        <v>4</v>
      </c>
      <c r="G106">
        <f t="shared" si="24"/>
        <v>2</v>
      </c>
    </row>
    <row r="107" spans="1:7">
      <c r="A107">
        <f t="shared" si="18"/>
        <v>2015</v>
      </c>
      <c r="B107" t="str">
        <f t="shared" si="19"/>
        <v>nuclear_fuel</v>
      </c>
      <c r="C107" t="str">
        <f t="shared" si="20"/>
        <v>DE0</v>
      </c>
      <c r="D107" s="90">
        <f t="shared" si="21"/>
        <v>1.881</v>
      </c>
      <c r="E107">
        <f t="shared" si="22"/>
        <v>1</v>
      </c>
      <c r="F107">
        <f t="shared" si="23"/>
        <v>5</v>
      </c>
      <c r="G107">
        <f t="shared" si="24"/>
        <v>2</v>
      </c>
    </row>
    <row r="108" spans="1:7">
      <c r="A108">
        <f t="shared" si="18"/>
        <v>2020</v>
      </c>
      <c r="B108" t="str">
        <f t="shared" si="19"/>
        <v>nuclear_fuel</v>
      </c>
      <c r="C108" t="str">
        <f t="shared" si="20"/>
        <v>DE0</v>
      </c>
      <c r="D108" s="90">
        <f t="shared" si="21"/>
        <v>1.881</v>
      </c>
      <c r="E108">
        <f t="shared" si="22"/>
        <v>2</v>
      </c>
      <c r="F108">
        <f t="shared" si="23"/>
        <v>5</v>
      </c>
      <c r="G108">
        <f t="shared" si="24"/>
        <v>2</v>
      </c>
    </row>
    <row r="109" spans="1:7">
      <c r="A109">
        <f t="shared" si="18"/>
        <v>2025</v>
      </c>
      <c r="B109" t="str">
        <f t="shared" si="19"/>
        <v>nuclear_fuel</v>
      </c>
      <c r="C109" t="str">
        <f t="shared" si="20"/>
        <v>DE0</v>
      </c>
      <c r="D109" s="90">
        <f t="shared" si="21"/>
        <v>1.881</v>
      </c>
      <c r="E109">
        <f t="shared" si="22"/>
        <v>3</v>
      </c>
      <c r="F109">
        <f t="shared" si="23"/>
        <v>5</v>
      </c>
      <c r="G109">
        <f t="shared" si="24"/>
        <v>2</v>
      </c>
    </row>
    <row r="110" spans="1:7">
      <c r="A110">
        <f t="shared" si="18"/>
        <v>2030</v>
      </c>
      <c r="B110" t="str">
        <f t="shared" si="19"/>
        <v>nuclear_fuel</v>
      </c>
      <c r="C110" t="str">
        <f t="shared" si="20"/>
        <v>DE0</v>
      </c>
      <c r="D110" s="90">
        <f t="shared" si="21"/>
        <v>1.881</v>
      </c>
      <c r="E110">
        <f t="shared" si="22"/>
        <v>4</v>
      </c>
      <c r="F110">
        <f t="shared" si="23"/>
        <v>5</v>
      </c>
      <c r="G110">
        <f t="shared" si="24"/>
        <v>2</v>
      </c>
    </row>
    <row r="111" spans="1:7">
      <c r="A111">
        <f t="shared" si="18"/>
        <v>2035</v>
      </c>
      <c r="B111" t="str">
        <f t="shared" si="19"/>
        <v>nuclear_fuel</v>
      </c>
      <c r="C111" t="str">
        <f t="shared" si="20"/>
        <v>DE0</v>
      </c>
      <c r="D111" s="90">
        <f t="shared" si="21"/>
        <v>1.881</v>
      </c>
      <c r="E111">
        <f t="shared" si="22"/>
        <v>5</v>
      </c>
      <c r="F111">
        <f t="shared" si="23"/>
        <v>5</v>
      </c>
      <c r="G111">
        <f t="shared" si="24"/>
        <v>2</v>
      </c>
    </row>
    <row r="112" spans="1:7">
      <c r="A112">
        <f t="shared" si="18"/>
        <v>2040</v>
      </c>
      <c r="B112" t="str">
        <f t="shared" si="19"/>
        <v>nuclear_fuel</v>
      </c>
      <c r="C112" t="str">
        <f t="shared" si="20"/>
        <v>DE0</v>
      </c>
      <c r="D112" s="90">
        <f t="shared" si="21"/>
        <v>1.881</v>
      </c>
      <c r="E112">
        <f t="shared" si="22"/>
        <v>6</v>
      </c>
      <c r="F112">
        <f t="shared" si="23"/>
        <v>5</v>
      </c>
      <c r="G112">
        <f t="shared" si="24"/>
        <v>2</v>
      </c>
    </row>
    <row r="113" spans="1:7">
      <c r="A113">
        <f t="shared" si="18"/>
        <v>2045</v>
      </c>
      <c r="B113" t="str">
        <f t="shared" si="19"/>
        <v>nuclear_fuel</v>
      </c>
      <c r="C113" t="str">
        <f t="shared" si="20"/>
        <v>DE0</v>
      </c>
      <c r="D113" s="90">
        <f t="shared" si="21"/>
        <v>1.881</v>
      </c>
      <c r="E113">
        <f t="shared" si="22"/>
        <v>7</v>
      </c>
      <c r="F113">
        <f t="shared" si="23"/>
        <v>5</v>
      </c>
      <c r="G113">
        <f t="shared" si="24"/>
        <v>2</v>
      </c>
    </row>
    <row r="114" spans="1:7">
      <c r="A114">
        <f t="shared" si="18"/>
        <v>2050</v>
      </c>
      <c r="B114" t="str">
        <f t="shared" si="19"/>
        <v>nuclear_fuel</v>
      </c>
      <c r="C114" t="str">
        <f t="shared" si="20"/>
        <v>DE0</v>
      </c>
      <c r="D114" s="90">
        <f t="shared" si="21"/>
        <v>1.881</v>
      </c>
      <c r="E114">
        <f t="shared" si="22"/>
        <v>8</v>
      </c>
      <c r="F114">
        <f t="shared" si="23"/>
        <v>5</v>
      </c>
      <c r="G114">
        <f t="shared" si="24"/>
        <v>2</v>
      </c>
    </row>
    <row r="115" spans="1:7">
      <c r="A115">
        <f t="shared" si="18"/>
        <v>2015</v>
      </c>
      <c r="B115" t="str">
        <f t="shared" si="19"/>
        <v>waste_mix</v>
      </c>
      <c r="C115" t="str">
        <f t="shared" si="20"/>
        <v>DE0</v>
      </c>
      <c r="D115" s="90">
        <f t="shared" si="21"/>
        <v>0.5</v>
      </c>
      <c r="E115">
        <f t="shared" si="22"/>
        <v>1</v>
      </c>
      <c r="F115">
        <f t="shared" si="23"/>
        <v>6</v>
      </c>
      <c r="G115">
        <f t="shared" si="24"/>
        <v>2</v>
      </c>
    </row>
    <row r="116" spans="1:7">
      <c r="A116">
        <f t="shared" si="18"/>
        <v>2020</v>
      </c>
      <c r="B116" t="str">
        <f t="shared" si="19"/>
        <v>waste_mix</v>
      </c>
      <c r="C116" t="str">
        <f t="shared" si="20"/>
        <v>DE0</v>
      </c>
      <c r="D116" s="90">
        <f t="shared" si="21"/>
        <v>0.5</v>
      </c>
      <c r="E116">
        <f t="shared" si="22"/>
        <v>2</v>
      </c>
      <c r="F116">
        <f t="shared" si="23"/>
        <v>6</v>
      </c>
      <c r="G116">
        <f t="shared" si="24"/>
        <v>2</v>
      </c>
    </row>
    <row r="117" spans="1:7">
      <c r="A117">
        <f t="shared" si="18"/>
        <v>2025</v>
      </c>
      <c r="B117" t="str">
        <f t="shared" si="19"/>
        <v>waste_mix</v>
      </c>
      <c r="C117" t="str">
        <f t="shared" si="20"/>
        <v>DE0</v>
      </c>
      <c r="D117" s="90">
        <f t="shared" si="21"/>
        <v>0.5</v>
      </c>
      <c r="E117">
        <f t="shared" si="22"/>
        <v>3</v>
      </c>
      <c r="F117">
        <f t="shared" si="23"/>
        <v>6</v>
      </c>
      <c r="G117">
        <f t="shared" si="24"/>
        <v>2</v>
      </c>
    </row>
    <row r="118" spans="1:7">
      <c r="A118">
        <f t="shared" si="18"/>
        <v>2030</v>
      </c>
      <c r="B118" t="str">
        <f t="shared" si="19"/>
        <v>waste_mix</v>
      </c>
      <c r="C118" t="str">
        <f t="shared" si="20"/>
        <v>DE0</v>
      </c>
      <c r="D118" s="90">
        <f t="shared" si="21"/>
        <v>0.5</v>
      </c>
      <c r="E118">
        <f t="shared" si="22"/>
        <v>4</v>
      </c>
      <c r="F118">
        <f t="shared" si="23"/>
        <v>6</v>
      </c>
      <c r="G118">
        <f t="shared" si="24"/>
        <v>2</v>
      </c>
    </row>
    <row r="119" spans="1:7">
      <c r="A119">
        <f t="shared" si="18"/>
        <v>2035</v>
      </c>
      <c r="B119" t="str">
        <f t="shared" si="19"/>
        <v>waste_mix</v>
      </c>
      <c r="C119" t="str">
        <f t="shared" si="20"/>
        <v>DE0</v>
      </c>
      <c r="D119" s="90">
        <f t="shared" si="21"/>
        <v>0.5</v>
      </c>
      <c r="E119">
        <f t="shared" si="22"/>
        <v>5</v>
      </c>
      <c r="F119">
        <f t="shared" si="23"/>
        <v>6</v>
      </c>
      <c r="G119">
        <f t="shared" si="24"/>
        <v>2</v>
      </c>
    </row>
    <row r="120" spans="1:7">
      <c r="A120">
        <f t="shared" si="18"/>
        <v>2040</v>
      </c>
      <c r="B120" t="str">
        <f t="shared" si="19"/>
        <v>waste_mix</v>
      </c>
      <c r="C120" t="str">
        <f t="shared" si="20"/>
        <v>DE0</v>
      </c>
      <c r="D120" s="90">
        <f t="shared" si="21"/>
        <v>0.5</v>
      </c>
      <c r="E120">
        <f t="shared" si="22"/>
        <v>6</v>
      </c>
      <c r="F120">
        <f t="shared" si="23"/>
        <v>6</v>
      </c>
      <c r="G120">
        <f t="shared" si="24"/>
        <v>2</v>
      </c>
    </row>
    <row r="121" spans="1:7">
      <c r="A121">
        <f t="shared" si="18"/>
        <v>2045</v>
      </c>
      <c r="B121" t="str">
        <f t="shared" si="19"/>
        <v>waste_mix</v>
      </c>
      <c r="C121" t="str">
        <f t="shared" si="20"/>
        <v>DE0</v>
      </c>
      <c r="D121" s="90">
        <f t="shared" si="21"/>
        <v>0.5</v>
      </c>
      <c r="E121">
        <f t="shared" si="22"/>
        <v>7</v>
      </c>
      <c r="F121">
        <f t="shared" si="23"/>
        <v>6</v>
      </c>
      <c r="G121">
        <f t="shared" si="24"/>
        <v>2</v>
      </c>
    </row>
    <row r="122" spans="1:7">
      <c r="A122">
        <f t="shared" si="18"/>
        <v>2050</v>
      </c>
      <c r="B122" t="str">
        <f t="shared" si="19"/>
        <v>waste_mix</v>
      </c>
      <c r="C122" t="str">
        <f t="shared" si="20"/>
        <v>DE0</v>
      </c>
      <c r="D122" s="90">
        <f t="shared" si="21"/>
        <v>0.5</v>
      </c>
      <c r="E122">
        <f t="shared" si="22"/>
        <v>8</v>
      </c>
      <c r="F122">
        <f t="shared" si="23"/>
        <v>6</v>
      </c>
      <c r="G122">
        <f t="shared" si="24"/>
        <v>2</v>
      </c>
    </row>
    <row r="123" spans="1:7">
      <c r="A123">
        <f t="shared" si="18"/>
        <v>2015</v>
      </c>
      <c r="B123" t="str">
        <f t="shared" si="19"/>
        <v>bio_all</v>
      </c>
      <c r="C123" t="str">
        <f t="shared" si="20"/>
        <v>DE0</v>
      </c>
      <c r="D123" s="90">
        <f t="shared" si="21"/>
        <v>1</v>
      </c>
      <c r="E123">
        <f t="shared" si="22"/>
        <v>1</v>
      </c>
      <c r="F123">
        <f t="shared" si="23"/>
        <v>7</v>
      </c>
      <c r="G123">
        <f t="shared" si="24"/>
        <v>2</v>
      </c>
    </row>
    <row r="124" spans="1:7">
      <c r="A124">
        <f t="shared" si="18"/>
        <v>2020</v>
      </c>
      <c r="B124" t="str">
        <f t="shared" si="19"/>
        <v>bio_all</v>
      </c>
      <c r="C124" t="str">
        <f t="shared" si="20"/>
        <v>DE0</v>
      </c>
      <c r="D124" s="90">
        <f t="shared" si="21"/>
        <v>1</v>
      </c>
      <c r="E124">
        <f t="shared" si="22"/>
        <v>2</v>
      </c>
      <c r="F124">
        <f t="shared" si="23"/>
        <v>7</v>
      </c>
      <c r="G124">
        <f t="shared" si="24"/>
        <v>2</v>
      </c>
    </row>
    <row r="125" spans="1:7">
      <c r="A125">
        <f t="shared" si="18"/>
        <v>2025</v>
      </c>
      <c r="B125" t="str">
        <f t="shared" si="19"/>
        <v>bio_all</v>
      </c>
      <c r="C125" t="str">
        <f t="shared" si="20"/>
        <v>DE0</v>
      </c>
      <c r="D125" s="90">
        <f t="shared" si="21"/>
        <v>1</v>
      </c>
      <c r="E125">
        <f t="shared" si="22"/>
        <v>3</v>
      </c>
      <c r="F125">
        <f t="shared" si="23"/>
        <v>7</v>
      </c>
      <c r="G125">
        <f t="shared" si="24"/>
        <v>2</v>
      </c>
    </row>
    <row r="126" spans="1:7">
      <c r="A126">
        <f t="shared" si="18"/>
        <v>2030</v>
      </c>
      <c r="B126" t="str">
        <f t="shared" si="19"/>
        <v>bio_all</v>
      </c>
      <c r="C126" t="str">
        <f t="shared" si="20"/>
        <v>DE0</v>
      </c>
      <c r="D126" s="90">
        <f t="shared" si="21"/>
        <v>1</v>
      </c>
      <c r="E126">
        <f t="shared" si="22"/>
        <v>4</v>
      </c>
      <c r="F126">
        <f t="shared" si="23"/>
        <v>7</v>
      </c>
      <c r="G126">
        <f t="shared" si="24"/>
        <v>2</v>
      </c>
    </row>
    <row r="127" spans="1:7">
      <c r="A127">
        <f t="shared" si="18"/>
        <v>2035</v>
      </c>
      <c r="B127" t="str">
        <f t="shared" si="19"/>
        <v>bio_all</v>
      </c>
      <c r="C127" t="str">
        <f t="shared" si="20"/>
        <v>DE0</v>
      </c>
      <c r="D127" s="90">
        <f t="shared" si="21"/>
        <v>1</v>
      </c>
      <c r="E127">
        <f t="shared" si="22"/>
        <v>5</v>
      </c>
      <c r="F127">
        <f t="shared" si="23"/>
        <v>7</v>
      </c>
      <c r="G127">
        <f t="shared" si="24"/>
        <v>2</v>
      </c>
    </row>
    <row r="128" spans="1:7">
      <c r="A128">
        <f t="shared" si="18"/>
        <v>2040</v>
      </c>
      <c r="B128" t="str">
        <f t="shared" si="19"/>
        <v>bio_all</v>
      </c>
      <c r="C128" t="str">
        <f t="shared" si="20"/>
        <v>DE0</v>
      </c>
      <c r="D128" s="90">
        <f t="shared" si="21"/>
        <v>1</v>
      </c>
      <c r="E128">
        <f t="shared" si="22"/>
        <v>6</v>
      </c>
      <c r="F128">
        <f t="shared" si="23"/>
        <v>7</v>
      </c>
      <c r="G128">
        <f t="shared" si="24"/>
        <v>2</v>
      </c>
    </row>
    <row r="129" spans="1:7">
      <c r="A129">
        <f t="shared" si="18"/>
        <v>2045</v>
      </c>
      <c r="B129" t="str">
        <f t="shared" si="19"/>
        <v>bio_all</v>
      </c>
      <c r="C129" t="str">
        <f t="shared" si="20"/>
        <v>DE0</v>
      </c>
      <c r="D129" s="90">
        <f t="shared" si="21"/>
        <v>1</v>
      </c>
      <c r="E129">
        <f t="shared" si="22"/>
        <v>7</v>
      </c>
      <c r="F129">
        <f t="shared" si="23"/>
        <v>7</v>
      </c>
      <c r="G129">
        <f t="shared" si="24"/>
        <v>2</v>
      </c>
    </row>
    <row r="130" spans="1:7">
      <c r="A130">
        <f t="shared" si="18"/>
        <v>2050</v>
      </c>
      <c r="B130" t="str">
        <f t="shared" si="19"/>
        <v>bio_all</v>
      </c>
      <c r="C130" t="str">
        <f t="shared" si="20"/>
        <v>DE0</v>
      </c>
      <c r="D130" s="90">
        <f t="shared" si="21"/>
        <v>1</v>
      </c>
      <c r="E130">
        <f t="shared" si="22"/>
        <v>8</v>
      </c>
      <c r="F130">
        <f t="shared" si="23"/>
        <v>7</v>
      </c>
      <c r="G130">
        <f t="shared" si="24"/>
        <v>2</v>
      </c>
    </row>
    <row r="131" spans="1:7">
      <c r="A131">
        <f t="shared" si="18"/>
        <v>2015</v>
      </c>
      <c r="B131" t="str">
        <f t="shared" si="19"/>
        <v>lost_load</v>
      </c>
      <c r="C131" t="str">
        <f t="shared" si="20"/>
        <v>DE0</v>
      </c>
      <c r="D131" s="90">
        <f t="shared" si="21"/>
        <v>300</v>
      </c>
      <c r="E131">
        <f t="shared" si="22"/>
        <v>1</v>
      </c>
      <c r="F131">
        <f t="shared" si="23"/>
        <v>8</v>
      </c>
      <c r="G131">
        <f t="shared" si="24"/>
        <v>2</v>
      </c>
    </row>
    <row r="132" spans="1:7">
      <c r="A132">
        <f t="shared" si="18"/>
        <v>2020</v>
      </c>
      <c r="B132" t="str">
        <f t="shared" si="19"/>
        <v>lost_load</v>
      </c>
      <c r="C132" t="str">
        <f t="shared" si="20"/>
        <v>DE0</v>
      </c>
      <c r="D132" s="90">
        <f t="shared" si="21"/>
        <v>300</v>
      </c>
      <c r="E132">
        <f t="shared" si="22"/>
        <v>2</v>
      </c>
      <c r="F132">
        <f t="shared" si="23"/>
        <v>8</v>
      </c>
      <c r="G132">
        <f t="shared" si="24"/>
        <v>2</v>
      </c>
    </row>
    <row r="133" spans="1:7">
      <c r="A133">
        <f t="shared" si="18"/>
        <v>2025</v>
      </c>
      <c r="B133" t="str">
        <f t="shared" si="19"/>
        <v>lost_load</v>
      </c>
      <c r="C133" t="str">
        <f t="shared" si="20"/>
        <v>DE0</v>
      </c>
      <c r="D133" s="90">
        <f t="shared" si="21"/>
        <v>300</v>
      </c>
      <c r="E133">
        <f t="shared" si="22"/>
        <v>3</v>
      </c>
      <c r="F133">
        <f t="shared" si="23"/>
        <v>8</v>
      </c>
      <c r="G133">
        <f t="shared" si="24"/>
        <v>2</v>
      </c>
    </row>
    <row r="134" spans="1:7">
      <c r="A134">
        <f t="shared" si="18"/>
        <v>2030</v>
      </c>
      <c r="B134" t="str">
        <f t="shared" si="19"/>
        <v>lost_load</v>
      </c>
      <c r="C134" t="str">
        <f t="shared" si="20"/>
        <v>DE0</v>
      </c>
      <c r="D134" s="90">
        <f t="shared" si="21"/>
        <v>300</v>
      </c>
      <c r="E134">
        <f t="shared" si="22"/>
        <v>4</v>
      </c>
      <c r="F134">
        <f t="shared" si="23"/>
        <v>8</v>
      </c>
      <c r="G134">
        <f t="shared" si="24"/>
        <v>2</v>
      </c>
    </row>
    <row r="135" spans="1:7">
      <c r="A135">
        <f t="shared" si="18"/>
        <v>2035</v>
      </c>
      <c r="B135" t="str">
        <f t="shared" si="19"/>
        <v>lost_load</v>
      </c>
      <c r="C135" t="str">
        <f t="shared" si="20"/>
        <v>DE0</v>
      </c>
      <c r="D135" s="90">
        <f t="shared" si="21"/>
        <v>300</v>
      </c>
      <c r="E135">
        <f t="shared" si="22"/>
        <v>5</v>
      </c>
      <c r="F135">
        <f t="shared" si="23"/>
        <v>8</v>
      </c>
      <c r="G135">
        <f t="shared" si="24"/>
        <v>2</v>
      </c>
    </row>
    <row r="136" spans="1:7">
      <c r="A136">
        <f t="shared" si="18"/>
        <v>2040</v>
      </c>
      <c r="B136" t="str">
        <f t="shared" si="19"/>
        <v>lost_load</v>
      </c>
      <c r="C136" t="str">
        <f t="shared" si="20"/>
        <v>DE0</v>
      </c>
      <c r="D136" s="90">
        <f t="shared" si="21"/>
        <v>300</v>
      </c>
      <c r="E136">
        <f t="shared" si="22"/>
        <v>6</v>
      </c>
      <c r="F136">
        <f t="shared" si="23"/>
        <v>8</v>
      </c>
      <c r="G136">
        <f t="shared" si="24"/>
        <v>2</v>
      </c>
    </row>
    <row r="137" spans="1:7">
      <c r="A137">
        <f t="shared" si="18"/>
        <v>2045</v>
      </c>
      <c r="B137" t="str">
        <f t="shared" si="19"/>
        <v>lost_load</v>
      </c>
      <c r="C137" t="str">
        <f t="shared" si="20"/>
        <v>DE0</v>
      </c>
      <c r="D137" s="90">
        <f t="shared" si="21"/>
        <v>300</v>
      </c>
      <c r="E137">
        <f t="shared" si="22"/>
        <v>7</v>
      </c>
      <c r="F137">
        <f t="shared" si="23"/>
        <v>8</v>
      </c>
      <c r="G137">
        <f t="shared" si="24"/>
        <v>2</v>
      </c>
    </row>
    <row r="138" spans="1:7">
      <c r="A138">
        <f t="shared" si="18"/>
        <v>2050</v>
      </c>
      <c r="B138" t="str">
        <f t="shared" si="19"/>
        <v>lost_load</v>
      </c>
      <c r="C138" t="str">
        <f t="shared" si="20"/>
        <v>DE0</v>
      </c>
      <c r="D138" s="90">
        <f t="shared" si="21"/>
        <v>300</v>
      </c>
      <c r="E138">
        <f t="shared" si="22"/>
        <v>8</v>
      </c>
      <c r="F138">
        <f t="shared" si="23"/>
        <v>8</v>
      </c>
      <c r="G138">
        <f t="shared" si="24"/>
        <v>2</v>
      </c>
    </row>
    <row r="139" spans="1:7">
      <c r="A139">
        <f t="shared" ref="A139:A202" si="26">INDEX(E$2:E$9,E139)</f>
        <v>2015</v>
      </c>
      <c r="B139" t="str">
        <f t="shared" ref="B139:B202" si="27">INDEX(F$2:F$9,F139)</f>
        <v>hard_coal</v>
      </c>
      <c r="C139" t="str">
        <f t="shared" ref="C139:C202" si="28">INDEX(G$2:G$9,G139)</f>
        <v>FR0</v>
      </c>
      <c r="D139" s="90">
        <f t="shared" si="21"/>
        <v>10.8351179180115</v>
      </c>
      <c r="E139">
        <f t="shared" si="22"/>
        <v>1</v>
      </c>
      <c r="F139">
        <f t="shared" si="23"/>
        <v>1</v>
      </c>
      <c r="G139">
        <f t="shared" si="24"/>
        <v>3</v>
      </c>
    </row>
    <row r="140" spans="1:7">
      <c r="A140">
        <f t="shared" si="26"/>
        <v>2020</v>
      </c>
      <c r="B140" t="str">
        <f t="shared" si="27"/>
        <v>hard_coal</v>
      </c>
      <c r="C140" t="str">
        <f t="shared" si="28"/>
        <v>FR0</v>
      </c>
      <c r="D140" s="90">
        <f t="shared" ref="D140:D203" si="29">INDEX($L$43:$S$82,MATCH(C140&amp;"-"&amp;B140,$K$43:$K$82,0),MATCH(A140,$L$42:$S$42,0))</f>
        <v>16.551073991832286</v>
      </c>
      <c r="E140">
        <f t="shared" ref="E140:E203" si="30">IF(E139=$E$1,1,E139+1)</f>
        <v>2</v>
      </c>
      <c r="F140">
        <f t="shared" ref="F140:F203" si="31">IF(E140=1,IF(F139=$F$1,1,F139+1),F139)</f>
        <v>1</v>
      </c>
      <c r="G140">
        <f t="shared" ref="G140:G203" si="32">IF(AND(F140=1,F139&gt;1),IF(G139=$G$1,1,G139+1),G139)</f>
        <v>3</v>
      </c>
    </row>
    <row r="141" spans="1:7">
      <c r="A141">
        <f t="shared" si="26"/>
        <v>2025</v>
      </c>
      <c r="B141" t="str">
        <f t="shared" si="27"/>
        <v>hard_coal</v>
      </c>
      <c r="C141" t="str">
        <f t="shared" si="28"/>
        <v>FR0</v>
      </c>
      <c r="D141" s="90">
        <f t="shared" si="29"/>
        <v>20.489252716740868</v>
      </c>
      <c r="E141">
        <f t="shared" si="30"/>
        <v>3</v>
      </c>
      <c r="F141">
        <f t="shared" si="31"/>
        <v>1</v>
      </c>
      <c r="G141">
        <f t="shared" si="32"/>
        <v>3</v>
      </c>
    </row>
    <row r="142" spans="1:7">
      <c r="A142">
        <f t="shared" si="26"/>
        <v>2030</v>
      </c>
      <c r="B142" t="str">
        <f t="shared" si="27"/>
        <v>hard_coal</v>
      </c>
      <c r="C142" t="str">
        <f t="shared" si="28"/>
        <v>FR0</v>
      </c>
      <c r="D142" s="90">
        <f t="shared" si="29"/>
        <v>24.521702625968029</v>
      </c>
      <c r="E142">
        <f t="shared" si="30"/>
        <v>4</v>
      </c>
      <c r="F142">
        <f t="shared" si="31"/>
        <v>1</v>
      </c>
      <c r="G142">
        <f t="shared" si="32"/>
        <v>3</v>
      </c>
    </row>
    <row r="143" spans="1:7">
      <c r="A143">
        <f t="shared" si="26"/>
        <v>2035</v>
      </c>
      <c r="B143" t="str">
        <f t="shared" si="27"/>
        <v>hard_coal</v>
      </c>
      <c r="C143" t="str">
        <f t="shared" si="28"/>
        <v>FR0</v>
      </c>
      <c r="D143" s="90">
        <f t="shared" si="29"/>
        <v>26.021792846437396</v>
      </c>
      <c r="E143">
        <f t="shared" si="30"/>
        <v>5</v>
      </c>
      <c r="F143">
        <f t="shared" si="31"/>
        <v>1</v>
      </c>
      <c r="G143">
        <f t="shared" si="32"/>
        <v>3</v>
      </c>
    </row>
    <row r="144" spans="1:7">
      <c r="A144">
        <f t="shared" si="26"/>
        <v>2040</v>
      </c>
      <c r="B144" t="str">
        <f t="shared" si="27"/>
        <v>hard_coal</v>
      </c>
      <c r="C144" t="str">
        <f t="shared" si="28"/>
        <v>FR0</v>
      </c>
      <c r="D144" s="90">
        <f t="shared" si="29"/>
        <v>27.053473119823831</v>
      </c>
      <c r="E144">
        <f t="shared" si="30"/>
        <v>6</v>
      </c>
      <c r="F144">
        <f t="shared" si="31"/>
        <v>1</v>
      </c>
      <c r="G144">
        <f t="shared" si="32"/>
        <v>3</v>
      </c>
    </row>
    <row r="145" spans="1:7">
      <c r="A145">
        <f t="shared" si="26"/>
        <v>2045</v>
      </c>
      <c r="B145" t="str">
        <f t="shared" si="27"/>
        <v>hard_coal</v>
      </c>
      <c r="C145" t="str">
        <f t="shared" si="28"/>
        <v>FR0</v>
      </c>
      <c r="D145" s="90">
        <f t="shared" si="29"/>
        <v>28.084564198308275</v>
      </c>
      <c r="E145">
        <f t="shared" si="30"/>
        <v>7</v>
      </c>
      <c r="F145">
        <f t="shared" si="31"/>
        <v>1</v>
      </c>
      <c r="G145">
        <f t="shared" si="32"/>
        <v>3</v>
      </c>
    </row>
    <row r="146" spans="1:7">
      <c r="A146">
        <f t="shared" si="26"/>
        <v>2050</v>
      </c>
      <c r="B146" t="str">
        <f t="shared" si="27"/>
        <v>hard_coal</v>
      </c>
      <c r="C146" t="str">
        <f t="shared" si="28"/>
        <v>FR0</v>
      </c>
      <c r="D146" s="90">
        <f t="shared" si="29"/>
        <v>28.83519850344495</v>
      </c>
      <c r="E146">
        <f t="shared" si="30"/>
        <v>8</v>
      </c>
      <c r="F146">
        <f t="shared" si="31"/>
        <v>1</v>
      </c>
      <c r="G146">
        <f t="shared" si="32"/>
        <v>3</v>
      </c>
    </row>
    <row r="147" spans="1:7">
      <c r="A147">
        <f t="shared" si="26"/>
        <v>2015</v>
      </c>
      <c r="B147" t="str">
        <f t="shared" si="27"/>
        <v>mineral_oil_heavy</v>
      </c>
      <c r="C147" t="str">
        <f t="shared" si="28"/>
        <v>FR0</v>
      </c>
      <c r="D147" s="90">
        <f t="shared" si="29"/>
        <v>32.7896200185357</v>
      </c>
      <c r="E147">
        <f t="shared" si="30"/>
        <v>1</v>
      </c>
      <c r="F147">
        <f t="shared" si="31"/>
        <v>2</v>
      </c>
      <c r="G147">
        <f t="shared" si="32"/>
        <v>3</v>
      </c>
    </row>
    <row r="148" spans="1:7">
      <c r="A148">
        <f t="shared" si="26"/>
        <v>2020</v>
      </c>
      <c r="B148" t="str">
        <f t="shared" si="27"/>
        <v>mineral_oil_heavy</v>
      </c>
      <c r="C148" t="str">
        <f t="shared" si="28"/>
        <v>FR0</v>
      </c>
      <c r="D148" s="90">
        <f t="shared" si="29"/>
        <v>86.877966688393229</v>
      </c>
      <c r="E148">
        <f t="shared" si="30"/>
        <v>2</v>
      </c>
      <c r="F148">
        <f t="shared" si="31"/>
        <v>2</v>
      </c>
      <c r="G148">
        <f t="shared" si="32"/>
        <v>3</v>
      </c>
    </row>
    <row r="149" spans="1:7">
      <c r="A149">
        <f t="shared" si="26"/>
        <v>2025</v>
      </c>
      <c r="B149" t="str">
        <f t="shared" si="27"/>
        <v>mineral_oil_heavy</v>
      </c>
      <c r="C149" t="str">
        <f t="shared" si="28"/>
        <v>FR0</v>
      </c>
      <c r="D149" s="90">
        <f t="shared" si="29"/>
        <v>101.97549685701344</v>
      </c>
      <c r="E149">
        <f t="shared" si="30"/>
        <v>3</v>
      </c>
      <c r="F149">
        <f t="shared" si="31"/>
        <v>2</v>
      </c>
      <c r="G149">
        <f t="shared" si="32"/>
        <v>3</v>
      </c>
    </row>
    <row r="150" spans="1:7">
      <c r="A150">
        <f t="shared" si="26"/>
        <v>2030</v>
      </c>
      <c r="B150" t="str">
        <f t="shared" si="27"/>
        <v>mineral_oil_heavy</v>
      </c>
      <c r="C150" t="str">
        <f t="shared" si="28"/>
        <v>FR0</v>
      </c>
      <c r="D150" s="90">
        <f t="shared" si="29"/>
        <v>112.3842139955884</v>
      </c>
      <c r="E150">
        <f t="shared" si="30"/>
        <v>4</v>
      </c>
      <c r="F150">
        <f t="shared" si="31"/>
        <v>2</v>
      </c>
      <c r="G150">
        <f t="shared" si="32"/>
        <v>3</v>
      </c>
    </row>
    <row r="151" spans="1:7">
      <c r="A151">
        <f t="shared" si="26"/>
        <v>2035</v>
      </c>
      <c r="B151" t="str">
        <f t="shared" si="27"/>
        <v>mineral_oil_heavy</v>
      </c>
      <c r="C151" t="str">
        <f t="shared" si="28"/>
        <v>FR0</v>
      </c>
      <c r="D151" s="90">
        <f t="shared" si="29"/>
        <v>117.16670901505024</v>
      </c>
      <c r="E151">
        <f t="shared" si="30"/>
        <v>5</v>
      </c>
      <c r="F151">
        <f t="shared" si="31"/>
        <v>2</v>
      </c>
      <c r="G151">
        <f t="shared" si="32"/>
        <v>3</v>
      </c>
    </row>
    <row r="152" spans="1:7">
      <c r="A152">
        <f t="shared" si="26"/>
        <v>2040</v>
      </c>
      <c r="B152" t="str">
        <f t="shared" si="27"/>
        <v>mineral_oil_heavy</v>
      </c>
      <c r="C152" t="str">
        <f t="shared" si="28"/>
        <v>FR0</v>
      </c>
      <c r="D152" s="90">
        <f t="shared" si="29"/>
        <v>124.10565737579955</v>
      </c>
      <c r="E152">
        <f t="shared" si="30"/>
        <v>6</v>
      </c>
      <c r="F152">
        <f t="shared" si="31"/>
        <v>2</v>
      </c>
      <c r="G152">
        <f t="shared" si="32"/>
        <v>3</v>
      </c>
    </row>
    <row r="153" spans="1:7">
      <c r="A153">
        <f t="shared" si="26"/>
        <v>2045</v>
      </c>
      <c r="B153" t="str">
        <f t="shared" si="27"/>
        <v>mineral_oil_heavy</v>
      </c>
      <c r="C153" t="str">
        <f t="shared" si="28"/>
        <v>FR0</v>
      </c>
      <c r="D153" s="90">
        <f t="shared" si="29"/>
        <v>126.9190630328071</v>
      </c>
      <c r="E153">
        <f t="shared" si="30"/>
        <v>7</v>
      </c>
      <c r="F153">
        <f t="shared" si="31"/>
        <v>2</v>
      </c>
      <c r="G153">
        <f t="shared" si="32"/>
        <v>3</v>
      </c>
    </row>
    <row r="154" spans="1:7">
      <c r="A154">
        <f t="shared" si="26"/>
        <v>2050</v>
      </c>
      <c r="B154" t="str">
        <f t="shared" si="27"/>
        <v>mineral_oil_heavy</v>
      </c>
      <c r="C154" t="str">
        <f t="shared" si="28"/>
        <v>FR0</v>
      </c>
      <c r="D154" s="90">
        <f t="shared" si="29"/>
        <v>129.82615067923123</v>
      </c>
      <c r="E154">
        <f t="shared" si="30"/>
        <v>8</v>
      </c>
      <c r="F154">
        <f t="shared" si="31"/>
        <v>2</v>
      </c>
      <c r="G154">
        <f t="shared" si="32"/>
        <v>3</v>
      </c>
    </row>
    <row r="155" spans="1:7">
      <c r="A155">
        <f t="shared" si="26"/>
        <v>2015</v>
      </c>
      <c r="B155" t="str">
        <f t="shared" si="27"/>
        <v>natural_gas</v>
      </c>
      <c r="C155" t="str">
        <f t="shared" si="28"/>
        <v>FR0</v>
      </c>
      <c r="D155" s="90">
        <f t="shared" si="29"/>
        <v>42.2</v>
      </c>
      <c r="E155">
        <f t="shared" si="30"/>
        <v>1</v>
      </c>
      <c r="F155">
        <f t="shared" si="31"/>
        <v>3</v>
      </c>
      <c r="G155">
        <f t="shared" si="32"/>
        <v>3</v>
      </c>
    </row>
    <row r="156" spans="1:7">
      <c r="A156">
        <f t="shared" si="26"/>
        <v>2020</v>
      </c>
      <c r="B156" t="str">
        <f t="shared" si="27"/>
        <v>natural_gas</v>
      </c>
      <c r="C156" t="str">
        <f t="shared" si="28"/>
        <v>FR0</v>
      </c>
      <c r="D156" s="90">
        <f t="shared" si="29"/>
        <v>56.30817839348645</v>
      </c>
      <c r="E156">
        <f t="shared" si="30"/>
        <v>2</v>
      </c>
      <c r="F156">
        <f t="shared" si="31"/>
        <v>3</v>
      </c>
      <c r="G156">
        <f t="shared" si="32"/>
        <v>3</v>
      </c>
    </row>
    <row r="157" spans="1:7">
      <c r="A157">
        <f t="shared" si="26"/>
        <v>2025</v>
      </c>
      <c r="B157" t="str">
        <f t="shared" si="27"/>
        <v>natural_gas</v>
      </c>
      <c r="C157" t="str">
        <f t="shared" si="28"/>
        <v>FR0</v>
      </c>
      <c r="D157" s="90">
        <f t="shared" si="29"/>
        <v>63.059762775402582</v>
      </c>
      <c r="E157">
        <f t="shared" si="30"/>
        <v>3</v>
      </c>
      <c r="F157">
        <f t="shared" si="31"/>
        <v>3</v>
      </c>
      <c r="G157">
        <f t="shared" si="32"/>
        <v>3</v>
      </c>
    </row>
    <row r="158" spans="1:7">
      <c r="A158">
        <f t="shared" si="26"/>
        <v>2030</v>
      </c>
      <c r="B158" t="str">
        <f t="shared" si="27"/>
        <v>natural_gas</v>
      </c>
      <c r="C158" t="str">
        <f t="shared" si="28"/>
        <v>FR0</v>
      </c>
      <c r="D158" s="90">
        <f t="shared" si="29"/>
        <v>68.592302905099118</v>
      </c>
      <c r="E158">
        <f t="shared" si="30"/>
        <v>4</v>
      </c>
      <c r="F158">
        <f t="shared" si="31"/>
        <v>3</v>
      </c>
      <c r="G158">
        <f t="shared" si="32"/>
        <v>3</v>
      </c>
    </row>
    <row r="159" spans="1:7">
      <c r="A159">
        <f t="shared" si="26"/>
        <v>2035</v>
      </c>
      <c r="B159" t="str">
        <f t="shared" si="27"/>
        <v>natural_gas</v>
      </c>
      <c r="C159" t="str">
        <f t="shared" si="28"/>
        <v>FR0</v>
      </c>
      <c r="D159" s="90">
        <f t="shared" si="29"/>
        <v>73.281115935144371</v>
      </c>
      <c r="E159">
        <f t="shared" si="30"/>
        <v>5</v>
      </c>
      <c r="F159">
        <f t="shared" si="31"/>
        <v>3</v>
      </c>
      <c r="G159">
        <f t="shared" si="32"/>
        <v>3</v>
      </c>
    </row>
    <row r="160" spans="1:7">
      <c r="A160">
        <f t="shared" si="26"/>
        <v>2040</v>
      </c>
      <c r="B160" t="str">
        <f t="shared" si="27"/>
        <v>natural_gas</v>
      </c>
      <c r="C160" t="str">
        <f t="shared" si="28"/>
        <v>FR0</v>
      </c>
      <c r="D160" s="90">
        <f t="shared" si="29"/>
        <v>75.719204439583592</v>
      </c>
      <c r="E160">
        <f t="shared" si="30"/>
        <v>6</v>
      </c>
      <c r="F160">
        <f t="shared" si="31"/>
        <v>3</v>
      </c>
      <c r="G160">
        <f t="shared" si="32"/>
        <v>3</v>
      </c>
    </row>
    <row r="161" spans="1:7">
      <c r="A161">
        <f t="shared" si="26"/>
        <v>2045</v>
      </c>
      <c r="B161" t="str">
        <f t="shared" si="27"/>
        <v>natural_gas</v>
      </c>
      <c r="C161" t="str">
        <f t="shared" si="28"/>
        <v>FR0</v>
      </c>
      <c r="D161" s="90">
        <f t="shared" si="29"/>
        <v>77.312976649469533</v>
      </c>
      <c r="E161">
        <f t="shared" si="30"/>
        <v>7</v>
      </c>
      <c r="F161">
        <f t="shared" si="31"/>
        <v>3</v>
      </c>
      <c r="G161">
        <f t="shared" si="32"/>
        <v>3</v>
      </c>
    </row>
    <row r="162" spans="1:7">
      <c r="A162">
        <f t="shared" si="26"/>
        <v>2050</v>
      </c>
      <c r="B162" t="str">
        <f t="shared" si="27"/>
        <v>natural_gas</v>
      </c>
      <c r="C162" t="str">
        <f t="shared" si="28"/>
        <v>FR0</v>
      </c>
      <c r="D162" s="90">
        <f t="shared" si="29"/>
        <v>78.438338912272556</v>
      </c>
      <c r="E162">
        <f t="shared" si="30"/>
        <v>8</v>
      </c>
      <c r="F162">
        <f t="shared" si="31"/>
        <v>3</v>
      </c>
      <c r="G162">
        <f t="shared" si="32"/>
        <v>3</v>
      </c>
    </row>
    <row r="163" spans="1:7">
      <c r="A163">
        <f t="shared" si="26"/>
        <v>2015</v>
      </c>
      <c r="B163" t="str">
        <f t="shared" si="27"/>
        <v>lignite</v>
      </c>
      <c r="C163" t="str">
        <f t="shared" si="28"/>
        <v>FR0</v>
      </c>
      <c r="D163" s="90" t="e">
        <f t="shared" si="29"/>
        <v>#N/A</v>
      </c>
      <c r="E163">
        <f t="shared" si="30"/>
        <v>1</v>
      </c>
      <c r="F163">
        <f t="shared" si="31"/>
        <v>4</v>
      </c>
      <c r="G163">
        <f t="shared" si="32"/>
        <v>3</v>
      </c>
    </row>
    <row r="164" spans="1:7">
      <c r="A164">
        <f t="shared" si="26"/>
        <v>2020</v>
      </c>
      <c r="B164" t="str">
        <f t="shared" si="27"/>
        <v>lignite</v>
      </c>
      <c r="C164" t="str">
        <f t="shared" si="28"/>
        <v>FR0</v>
      </c>
      <c r="D164" s="90" t="e">
        <f t="shared" si="29"/>
        <v>#N/A</v>
      </c>
      <c r="E164">
        <f t="shared" si="30"/>
        <v>2</v>
      </c>
      <c r="F164">
        <f t="shared" si="31"/>
        <v>4</v>
      </c>
      <c r="G164">
        <f t="shared" si="32"/>
        <v>3</v>
      </c>
    </row>
    <row r="165" spans="1:7">
      <c r="A165">
        <f t="shared" si="26"/>
        <v>2025</v>
      </c>
      <c r="B165" t="str">
        <f t="shared" si="27"/>
        <v>lignite</v>
      </c>
      <c r="C165" t="str">
        <f t="shared" si="28"/>
        <v>FR0</v>
      </c>
      <c r="D165" s="90" t="e">
        <f t="shared" si="29"/>
        <v>#N/A</v>
      </c>
      <c r="E165">
        <f t="shared" si="30"/>
        <v>3</v>
      </c>
      <c r="F165">
        <f t="shared" si="31"/>
        <v>4</v>
      </c>
      <c r="G165">
        <f t="shared" si="32"/>
        <v>3</v>
      </c>
    </row>
    <row r="166" spans="1:7">
      <c r="A166">
        <f t="shared" si="26"/>
        <v>2030</v>
      </c>
      <c r="B166" t="str">
        <f t="shared" si="27"/>
        <v>lignite</v>
      </c>
      <c r="C166" t="str">
        <f t="shared" si="28"/>
        <v>FR0</v>
      </c>
      <c r="D166" s="90" t="e">
        <f t="shared" si="29"/>
        <v>#N/A</v>
      </c>
      <c r="E166">
        <f t="shared" si="30"/>
        <v>4</v>
      </c>
      <c r="F166">
        <f t="shared" si="31"/>
        <v>4</v>
      </c>
      <c r="G166">
        <f t="shared" si="32"/>
        <v>3</v>
      </c>
    </row>
    <row r="167" spans="1:7">
      <c r="A167">
        <f t="shared" si="26"/>
        <v>2035</v>
      </c>
      <c r="B167" t="str">
        <f t="shared" si="27"/>
        <v>lignite</v>
      </c>
      <c r="C167" t="str">
        <f t="shared" si="28"/>
        <v>FR0</v>
      </c>
      <c r="D167" s="90" t="e">
        <f t="shared" si="29"/>
        <v>#N/A</v>
      </c>
      <c r="E167">
        <f t="shared" si="30"/>
        <v>5</v>
      </c>
      <c r="F167">
        <f t="shared" si="31"/>
        <v>4</v>
      </c>
      <c r="G167">
        <f t="shared" si="32"/>
        <v>3</v>
      </c>
    </row>
    <row r="168" spans="1:7">
      <c r="A168">
        <f t="shared" si="26"/>
        <v>2040</v>
      </c>
      <c r="B168" t="str">
        <f t="shared" si="27"/>
        <v>lignite</v>
      </c>
      <c r="C168" t="str">
        <f t="shared" si="28"/>
        <v>FR0</v>
      </c>
      <c r="D168" s="90" t="e">
        <f t="shared" si="29"/>
        <v>#N/A</v>
      </c>
      <c r="E168">
        <f t="shared" si="30"/>
        <v>6</v>
      </c>
      <c r="F168">
        <f t="shared" si="31"/>
        <v>4</v>
      </c>
      <c r="G168">
        <f t="shared" si="32"/>
        <v>3</v>
      </c>
    </row>
    <row r="169" spans="1:7">
      <c r="A169">
        <f t="shared" si="26"/>
        <v>2045</v>
      </c>
      <c r="B169" t="str">
        <f t="shared" si="27"/>
        <v>lignite</v>
      </c>
      <c r="C169" t="str">
        <f t="shared" si="28"/>
        <v>FR0</v>
      </c>
      <c r="D169" s="90" t="e">
        <f t="shared" si="29"/>
        <v>#N/A</v>
      </c>
      <c r="E169">
        <f t="shared" si="30"/>
        <v>7</v>
      </c>
      <c r="F169">
        <f t="shared" si="31"/>
        <v>4</v>
      </c>
      <c r="G169">
        <f t="shared" si="32"/>
        <v>3</v>
      </c>
    </row>
    <row r="170" spans="1:7">
      <c r="A170">
        <f t="shared" si="26"/>
        <v>2050</v>
      </c>
      <c r="B170" t="str">
        <f t="shared" si="27"/>
        <v>lignite</v>
      </c>
      <c r="C170" t="str">
        <f t="shared" si="28"/>
        <v>FR0</v>
      </c>
      <c r="D170" s="90" t="e">
        <f t="shared" si="29"/>
        <v>#N/A</v>
      </c>
      <c r="E170">
        <f t="shared" si="30"/>
        <v>8</v>
      </c>
      <c r="F170">
        <f t="shared" si="31"/>
        <v>4</v>
      </c>
      <c r="G170">
        <f t="shared" si="32"/>
        <v>3</v>
      </c>
    </row>
    <row r="171" spans="1:7">
      <c r="A171">
        <f t="shared" si="26"/>
        <v>2015</v>
      </c>
      <c r="B171" t="str">
        <f t="shared" si="27"/>
        <v>nuclear_fuel</v>
      </c>
      <c r="C171" t="str">
        <f t="shared" si="28"/>
        <v>FR0</v>
      </c>
      <c r="D171" s="90">
        <f t="shared" si="29"/>
        <v>1.881</v>
      </c>
      <c r="E171">
        <f t="shared" si="30"/>
        <v>1</v>
      </c>
      <c r="F171">
        <f t="shared" si="31"/>
        <v>5</v>
      </c>
      <c r="G171">
        <f t="shared" si="32"/>
        <v>3</v>
      </c>
    </row>
    <row r="172" spans="1:7">
      <c r="A172">
        <f t="shared" si="26"/>
        <v>2020</v>
      </c>
      <c r="B172" t="str">
        <f t="shared" si="27"/>
        <v>nuclear_fuel</v>
      </c>
      <c r="C172" t="str">
        <f t="shared" si="28"/>
        <v>FR0</v>
      </c>
      <c r="D172" s="90">
        <f t="shared" si="29"/>
        <v>1.881</v>
      </c>
      <c r="E172">
        <f t="shared" si="30"/>
        <v>2</v>
      </c>
      <c r="F172">
        <f t="shared" si="31"/>
        <v>5</v>
      </c>
      <c r="G172">
        <f t="shared" si="32"/>
        <v>3</v>
      </c>
    </row>
    <row r="173" spans="1:7">
      <c r="A173">
        <f t="shared" si="26"/>
        <v>2025</v>
      </c>
      <c r="B173" t="str">
        <f t="shared" si="27"/>
        <v>nuclear_fuel</v>
      </c>
      <c r="C173" t="str">
        <f t="shared" si="28"/>
        <v>FR0</v>
      </c>
      <c r="D173" s="90">
        <f t="shared" si="29"/>
        <v>1.881</v>
      </c>
      <c r="E173">
        <f t="shared" si="30"/>
        <v>3</v>
      </c>
      <c r="F173">
        <f t="shared" si="31"/>
        <v>5</v>
      </c>
      <c r="G173">
        <f t="shared" si="32"/>
        <v>3</v>
      </c>
    </row>
    <row r="174" spans="1:7">
      <c r="A174">
        <f t="shared" si="26"/>
        <v>2030</v>
      </c>
      <c r="B174" t="str">
        <f t="shared" si="27"/>
        <v>nuclear_fuel</v>
      </c>
      <c r="C174" t="str">
        <f t="shared" si="28"/>
        <v>FR0</v>
      </c>
      <c r="D174" s="90">
        <f t="shared" si="29"/>
        <v>1.881</v>
      </c>
      <c r="E174">
        <f t="shared" si="30"/>
        <v>4</v>
      </c>
      <c r="F174">
        <f t="shared" si="31"/>
        <v>5</v>
      </c>
      <c r="G174">
        <f t="shared" si="32"/>
        <v>3</v>
      </c>
    </row>
    <row r="175" spans="1:7">
      <c r="A175">
        <f t="shared" si="26"/>
        <v>2035</v>
      </c>
      <c r="B175" t="str">
        <f t="shared" si="27"/>
        <v>nuclear_fuel</v>
      </c>
      <c r="C175" t="str">
        <f t="shared" si="28"/>
        <v>FR0</v>
      </c>
      <c r="D175" s="90">
        <f t="shared" si="29"/>
        <v>1.881</v>
      </c>
      <c r="E175">
        <f t="shared" si="30"/>
        <v>5</v>
      </c>
      <c r="F175">
        <f t="shared" si="31"/>
        <v>5</v>
      </c>
      <c r="G175">
        <f t="shared" si="32"/>
        <v>3</v>
      </c>
    </row>
    <row r="176" spans="1:7">
      <c r="A176">
        <f t="shared" si="26"/>
        <v>2040</v>
      </c>
      <c r="B176" t="str">
        <f t="shared" si="27"/>
        <v>nuclear_fuel</v>
      </c>
      <c r="C176" t="str">
        <f t="shared" si="28"/>
        <v>FR0</v>
      </c>
      <c r="D176" s="90">
        <f t="shared" si="29"/>
        <v>1.881</v>
      </c>
      <c r="E176">
        <f t="shared" si="30"/>
        <v>6</v>
      </c>
      <c r="F176">
        <f t="shared" si="31"/>
        <v>5</v>
      </c>
      <c r="G176">
        <f t="shared" si="32"/>
        <v>3</v>
      </c>
    </row>
    <row r="177" spans="1:7">
      <c r="A177">
        <f t="shared" si="26"/>
        <v>2045</v>
      </c>
      <c r="B177" t="str">
        <f t="shared" si="27"/>
        <v>nuclear_fuel</v>
      </c>
      <c r="C177" t="str">
        <f t="shared" si="28"/>
        <v>FR0</v>
      </c>
      <c r="D177" s="90">
        <f t="shared" si="29"/>
        <v>1.881</v>
      </c>
      <c r="E177">
        <f t="shared" si="30"/>
        <v>7</v>
      </c>
      <c r="F177">
        <f t="shared" si="31"/>
        <v>5</v>
      </c>
      <c r="G177">
        <f t="shared" si="32"/>
        <v>3</v>
      </c>
    </row>
    <row r="178" spans="1:7">
      <c r="A178">
        <f t="shared" si="26"/>
        <v>2050</v>
      </c>
      <c r="B178" t="str">
        <f t="shared" si="27"/>
        <v>nuclear_fuel</v>
      </c>
      <c r="C178" t="str">
        <f t="shared" si="28"/>
        <v>FR0</v>
      </c>
      <c r="D178" s="90">
        <f t="shared" si="29"/>
        <v>1.881</v>
      </c>
      <c r="E178">
        <f t="shared" si="30"/>
        <v>8</v>
      </c>
      <c r="F178">
        <f t="shared" si="31"/>
        <v>5</v>
      </c>
      <c r="G178">
        <f t="shared" si="32"/>
        <v>3</v>
      </c>
    </row>
    <row r="179" spans="1:7">
      <c r="A179">
        <f t="shared" si="26"/>
        <v>2015</v>
      </c>
      <c r="B179" t="str">
        <f t="shared" si="27"/>
        <v>waste_mix</v>
      </c>
      <c r="C179" t="str">
        <f t="shared" si="28"/>
        <v>FR0</v>
      </c>
      <c r="D179" s="90">
        <f t="shared" si="29"/>
        <v>0.5</v>
      </c>
      <c r="E179">
        <f t="shared" si="30"/>
        <v>1</v>
      </c>
      <c r="F179">
        <f t="shared" si="31"/>
        <v>6</v>
      </c>
      <c r="G179">
        <f t="shared" si="32"/>
        <v>3</v>
      </c>
    </row>
    <row r="180" spans="1:7">
      <c r="A180">
        <f t="shared" si="26"/>
        <v>2020</v>
      </c>
      <c r="B180" t="str">
        <f t="shared" si="27"/>
        <v>waste_mix</v>
      </c>
      <c r="C180" t="str">
        <f t="shared" si="28"/>
        <v>FR0</v>
      </c>
      <c r="D180" s="90">
        <f t="shared" si="29"/>
        <v>0.5</v>
      </c>
      <c r="E180">
        <f t="shared" si="30"/>
        <v>2</v>
      </c>
      <c r="F180">
        <f t="shared" si="31"/>
        <v>6</v>
      </c>
      <c r="G180">
        <f t="shared" si="32"/>
        <v>3</v>
      </c>
    </row>
    <row r="181" spans="1:7">
      <c r="A181">
        <f t="shared" si="26"/>
        <v>2025</v>
      </c>
      <c r="B181" t="str">
        <f t="shared" si="27"/>
        <v>waste_mix</v>
      </c>
      <c r="C181" t="str">
        <f t="shared" si="28"/>
        <v>FR0</v>
      </c>
      <c r="D181" s="90">
        <f t="shared" si="29"/>
        <v>0.5</v>
      </c>
      <c r="E181">
        <f t="shared" si="30"/>
        <v>3</v>
      </c>
      <c r="F181">
        <f t="shared" si="31"/>
        <v>6</v>
      </c>
      <c r="G181">
        <f t="shared" si="32"/>
        <v>3</v>
      </c>
    </row>
    <row r="182" spans="1:7">
      <c r="A182">
        <f t="shared" si="26"/>
        <v>2030</v>
      </c>
      <c r="B182" t="str">
        <f t="shared" si="27"/>
        <v>waste_mix</v>
      </c>
      <c r="C182" t="str">
        <f t="shared" si="28"/>
        <v>FR0</v>
      </c>
      <c r="D182" s="90">
        <f t="shared" si="29"/>
        <v>0.5</v>
      </c>
      <c r="E182">
        <f t="shared" si="30"/>
        <v>4</v>
      </c>
      <c r="F182">
        <f t="shared" si="31"/>
        <v>6</v>
      </c>
      <c r="G182">
        <f t="shared" si="32"/>
        <v>3</v>
      </c>
    </row>
    <row r="183" spans="1:7">
      <c r="A183">
        <f t="shared" si="26"/>
        <v>2035</v>
      </c>
      <c r="B183" t="str">
        <f t="shared" si="27"/>
        <v>waste_mix</v>
      </c>
      <c r="C183" t="str">
        <f t="shared" si="28"/>
        <v>FR0</v>
      </c>
      <c r="D183" s="90">
        <f t="shared" si="29"/>
        <v>0.5</v>
      </c>
      <c r="E183">
        <f t="shared" si="30"/>
        <v>5</v>
      </c>
      <c r="F183">
        <f t="shared" si="31"/>
        <v>6</v>
      </c>
      <c r="G183">
        <f t="shared" si="32"/>
        <v>3</v>
      </c>
    </row>
    <row r="184" spans="1:7">
      <c r="A184">
        <f t="shared" si="26"/>
        <v>2040</v>
      </c>
      <c r="B184" t="str">
        <f t="shared" si="27"/>
        <v>waste_mix</v>
      </c>
      <c r="C184" t="str">
        <f t="shared" si="28"/>
        <v>FR0</v>
      </c>
      <c r="D184" s="90">
        <f t="shared" si="29"/>
        <v>0.5</v>
      </c>
      <c r="E184">
        <f t="shared" si="30"/>
        <v>6</v>
      </c>
      <c r="F184">
        <f t="shared" si="31"/>
        <v>6</v>
      </c>
      <c r="G184">
        <f t="shared" si="32"/>
        <v>3</v>
      </c>
    </row>
    <row r="185" spans="1:7">
      <c r="A185">
        <f t="shared" si="26"/>
        <v>2045</v>
      </c>
      <c r="B185" t="str">
        <f t="shared" si="27"/>
        <v>waste_mix</v>
      </c>
      <c r="C185" t="str">
        <f t="shared" si="28"/>
        <v>FR0</v>
      </c>
      <c r="D185" s="90">
        <f t="shared" si="29"/>
        <v>0.5</v>
      </c>
      <c r="E185">
        <f t="shared" si="30"/>
        <v>7</v>
      </c>
      <c r="F185">
        <f t="shared" si="31"/>
        <v>6</v>
      </c>
      <c r="G185">
        <f t="shared" si="32"/>
        <v>3</v>
      </c>
    </row>
    <row r="186" spans="1:7">
      <c r="A186">
        <f t="shared" si="26"/>
        <v>2050</v>
      </c>
      <c r="B186" t="str">
        <f t="shared" si="27"/>
        <v>waste_mix</v>
      </c>
      <c r="C186" t="str">
        <f t="shared" si="28"/>
        <v>FR0</v>
      </c>
      <c r="D186" s="90">
        <f t="shared" si="29"/>
        <v>0.5</v>
      </c>
      <c r="E186">
        <f t="shared" si="30"/>
        <v>8</v>
      </c>
      <c r="F186">
        <f t="shared" si="31"/>
        <v>6</v>
      </c>
      <c r="G186">
        <f t="shared" si="32"/>
        <v>3</v>
      </c>
    </row>
    <row r="187" spans="1:7">
      <c r="A187">
        <f t="shared" si="26"/>
        <v>2015</v>
      </c>
      <c r="B187" t="str">
        <f t="shared" si="27"/>
        <v>bio_all</v>
      </c>
      <c r="C187" t="str">
        <f t="shared" si="28"/>
        <v>FR0</v>
      </c>
      <c r="D187" s="90">
        <f t="shared" si="29"/>
        <v>1</v>
      </c>
      <c r="E187">
        <f t="shared" si="30"/>
        <v>1</v>
      </c>
      <c r="F187">
        <f t="shared" si="31"/>
        <v>7</v>
      </c>
      <c r="G187">
        <f t="shared" si="32"/>
        <v>3</v>
      </c>
    </row>
    <row r="188" spans="1:7">
      <c r="A188">
        <f t="shared" si="26"/>
        <v>2020</v>
      </c>
      <c r="B188" t="str">
        <f t="shared" si="27"/>
        <v>bio_all</v>
      </c>
      <c r="C188" t="str">
        <f t="shared" si="28"/>
        <v>FR0</v>
      </c>
      <c r="D188" s="90">
        <f t="shared" si="29"/>
        <v>1</v>
      </c>
      <c r="E188">
        <f t="shared" si="30"/>
        <v>2</v>
      </c>
      <c r="F188">
        <f t="shared" si="31"/>
        <v>7</v>
      </c>
      <c r="G188">
        <f t="shared" si="32"/>
        <v>3</v>
      </c>
    </row>
    <row r="189" spans="1:7">
      <c r="A189">
        <f t="shared" si="26"/>
        <v>2025</v>
      </c>
      <c r="B189" t="str">
        <f t="shared" si="27"/>
        <v>bio_all</v>
      </c>
      <c r="C189" t="str">
        <f t="shared" si="28"/>
        <v>FR0</v>
      </c>
      <c r="D189" s="90">
        <f t="shared" si="29"/>
        <v>1</v>
      </c>
      <c r="E189">
        <f t="shared" si="30"/>
        <v>3</v>
      </c>
      <c r="F189">
        <f t="shared" si="31"/>
        <v>7</v>
      </c>
      <c r="G189">
        <f t="shared" si="32"/>
        <v>3</v>
      </c>
    </row>
    <row r="190" spans="1:7">
      <c r="A190">
        <f t="shared" si="26"/>
        <v>2030</v>
      </c>
      <c r="B190" t="str">
        <f t="shared" si="27"/>
        <v>bio_all</v>
      </c>
      <c r="C190" t="str">
        <f t="shared" si="28"/>
        <v>FR0</v>
      </c>
      <c r="D190" s="90">
        <f t="shared" si="29"/>
        <v>1</v>
      </c>
      <c r="E190">
        <f t="shared" si="30"/>
        <v>4</v>
      </c>
      <c r="F190">
        <f t="shared" si="31"/>
        <v>7</v>
      </c>
      <c r="G190">
        <f t="shared" si="32"/>
        <v>3</v>
      </c>
    </row>
    <row r="191" spans="1:7">
      <c r="A191">
        <f t="shared" si="26"/>
        <v>2035</v>
      </c>
      <c r="B191" t="str">
        <f t="shared" si="27"/>
        <v>bio_all</v>
      </c>
      <c r="C191" t="str">
        <f t="shared" si="28"/>
        <v>FR0</v>
      </c>
      <c r="D191" s="90">
        <f t="shared" si="29"/>
        <v>1</v>
      </c>
      <c r="E191">
        <f t="shared" si="30"/>
        <v>5</v>
      </c>
      <c r="F191">
        <f t="shared" si="31"/>
        <v>7</v>
      </c>
      <c r="G191">
        <f t="shared" si="32"/>
        <v>3</v>
      </c>
    </row>
    <row r="192" spans="1:7">
      <c r="A192">
        <f t="shared" si="26"/>
        <v>2040</v>
      </c>
      <c r="B192" t="str">
        <f t="shared" si="27"/>
        <v>bio_all</v>
      </c>
      <c r="C192" t="str">
        <f t="shared" si="28"/>
        <v>FR0</v>
      </c>
      <c r="D192" s="90">
        <f t="shared" si="29"/>
        <v>1</v>
      </c>
      <c r="E192">
        <f t="shared" si="30"/>
        <v>6</v>
      </c>
      <c r="F192">
        <f t="shared" si="31"/>
        <v>7</v>
      </c>
      <c r="G192">
        <f t="shared" si="32"/>
        <v>3</v>
      </c>
    </row>
    <row r="193" spans="1:7">
      <c r="A193">
        <f t="shared" si="26"/>
        <v>2045</v>
      </c>
      <c r="B193" t="str">
        <f t="shared" si="27"/>
        <v>bio_all</v>
      </c>
      <c r="C193" t="str">
        <f t="shared" si="28"/>
        <v>FR0</v>
      </c>
      <c r="D193" s="90">
        <f t="shared" si="29"/>
        <v>1</v>
      </c>
      <c r="E193">
        <f t="shared" si="30"/>
        <v>7</v>
      </c>
      <c r="F193">
        <f t="shared" si="31"/>
        <v>7</v>
      </c>
      <c r="G193">
        <f t="shared" si="32"/>
        <v>3</v>
      </c>
    </row>
    <row r="194" spans="1:7">
      <c r="A194">
        <f t="shared" si="26"/>
        <v>2050</v>
      </c>
      <c r="B194" t="str">
        <f t="shared" si="27"/>
        <v>bio_all</v>
      </c>
      <c r="C194" t="str">
        <f t="shared" si="28"/>
        <v>FR0</v>
      </c>
      <c r="D194" s="90">
        <f t="shared" si="29"/>
        <v>1</v>
      </c>
      <c r="E194">
        <f t="shared" si="30"/>
        <v>8</v>
      </c>
      <c r="F194">
        <f t="shared" si="31"/>
        <v>7</v>
      </c>
      <c r="G194">
        <f t="shared" si="32"/>
        <v>3</v>
      </c>
    </row>
    <row r="195" spans="1:7">
      <c r="A195">
        <f t="shared" si="26"/>
        <v>2015</v>
      </c>
      <c r="B195" t="str">
        <f t="shared" si="27"/>
        <v>lost_load</v>
      </c>
      <c r="C195" t="str">
        <f t="shared" si="28"/>
        <v>FR0</v>
      </c>
      <c r="D195" s="90">
        <f t="shared" si="29"/>
        <v>300</v>
      </c>
      <c r="E195">
        <f t="shared" si="30"/>
        <v>1</v>
      </c>
      <c r="F195">
        <f t="shared" si="31"/>
        <v>8</v>
      </c>
      <c r="G195">
        <f t="shared" si="32"/>
        <v>3</v>
      </c>
    </row>
    <row r="196" spans="1:7">
      <c r="A196">
        <f t="shared" si="26"/>
        <v>2020</v>
      </c>
      <c r="B196" t="str">
        <f t="shared" si="27"/>
        <v>lost_load</v>
      </c>
      <c r="C196" t="str">
        <f t="shared" si="28"/>
        <v>FR0</v>
      </c>
      <c r="D196" s="90">
        <f t="shared" si="29"/>
        <v>300</v>
      </c>
      <c r="E196">
        <f t="shared" si="30"/>
        <v>2</v>
      </c>
      <c r="F196">
        <f t="shared" si="31"/>
        <v>8</v>
      </c>
      <c r="G196">
        <f t="shared" si="32"/>
        <v>3</v>
      </c>
    </row>
    <row r="197" spans="1:7">
      <c r="A197">
        <f t="shared" si="26"/>
        <v>2025</v>
      </c>
      <c r="B197" t="str">
        <f t="shared" si="27"/>
        <v>lost_load</v>
      </c>
      <c r="C197" t="str">
        <f t="shared" si="28"/>
        <v>FR0</v>
      </c>
      <c r="D197" s="90">
        <f t="shared" si="29"/>
        <v>300</v>
      </c>
      <c r="E197">
        <f t="shared" si="30"/>
        <v>3</v>
      </c>
      <c r="F197">
        <f t="shared" si="31"/>
        <v>8</v>
      </c>
      <c r="G197">
        <f t="shared" si="32"/>
        <v>3</v>
      </c>
    </row>
    <row r="198" spans="1:7">
      <c r="A198">
        <f t="shared" si="26"/>
        <v>2030</v>
      </c>
      <c r="B198" t="str">
        <f t="shared" si="27"/>
        <v>lost_load</v>
      </c>
      <c r="C198" t="str">
        <f t="shared" si="28"/>
        <v>FR0</v>
      </c>
      <c r="D198" s="90">
        <f t="shared" si="29"/>
        <v>300</v>
      </c>
      <c r="E198">
        <f t="shared" si="30"/>
        <v>4</v>
      </c>
      <c r="F198">
        <f t="shared" si="31"/>
        <v>8</v>
      </c>
      <c r="G198">
        <f t="shared" si="32"/>
        <v>3</v>
      </c>
    </row>
    <row r="199" spans="1:7">
      <c r="A199">
        <f t="shared" si="26"/>
        <v>2035</v>
      </c>
      <c r="B199" t="str">
        <f t="shared" si="27"/>
        <v>lost_load</v>
      </c>
      <c r="C199" t="str">
        <f t="shared" si="28"/>
        <v>FR0</v>
      </c>
      <c r="D199" s="90">
        <f t="shared" si="29"/>
        <v>300</v>
      </c>
      <c r="E199">
        <f t="shared" si="30"/>
        <v>5</v>
      </c>
      <c r="F199">
        <f t="shared" si="31"/>
        <v>8</v>
      </c>
      <c r="G199">
        <f t="shared" si="32"/>
        <v>3</v>
      </c>
    </row>
    <row r="200" spans="1:7">
      <c r="A200">
        <f t="shared" si="26"/>
        <v>2040</v>
      </c>
      <c r="B200" t="str">
        <f t="shared" si="27"/>
        <v>lost_load</v>
      </c>
      <c r="C200" t="str">
        <f t="shared" si="28"/>
        <v>FR0</v>
      </c>
      <c r="D200" s="90">
        <f t="shared" si="29"/>
        <v>300</v>
      </c>
      <c r="E200">
        <f t="shared" si="30"/>
        <v>6</v>
      </c>
      <c r="F200">
        <f t="shared" si="31"/>
        <v>8</v>
      </c>
      <c r="G200">
        <f t="shared" si="32"/>
        <v>3</v>
      </c>
    </row>
    <row r="201" spans="1:7">
      <c r="A201">
        <f t="shared" si="26"/>
        <v>2045</v>
      </c>
      <c r="B201" t="str">
        <f t="shared" si="27"/>
        <v>lost_load</v>
      </c>
      <c r="C201" t="str">
        <f t="shared" si="28"/>
        <v>FR0</v>
      </c>
      <c r="D201" s="90">
        <f t="shared" si="29"/>
        <v>300</v>
      </c>
      <c r="E201">
        <f t="shared" si="30"/>
        <v>7</v>
      </c>
      <c r="F201">
        <f t="shared" si="31"/>
        <v>8</v>
      </c>
      <c r="G201">
        <f t="shared" si="32"/>
        <v>3</v>
      </c>
    </row>
    <row r="202" spans="1:7">
      <c r="A202">
        <f t="shared" si="26"/>
        <v>2050</v>
      </c>
      <c r="B202" t="str">
        <f t="shared" si="27"/>
        <v>lost_load</v>
      </c>
      <c r="C202" t="str">
        <f t="shared" si="28"/>
        <v>FR0</v>
      </c>
      <c r="D202" s="90">
        <f t="shared" si="29"/>
        <v>300</v>
      </c>
      <c r="E202">
        <f t="shared" si="30"/>
        <v>8</v>
      </c>
      <c r="F202">
        <f t="shared" si="31"/>
        <v>8</v>
      </c>
      <c r="G202">
        <f t="shared" si="32"/>
        <v>3</v>
      </c>
    </row>
    <row r="203" spans="1:7">
      <c r="A203">
        <f t="shared" ref="A203:A266" si="33">INDEX(E$2:E$9,E203)</f>
        <v>2015</v>
      </c>
      <c r="B203" t="str">
        <f t="shared" ref="B203:B266" si="34">INDEX(F$2:F$9,F203)</f>
        <v>hard_coal</v>
      </c>
      <c r="C203" t="str">
        <f t="shared" ref="C203:C266" si="35">INDEX(G$2:G$9,G203)</f>
        <v>IT0</v>
      </c>
      <c r="D203" s="90">
        <f t="shared" si="29"/>
        <v>12.1371685288369</v>
      </c>
      <c r="E203">
        <f t="shared" si="30"/>
        <v>1</v>
      </c>
      <c r="F203">
        <f t="shared" si="31"/>
        <v>1</v>
      </c>
      <c r="G203">
        <f t="shared" si="32"/>
        <v>4</v>
      </c>
    </row>
    <row r="204" spans="1:7">
      <c r="A204">
        <f t="shared" si="33"/>
        <v>2020</v>
      </c>
      <c r="B204" t="str">
        <f t="shared" si="34"/>
        <v>hard_coal</v>
      </c>
      <c r="C204" t="str">
        <f t="shared" si="35"/>
        <v>IT0</v>
      </c>
      <c r="D204" s="90">
        <f t="shared" ref="D204:D267" si="36">INDEX($L$43:$S$82,MATCH(C204&amp;"-"&amp;B204,$K$43:$K$82,0),MATCH(A204,$L$42:$S$42,0))</f>
        <v>16.551073991832286</v>
      </c>
      <c r="E204">
        <f t="shared" ref="E204:E267" si="37">IF(E203=$E$1,1,E203+1)</f>
        <v>2</v>
      </c>
      <c r="F204">
        <f t="shared" ref="F204:F267" si="38">IF(E204=1,IF(F203=$F$1,1,F203+1),F203)</f>
        <v>1</v>
      </c>
      <c r="G204">
        <f t="shared" ref="G204:G267" si="39">IF(AND(F204=1,F203&gt;1),IF(G203=$G$1,1,G203+1),G203)</f>
        <v>4</v>
      </c>
    </row>
    <row r="205" spans="1:7">
      <c r="A205">
        <f t="shared" si="33"/>
        <v>2025</v>
      </c>
      <c r="B205" t="str">
        <f t="shared" si="34"/>
        <v>hard_coal</v>
      </c>
      <c r="C205" t="str">
        <f t="shared" si="35"/>
        <v>IT0</v>
      </c>
      <c r="D205" s="90">
        <f t="shared" si="36"/>
        <v>20.489252716740868</v>
      </c>
      <c r="E205">
        <f t="shared" si="37"/>
        <v>3</v>
      </c>
      <c r="F205">
        <f t="shared" si="38"/>
        <v>1</v>
      </c>
      <c r="G205">
        <f t="shared" si="39"/>
        <v>4</v>
      </c>
    </row>
    <row r="206" spans="1:7">
      <c r="A206">
        <f t="shared" si="33"/>
        <v>2030</v>
      </c>
      <c r="B206" t="str">
        <f t="shared" si="34"/>
        <v>hard_coal</v>
      </c>
      <c r="C206" t="str">
        <f t="shared" si="35"/>
        <v>IT0</v>
      </c>
      <c r="D206" s="90">
        <f t="shared" si="36"/>
        <v>24.521702625968029</v>
      </c>
      <c r="E206">
        <f t="shared" si="37"/>
        <v>4</v>
      </c>
      <c r="F206">
        <f t="shared" si="38"/>
        <v>1</v>
      </c>
      <c r="G206">
        <f t="shared" si="39"/>
        <v>4</v>
      </c>
    </row>
    <row r="207" spans="1:7">
      <c r="A207">
        <f t="shared" si="33"/>
        <v>2035</v>
      </c>
      <c r="B207" t="str">
        <f t="shared" si="34"/>
        <v>hard_coal</v>
      </c>
      <c r="C207" t="str">
        <f t="shared" si="35"/>
        <v>IT0</v>
      </c>
      <c r="D207" s="90">
        <f t="shared" si="36"/>
        <v>26.021792846437396</v>
      </c>
      <c r="E207">
        <f t="shared" si="37"/>
        <v>5</v>
      </c>
      <c r="F207">
        <f t="shared" si="38"/>
        <v>1</v>
      </c>
      <c r="G207">
        <f t="shared" si="39"/>
        <v>4</v>
      </c>
    </row>
    <row r="208" spans="1:7">
      <c r="A208">
        <f t="shared" si="33"/>
        <v>2040</v>
      </c>
      <c r="B208" t="str">
        <f t="shared" si="34"/>
        <v>hard_coal</v>
      </c>
      <c r="C208" t="str">
        <f t="shared" si="35"/>
        <v>IT0</v>
      </c>
      <c r="D208" s="90">
        <f t="shared" si="36"/>
        <v>27.053473119823831</v>
      </c>
      <c r="E208">
        <f t="shared" si="37"/>
        <v>6</v>
      </c>
      <c r="F208">
        <f t="shared" si="38"/>
        <v>1</v>
      </c>
      <c r="G208">
        <f t="shared" si="39"/>
        <v>4</v>
      </c>
    </row>
    <row r="209" spans="1:7">
      <c r="A209">
        <f t="shared" si="33"/>
        <v>2045</v>
      </c>
      <c r="B209" t="str">
        <f t="shared" si="34"/>
        <v>hard_coal</v>
      </c>
      <c r="C209" t="str">
        <f t="shared" si="35"/>
        <v>IT0</v>
      </c>
      <c r="D209" s="90">
        <f t="shared" si="36"/>
        <v>28.084564198308275</v>
      </c>
      <c r="E209">
        <f t="shared" si="37"/>
        <v>7</v>
      </c>
      <c r="F209">
        <f t="shared" si="38"/>
        <v>1</v>
      </c>
      <c r="G209">
        <f t="shared" si="39"/>
        <v>4</v>
      </c>
    </row>
    <row r="210" spans="1:7">
      <c r="A210">
        <f t="shared" si="33"/>
        <v>2050</v>
      </c>
      <c r="B210" t="str">
        <f t="shared" si="34"/>
        <v>hard_coal</v>
      </c>
      <c r="C210" t="str">
        <f t="shared" si="35"/>
        <v>IT0</v>
      </c>
      <c r="D210" s="90">
        <f t="shared" si="36"/>
        <v>28.83519850344495</v>
      </c>
      <c r="E210">
        <f t="shared" si="37"/>
        <v>8</v>
      </c>
      <c r="F210">
        <f t="shared" si="38"/>
        <v>1</v>
      </c>
      <c r="G210">
        <f t="shared" si="39"/>
        <v>4</v>
      </c>
    </row>
    <row r="211" spans="1:7">
      <c r="A211">
        <f t="shared" si="33"/>
        <v>2015</v>
      </c>
      <c r="B211" t="str">
        <f t="shared" si="34"/>
        <v>mineral_oil_heavy</v>
      </c>
      <c r="C211" t="str">
        <f t="shared" si="35"/>
        <v>IT0</v>
      </c>
      <c r="D211" s="90">
        <f t="shared" si="36"/>
        <v>38.3946500286862</v>
      </c>
      <c r="E211">
        <f t="shared" si="37"/>
        <v>1</v>
      </c>
      <c r="F211">
        <f t="shared" si="38"/>
        <v>2</v>
      </c>
      <c r="G211">
        <f t="shared" si="39"/>
        <v>4</v>
      </c>
    </row>
    <row r="212" spans="1:7">
      <c r="A212">
        <f t="shared" si="33"/>
        <v>2020</v>
      </c>
      <c r="B212" t="str">
        <f t="shared" si="34"/>
        <v>mineral_oil_heavy</v>
      </c>
      <c r="C212" t="str">
        <f t="shared" si="35"/>
        <v>IT0</v>
      </c>
      <c r="D212" s="90">
        <f t="shared" si="36"/>
        <v>86.877966688393229</v>
      </c>
      <c r="E212">
        <f t="shared" si="37"/>
        <v>2</v>
      </c>
      <c r="F212">
        <f t="shared" si="38"/>
        <v>2</v>
      </c>
      <c r="G212">
        <f t="shared" si="39"/>
        <v>4</v>
      </c>
    </row>
    <row r="213" spans="1:7">
      <c r="A213">
        <f t="shared" si="33"/>
        <v>2025</v>
      </c>
      <c r="B213" t="str">
        <f t="shared" si="34"/>
        <v>mineral_oil_heavy</v>
      </c>
      <c r="C213" t="str">
        <f t="shared" si="35"/>
        <v>IT0</v>
      </c>
      <c r="D213" s="90">
        <f t="shared" si="36"/>
        <v>101.97549685701344</v>
      </c>
      <c r="E213">
        <f t="shared" si="37"/>
        <v>3</v>
      </c>
      <c r="F213">
        <f t="shared" si="38"/>
        <v>2</v>
      </c>
      <c r="G213">
        <f t="shared" si="39"/>
        <v>4</v>
      </c>
    </row>
    <row r="214" spans="1:7">
      <c r="A214">
        <f t="shared" si="33"/>
        <v>2030</v>
      </c>
      <c r="B214" t="str">
        <f t="shared" si="34"/>
        <v>mineral_oil_heavy</v>
      </c>
      <c r="C214" t="str">
        <f t="shared" si="35"/>
        <v>IT0</v>
      </c>
      <c r="D214" s="90">
        <f t="shared" si="36"/>
        <v>112.3842139955884</v>
      </c>
      <c r="E214">
        <f t="shared" si="37"/>
        <v>4</v>
      </c>
      <c r="F214">
        <f t="shared" si="38"/>
        <v>2</v>
      </c>
      <c r="G214">
        <f t="shared" si="39"/>
        <v>4</v>
      </c>
    </row>
    <row r="215" spans="1:7">
      <c r="A215">
        <f t="shared" si="33"/>
        <v>2035</v>
      </c>
      <c r="B215" t="str">
        <f t="shared" si="34"/>
        <v>mineral_oil_heavy</v>
      </c>
      <c r="C215" t="str">
        <f t="shared" si="35"/>
        <v>IT0</v>
      </c>
      <c r="D215" s="90">
        <f t="shared" si="36"/>
        <v>117.16670901505024</v>
      </c>
      <c r="E215">
        <f t="shared" si="37"/>
        <v>5</v>
      </c>
      <c r="F215">
        <f t="shared" si="38"/>
        <v>2</v>
      </c>
      <c r="G215">
        <f t="shared" si="39"/>
        <v>4</v>
      </c>
    </row>
    <row r="216" spans="1:7">
      <c r="A216">
        <f t="shared" si="33"/>
        <v>2040</v>
      </c>
      <c r="B216" t="str">
        <f t="shared" si="34"/>
        <v>mineral_oil_heavy</v>
      </c>
      <c r="C216" t="str">
        <f t="shared" si="35"/>
        <v>IT0</v>
      </c>
      <c r="D216" s="90">
        <f t="shared" si="36"/>
        <v>124.10565737579955</v>
      </c>
      <c r="E216">
        <f t="shared" si="37"/>
        <v>6</v>
      </c>
      <c r="F216">
        <f t="shared" si="38"/>
        <v>2</v>
      </c>
      <c r="G216">
        <f t="shared" si="39"/>
        <v>4</v>
      </c>
    </row>
    <row r="217" spans="1:7">
      <c r="A217">
        <f t="shared" si="33"/>
        <v>2045</v>
      </c>
      <c r="B217" t="str">
        <f t="shared" si="34"/>
        <v>mineral_oil_heavy</v>
      </c>
      <c r="C217" t="str">
        <f t="shared" si="35"/>
        <v>IT0</v>
      </c>
      <c r="D217" s="90">
        <f t="shared" si="36"/>
        <v>126.9190630328071</v>
      </c>
      <c r="E217">
        <f t="shared" si="37"/>
        <v>7</v>
      </c>
      <c r="F217">
        <f t="shared" si="38"/>
        <v>2</v>
      </c>
      <c r="G217">
        <f t="shared" si="39"/>
        <v>4</v>
      </c>
    </row>
    <row r="218" spans="1:7">
      <c r="A218">
        <f t="shared" si="33"/>
        <v>2050</v>
      </c>
      <c r="B218" t="str">
        <f t="shared" si="34"/>
        <v>mineral_oil_heavy</v>
      </c>
      <c r="C218" t="str">
        <f t="shared" si="35"/>
        <v>IT0</v>
      </c>
      <c r="D218" s="90">
        <f t="shared" si="36"/>
        <v>129.82615067923123</v>
      </c>
      <c r="E218">
        <f t="shared" si="37"/>
        <v>8</v>
      </c>
      <c r="F218">
        <f t="shared" si="38"/>
        <v>2</v>
      </c>
      <c r="G218">
        <f t="shared" si="39"/>
        <v>4</v>
      </c>
    </row>
    <row r="219" spans="1:7">
      <c r="A219">
        <f t="shared" si="33"/>
        <v>2015</v>
      </c>
      <c r="B219" t="str">
        <f t="shared" si="34"/>
        <v>natural_gas</v>
      </c>
      <c r="C219" t="str">
        <f t="shared" si="35"/>
        <v>IT0</v>
      </c>
      <c r="D219" s="90">
        <f t="shared" si="36"/>
        <v>41.822222222222202</v>
      </c>
      <c r="E219">
        <f t="shared" si="37"/>
        <v>1</v>
      </c>
      <c r="F219">
        <f t="shared" si="38"/>
        <v>3</v>
      </c>
      <c r="G219">
        <f t="shared" si="39"/>
        <v>4</v>
      </c>
    </row>
    <row r="220" spans="1:7">
      <c r="A220">
        <f t="shared" si="33"/>
        <v>2020</v>
      </c>
      <c r="B220" t="str">
        <f t="shared" si="34"/>
        <v>natural_gas</v>
      </c>
      <c r="C220" t="str">
        <f t="shared" si="35"/>
        <v>IT0</v>
      </c>
      <c r="D220" s="90">
        <f t="shared" si="36"/>
        <v>56.30817839348645</v>
      </c>
      <c r="E220">
        <f t="shared" si="37"/>
        <v>2</v>
      </c>
      <c r="F220">
        <f t="shared" si="38"/>
        <v>3</v>
      </c>
      <c r="G220">
        <f t="shared" si="39"/>
        <v>4</v>
      </c>
    </row>
    <row r="221" spans="1:7">
      <c r="A221">
        <f t="shared" si="33"/>
        <v>2025</v>
      </c>
      <c r="B221" t="str">
        <f t="shared" si="34"/>
        <v>natural_gas</v>
      </c>
      <c r="C221" t="str">
        <f t="shared" si="35"/>
        <v>IT0</v>
      </c>
      <c r="D221" s="90">
        <f t="shared" si="36"/>
        <v>63.059762775402582</v>
      </c>
      <c r="E221">
        <f t="shared" si="37"/>
        <v>3</v>
      </c>
      <c r="F221">
        <f t="shared" si="38"/>
        <v>3</v>
      </c>
      <c r="G221">
        <f t="shared" si="39"/>
        <v>4</v>
      </c>
    </row>
    <row r="222" spans="1:7">
      <c r="A222">
        <f t="shared" si="33"/>
        <v>2030</v>
      </c>
      <c r="B222" t="str">
        <f t="shared" si="34"/>
        <v>natural_gas</v>
      </c>
      <c r="C222" t="str">
        <f t="shared" si="35"/>
        <v>IT0</v>
      </c>
      <c r="D222" s="90">
        <f t="shared" si="36"/>
        <v>68.592302905099118</v>
      </c>
      <c r="E222">
        <f t="shared" si="37"/>
        <v>4</v>
      </c>
      <c r="F222">
        <f t="shared" si="38"/>
        <v>3</v>
      </c>
      <c r="G222">
        <f t="shared" si="39"/>
        <v>4</v>
      </c>
    </row>
    <row r="223" spans="1:7">
      <c r="A223">
        <f t="shared" si="33"/>
        <v>2035</v>
      </c>
      <c r="B223" t="str">
        <f t="shared" si="34"/>
        <v>natural_gas</v>
      </c>
      <c r="C223" t="str">
        <f t="shared" si="35"/>
        <v>IT0</v>
      </c>
      <c r="D223" s="90">
        <f t="shared" si="36"/>
        <v>73.281115935144371</v>
      </c>
      <c r="E223">
        <f t="shared" si="37"/>
        <v>5</v>
      </c>
      <c r="F223">
        <f t="shared" si="38"/>
        <v>3</v>
      </c>
      <c r="G223">
        <f t="shared" si="39"/>
        <v>4</v>
      </c>
    </row>
    <row r="224" spans="1:7">
      <c r="A224">
        <f t="shared" si="33"/>
        <v>2040</v>
      </c>
      <c r="B224" t="str">
        <f t="shared" si="34"/>
        <v>natural_gas</v>
      </c>
      <c r="C224" t="str">
        <f t="shared" si="35"/>
        <v>IT0</v>
      </c>
      <c r="D224" s="90">
        <f t="shared" si="36"/>
        <v>75.719204439583592</v>
      </c>
      <c r="E224">
        <f t="shared" si="37"/>
        <v>6</v>
      </c>
      <c r="F224">
        <f t="shared" si="38"/>
        <v>3</v>
      </c>
      <c r="G224">
        <f t="shared" si="39"/>
        <v>4</v>
      </c>
    </row>
    <row r="225" spans="1:7">
      <c r="A225">
        <f t="shared" si="33"/>
        <v>2045</v>
      </c>
      <c r="B225" t="str">
        <f t="shared" si="34"/>
        <v>natural_gas</v>
      </c>
      <c r="C225" t="str">
        <f t="shared" si="35"/>
        <v>IT0</v>
      </c>
      <c r="D225" s="90">
        <f t="shared" si="36"/>
        <v>77.312976649469533</v>
      </c>
      <c r="E225">
        <f t="shared" si="37"/>
        <v>7</v>
      </c>
      <c r="F225">
        <f t="shared" si="38"/>
        <v>3</v>
      </c>
      <c r="G225">
        <f t="shared" si="39"/>
        <v>4</v>
      </c>
    </row>
    <row r="226" spans="1:7">
      <c r="A226">
        <f t="shared" si="33"/>
        <v>2050</v>
      </c>
      <c r="B226" t="str">
        <f t="shared" si="34"/>
        <v>natural_gas</v>
      </c>
      <c r="C226" t="str">
        <f t="shared" si="35"/>
        <v>IT0</v>
      </c>
      <c r="D226" s="90">
        <f t="shared" si="36"/>
        <v>78.438338912272556</v>
      </c>
      <c r="E226">
        <f t="shared" si="37"/>
        <v>8</v>
      </c>
      <c r="F226">
        <f t="shared" si="38"/>
        <v>3</v>
      </c>
      <c r="G226">
        <f t="shared" si="39"/>
        <v>4</v>
      </c>
    </row>
    <row r="227" spans="1:7">
      <c r="A227">
        <f t="shared" si="33"/>
        <v>2015</v>
      </c>
      <c r="B227" t="str">
        <f t="shared" si="34"/>
        <v>lignite</v>
      </c>
      <c r="C227" t="str">
        <f t="shared" si="35"/>
        <v>IT0</v>
      </c>
      <c r="D227" s="90" t="e">
        <f t="shared" si="36"/>
        <v>#N/A</v>
      </c>
      <c r="E227">
        <f t="shared" si="37"/>
        <v>1</v>
      </c>
      <c r="F227">
        <f t="shared" si="38"/>
        <v>4</v>
      </c>
      <c r="G227">
        <f t="shared" si="39"/>
        <v>4</v>
      </c>
    </row>
    <row r="228" spans="1:7">
      <c r="A228">
        <f t="shared" si="33"/>
        <v>2020</v>
      </c>
      <c r="B228" t="str">
        <f t="shared" si="34"/>
        <v>lignite</v>
      </c>
      <c r="C228" t="str">
        <f t="shared" si="35"/>
        <v>IT0</v>
      </c>
      <c r="D228" s="90" t="e">
        <f t="shared" si="36"/>
        <v>#N/A</v>
      </c>
      <c r="E228">
        <f t="shared" si="37"/>
        <v>2</v>
      </c>
      <c r="F228">
        <f t="shared" si="38"/>
        <v>4</v>
      </c>
      <c r="G228">
        <f t="shared" si="39"/>
        <v>4</v>
      </c>
    </row>
    <row r="229" spans="1:7">
      <c r="A229">
        <f t="shared" si="33"/>
        <v>2025</v>
      </c>
      <c r="B229" t="str">
        <f t="shared" si="34"/>
        <v>lignite</v>
      </c>
      <c r="C229" t="str">
        <f t="shared" si="35"/>
        <v>IT0</v>
      </c>
      <c r="D229" s="90" t="e">
        <f t="shared" si="36"/>
        <v>#N/A</v>
      </c>
      <c r="E229">
        <f t="shared" si="37"/>
        <v>3</v>
      </c>
      <c r="F229">
        <f t="shared" si="38"/>
        <v>4</v>
      </c>
      <c r="G229">
        <f t="shared" si="39"/>
        <v>4</v>
      </c>
    </row>
    <row r="230" spans="1:7">
      <c r="A230">
        <f t="shared" si="33"/>
        <v>2030</v>
      </c>
      <c r="B230" t="str">
        <f t="shared" si="34"/>
        <v>lignite</v>
      </c>
      <c r="C230" t="str">
        <f t="shared" si="35"/>
        <v>IT0</v>
      </c>
      <c r="D230" s="90" t="e">
        <f t="shared" si="36"/>
        <v>#N/A</v>
      </c>
      <c r="E230">
        <f t="shared" si="37"/>
        <v>4</v>
      </c>
      <c r="F230">
        <f t="shared" si="38"/>
        <v>4</v>
      </c>
      <c r="G230">
        <f t="shared" si="39"/>
        <v>4</v>
      </c>
    </row>
    <row r="231" spans="1:7">
      <c r="A231">
        <f t="shared" si="33"/>
        <v>2035</v>
      </c>
      <c r="B231" t="str">
        <f t="shared" si="34"/>
        <v>lignite</v>
      </c>
      <c r="C231" t="str">
        <f t="shared" si="35"/>
        <v>IT0</v>
      </c>
      <c r="D231" s="90" t="e">
        <f t="shared" si="36"/>
        <v>#N/A</v>
      </c>
      <c r="E231">
        <f t="shared" si="37"/>
        <v>5</v>
      </c>
      <c r="F231">
        <f t="shared" si="38"/>
        <v>4</v>
      </c>
      <c r="G231">
        <f t="shared" si="39"/>
        <v>4</v>
      </c>
    </row>
    <row r="232" spans="1:7">
      <c r="A232">
        <f t="shared" si="33"/>
        <v>2040</v>
      </c>
      <c r="B232" t="str">
        <f t="shared" si="34"/>
        <v>lignite</v>
      </c>
      <c r="C232" t="str">
        <f t="shared" si="35"/>
        <v>IT0</v>
      </c>
      <c r="D232" s="90" t="e">
        <f t="shared" si="36"/>
        <v>#N/A</v>
      </c>
      <c r="E232">
        <f t="shared" si="37"/>
        <v>6</v>
      </c>
      <c r="F232">
        <f t="shared" si="38"/>
        <v>4</v>
      </c>
      <c r="G232">
        <f t="shared" si="39"/>
        <v>4</v>
      </c>
    </row>
    <row r="233" spans="1:7">
      <c r="A233">
        <f t="shared" si="33"/>
        <v>2045</v>
      </c>
      <c r="B233" t="str">
        <f t="shared" si="34"/>
        <v>lignite</v>
      </c>
      <c r="C233" t="str">
        <f t="shared" si="35"/>
        <v>IT0</v>
      </c>
      <c r="D233" s="90" t="e">
        <f t="shared" si="36"/>
        <v>#N/A</v>
      </c>
      <c r="E233">
        <f t="shared" si="37"/>
        <v>7</v>
      </c>
      <c r="F233">
        <f t="shared" si="38"/>
        <v>4</v>
      </c>
      <c r="G233">
        <f t="shared" si="39"/>
        <v>4</v>
      </c>
    </row>
    <row r="234" spans="1:7">
      <c r="A234">
        <f t="shared" si="33"/>
        <v>2050</v>
      </c>
      <c r="B234" t="str">
        <f t="shared" si="34"/>
        <v>lignite</v>
      </c>
      <c r="C234" t="str">
        <f t="shared" si="35"/>
        <v>IT0</v>
      </c>
      <c r="D234" s="90" t="e">
        <f t="shared" si="36"/>
        <v>#N/A</v>
      </c>
      <c r="E234">
        <f t="shared" si="37"/>
        <v>8</v>
      </c>
      <c r="F234">
        <f t="shared" si="38"/>
        <v>4</v>
      </c>
      <c r="G234">
        <f t="shared" si="39"/>
        <v>4</v>
      </c>
    </row>
    <row r="235" spans="1:7">
      <c r="A235">
        <f t="shared" si="33"/>
        <v>2015</v>
      </c>
      <c r="B235" t="str">
        <f t="shared" si="34"/>
        <v>nuclear_fuel</v>
      </c>
      <c r="C235" t="str">
        <f t="shared" si="35"/>
        <v>IT0</v>
      </c>
      <c r="D235" s="90" t="e">
        <f t="shared" si="36"/>
        <v>#N/A</v>
      </c>
      <c r="E235">
        <f t="shared" si="37"/>
        <v>1</v>
      </c>
      <c r="F235">
        <f t="shared" si="38"/>
        <v>5</v>
      </c>
      <c r="G235">
        <f t="shared" si="39"/>
        <v>4</v>
      </c>
    </row>
    <row r="236" spans="1:7">
      <c r="A236">
        <f t="shared" si="33"/>
        <v>2020</v>
      </c>
      <c r="B236" t="str">
        <f t="shared" si="34"/>
        <v>nuclear_fuel</v>
      </c>
      <c r="C236" t="str">
        <f t="shared" si="35"/>
        <v>IT0</v>
      </c>
      <c r="D236" s="90" t="e">
        <f t="shared" si="36"/>
        <v>#N/A</v>
      </c>
      <c r="E236">
        <f t="shared" si="37"/>
        <v>2</v>
      </c>
      <c r="F236">
        <f t="shared" si="38"/>
        <v>5</v>
      </c>
      <c r="G236">
        <f t="shared" si="39"/>
        <v>4</v>
      </c>
    </row>
    <row r="237" spans="1:7">
      <c r="A237">
        <f t="shared" si="33"/>
        <v>2025</v>
      </c>
      <c r="B237" t="str">
        <f t="shared" si="34"/>
        <v>nuclear_fuel</v>
      </c>
      <c r="C237" t="str">
        <f t="shared" si="35"/>
        <v>IT0</v>
      </c>
      <c r="D237" s="90" t="e">
        <f t="shared" si="36"/>
        <v>#N/A</v>
      </c>
      <c r="E237">
        <f t="shared" si="37"/>
        <v>3</v>
      </c>
      <c r="F237">
        <f t="shared" si="38"/>
        <v>5</v>
      </c>
      <c r="G237">
        <f t="shared" si="39"/>
        <v>4</v>
      </c>
    </row>
    <row r="238" spans="1:7">
      <c r="A238">
        <f t="shared" si="33"/>
        <v>2030</v>
      </c>
      <c r="B238" t="str">
        <f t="shared" si="34"/>
        <v>nuclear_fuel</v>
      </c>
      <c r="C238" t="str">
        <f t="shared" si="35"/>
        <v>IT0</v>
      </c>
      <c r="D238" s="90" t="e">
        <f t="shared" si="36"/>
        <v>#N/A</v>
      </c>
      <c r="E238">
        <f t="shared" si="37"/>
        <v>4</v>
      </c>
      <c r="F238">
        <f t="shared" si="38"/>
        <v>5</v>
      </c>
      <c r="G238">
        <f t="shared" si="39"/>
        <v>4</v>
      </c>
    </row>
    <row r="239" spans="1:7">
      <c r="A239">
        <f t="shared" si="33"/>
        <v>2035</v>
      </c>
      <c r="B239" t="str">
        <f t="shared" si="34"/>
        <v>nuclear_fuel</v>
      </c>
      <c r="C239" t="str">
        <f t="shared" si="35"/>
        <v>IT0</v>
      </c>
      <c r="D239" s="90" t="e">
        <f t="shared" si="36"/>
        <v>#N/A</v>
      </c>
      <c r="E239">
        <f t="shared" si="37"/>
        <v>5</v>
      </c>
      <c r="F239">
        <f t="shared" si="38"/>
        <v>5</v>
      </c>
      <c r="G239">
        <f t="shared" si="39"/>
        <v>4</v>
      </c>
    </row>
    <row r="240" spans="1:7">
      <c r="A240">
        <f t="shared" si="33"/>
        <v>2040</v>
      </c>
      <c r="B240" t="str">
        <f t="shared" si="34"/>
        <v>nuclear_fuel</v>
      </c>
      <c r="C240" t="str">
        <f t="shared" si="35"/>
        <v>IT0</v>
      </c>
      <c r="D240" s="90" t="e">
        <f t="shared" si="36"/>
        <v>#N/A</v>
      </c>
      <c r="E240">
        <f t="shared" si="37"/>
        <v>6</v>
      </c>
      <c r="F240">
        <f t="shared" si="38"/>
        <v>5</v>
      </c>
      <c r="G240">
        <f t="shared" si="39"/>
        <v>4</v>
      </c>
    </row>
    <row r="241" spans="1:7">
      <c r="A241">
        <f t="shared" si="33"/>
        <v>2045</v>
      </c>
      <c r="B241" t="str">
        <f t="shared" si="34"/>
        <v>nuclear_fuel</v>
      </c>
      <c r="C241" t="str">
        <f t="shared" si="35"/>
        <v>IT0</v>
      </c>
      <c r="D241" s="90" t="e">
        <f t="shared" si="36"/>
        <v>#N/A</v>
      </c>
      <c r="E241">
        <f t="shared" si="37"/>
        <v>7</v>
      </c>
      <c r="F241">
        <f t="shared" si="38"/>
        <v>5</v>
      </c>
      <c r="G241">
        <f t="shared" si="39"/>
        <v>4</v>
      </c>
    </row>
    <row r="242" spans="1:7">
      <c r="A242">
        <f t="shared" si="33"/>
        <v>2050</v>
      </c>
      <c r="B242" t="str">
        <f t="shared" si="34"/>
        <v>nuclear_fuel</v>
      </c>
      <c r="C242" t="str">
        <f t="shared" si="35"/>
        <v>IT0</v>
      </c>
      <c r="D242" s="90" t="e">
        <f t="shared" si="36"/>
        <v>#N/A</v>
      </c>
      <c r="E242">
        <f t="shared" si="37"/>
        <v>8</v>
      </c>
      <c r="F242">
        <f t="shared" si="38"/>
        <v>5</v>
      </c>
      <c r="G242">
        <f t="shared" si="39"/>
        <v>4</v>
      </c>
    </row>
    <row r="243" spans="1:7">
      <c r="A243">
        <f t="shared" si="33"/>
        <v>2015</v>
      </c>
      <c r="B243" t="str">
        <f t="shared" si="34"/>
        <v>waste_mix</v>
      </c>
      <c r="C243" t="str">
        <f t="shared" si="35"/>
        <v>IT0</v>
      </c>
      <c r="D243" s="90">
        <f t="shared" si="36"/>
        <v>0.5</v>
      </c>
      <c r="E243">
        <f t="shared" si="37"/>
        <v>1</v>
      </c>
      <c r="F243">
        <f t="shared" si="38"/>
        <v>6</v>
      </c>
      <c r="G243">
        <f t="shared" si="39"/>
        <v>4</v>
      </c>
    </row>
    <row r="244" spans="1:7">
      <c r="A244">
        <f t="shared" si="33"/>
        <v>2020</v>
      </c>
      <c r="B244" t="str">
        <f t="shared" si="34"/>
        <v>waste_mix</v>
      </c>
      <c r="C244" t="str">
        <f t="shared" si="35"/>
        <v>IT0</v>
      </c>
      <c r="D244" s="90">
        <f t="shared" si="36"/>
        <v>0.5</v>
      </c>
      <c r="E244">
        <f t="shared" si="37"/>
        <v>2</v>
      </c>
      <c r="F244">
        <f t="shared" si="38"/>
        <v>6</v>
      </c>
      <c r="G244">
        <f t="shared" si="39"/>
        <v>4</v>
      </c>
    </row>
    <row r="245" spans="1:7">
      <c r="A245">
        <f t="shared" si="33"/>
        <v>2025</v>
      </c>
      <c r="B245" t="str">
        <f t="shared" si="34"/>
        <v>waste_mix</v>
      </c>
      <c r="C245" t="str">
        <f t="shared" si="35"/>
        <v>IT0</v>
      </c>
      <c r="D245" s="90">
        <f t="shared" si="36"/>
        <v>0.5</v>
      </c>
      <c r="E245">
        <f t="shared" si="37"/>
        <v>3</v>
      </c>
      <c r="F245">
        <f t="shared" si="38"/>
        <v>6</v>
      </c>
      <c r="G245">
        <f t="shared" si="39"/>
        <v>4</v>
      </c>
    </row>
    <row r="246" spans="1:7">
      <c r="A246">
        <f t="shared" si="33"/>
        <v>2030</v>
      </c>
      <c r="B246" t="str">
        <f t="shared" si="34"/>
        <v>waste_mix</v>
      </c>
      <c r="C246" t="str">
        <f t="shared" si="35"/>
        <v>IT0</v>
      </c>
      <c r="D246" s="90">
        <f t="shared" si="36"/>
        <v>0.5</v>
      </c>
      <c r="E246">
        <f t="shared" si="37"/>
        <v>4</v>
      </c>
      <c r="F246">
        <f t="shared" si="38"/>
        <v>6</v>
      </c>
      <c r="G246">
        <f t="shared" si="39"/>
        <v>4</v>
      </c>
    </row>
    <row r="247" spans="1:7">
      <c r="A247">
        <f t="shared" si="33"/>
        <v>2035</v>
      </c>
      <c r="B247" t="str">
        <f t="shared" si="34"/>
        <v>waste_mix</v>
      </c>
      <c r="C247" t="str">
        <f t="shared" si="35"/>
        <v>IT0</v>
      </c>
      <c r="D247" s="90">
        <f t="shared" si="36"/>
        <v>0.5</v>
      </c>
      <c r="E247">
        <f t="shared" si="37"/>
        <v>5</v>
      </c>
      <c r="F247">
        <f t="shared" si="38"/>
        <v>6</v>
      </c>
      <c r="G247">
        <f t="shared" si="39"/>
        <v>4</v>
      </c>
    </row>
    <row r="248" spans="1:7">
      <c r="A248">
        <f t="shared" si="33"/>
        <v>2040</v>
      </c>
      <c r="B248" t="str">
        <f t="shared" si="34"/>
        <v>waste_mix</v>
      </c>
      <c r="C248" t="str">
        <f t="shared" si="35"/>
        <v>IT0</v>
      </c>
      <c r="D248" s="90">
        <f t="shared" si="36"/>
        <v>0.5</v>
      </c>
      <c r="E248">
        <f t="shared" si="37"/>
        <v>6</v>
      </c>
      <c r="F248">
        <f t="shared" si="38"/>
        <v>6</v>
      </c>
      <c r="G248">
        <f t="shared" si="39"/>
        <v>4</v>
      </c>
    </row>
    <row r="249" spans="1:7">
      <c r="A249">
        <f t="shared" si="33"/>
        <v>2045</v>
      </c>
      <c r="B249" t="str">
        <f t="shared" si="34"/>
        <v>waste_mix</v>
      </c>
      <c r="C249" t="str">
        <f t="shared" si="35"/>
        <v>IT0</v>
      </c>
      <c r="D249" s="90">
        <f t="shared" si="36"/>
        <v>0.5</v>
      </c>
      <c r="E249">
        <f t="shared" si="37"/>
        <v>7</v>
      </c>
      <c r="F249">
        <f t="shared" si="38"/>
        <v>6</v>
      </c>
      <c r="G249">
        <f t="shared" si="39"/>
        <v>4</v>
      </c>
    </row>
    <row r="250" spans="1:7">
      <c r="A250">
        <f t="shared" si="33"/>
        <v>2050</v>
      </c>
      <c r="B250" t="str">
        <f t="shared" si="34"/>
        <v>waste_mix</v>
      </c>
      <c r="C250" t="str">
        <f t="shared" si="35"/>
        <v>IT0</v>
      </c>
      <c r="D250" s="90">
        <f t="shared" si="36"/>
        <v>0.5</v>
      </c>
      <c r="E250">
        <f t="shared" si="37"/>
        <v>8</v>
      </c>
      <c r="F250">
        <f t="shared" si="38"/>
        <v>6</v>
      </c>
      <c r="G250">
        <f t="shared" si="39"/>
        <v>4</v>
      </c>
    </row>
    <row r="251" spans="1:7">
      <c r="A251">
        <f t="shared" si="33"/>
        <v>2015</v>
      </c>
      <c r="B251" t="str">
        <f t="shared" si="34"/>
        <v>bio_all</v>
      </c>
      <c r="C251" t="str">
        <f t="shared" si="35"/>
        <v>IT0</v>
      </c>
      <c r="D251" s="90">
        <f t="shared" si="36"/>
        <v>1</v>
      </c>
      <c r="E251">
        <f t="shared" si="37"/>
        <v>1</v>
      </c>
      <c r="F251">
        <f t="shared" si="38"/>
        <v>7</v>
      </c>
      <c r="G251">
        <f t="shared" si="39"/>
        <v>4</v>
      </c>
    </row>
    <row r="252" spans="1:7">
      <c r="A252">
        <f t="shared" si="33"/>
        <v>2020</v>
      </c>
      <c r="B252" t="str">
        <f t="shared" si="34"/>
        <v>bio_all</v>
      </c>
      <c r="C252" t="str">
        <f t="shared" si="35"/>
        <v>IT0</v>
      </c>
      <c r="D252" s="90">
        <f t="shared" si="36"/>
        <v>1</v>
      </c>
      <c r="E252">
        <f t="shared" si="37"/>
        <v>2</v>
      </c>
      <c r="F252">
        <f t="shared" si="38"/>
        <v>7</v>
      </c>
      <c r="G252">
        <f t="shared" si="39"/>
        <v>4</v>
      </c>
    </row>
    <row r="253" spans="1:7">
      <c r="A253">
        <f t="shared" si="33"/>
        <v>2025</v>
      </c>
      <c r="B253" t="str">
        <f t="shared" si="34"/>
        <v>bio_all</v>
      </c>
      <c r="C253" t="str">
        <f t="shared" si="35"/>
        <v>IT0</v>
      </c>
      <c r="D253" s="90">
        <f t="shared" si="36"/>
        <v>1</v>
      </c>
      <c r="E253">
        <f t="shared" si="37"/>
        <v>3</v>
      </c>
      <c r="F253">
        <f t="shared" si="38"/>
        <v>7</v>
      </c>
      <c r="G253">
        <f t="shared" si="39"/>
        <v>4</v>
      </c>
    </row>
    <row r="254" spans="1:7">
      <c r="A254">
        <f t="shared" si="33"/>
        <v>2030</v>
      </c>
      <c r="B254" t="str">
        <f t="shared" si="34"/>
        <v>bio_all</v>
      </c>
      <c r="C254" t="str">
        <f t="shared" si="35"/>
        <v>IT0</v>
      </c>
      <c r="D254" s="90">
        <f t="shared" si="36"/>
        <v>1</v>
      </c>
      <c r="E254">
        <f t="shared" si="37"/>
        <v>4</v>
      </c>
      <c r="F254">
        <f t="shared" si="38"/>
        <v>7</v>
      </c>
      <c r="G254">
        <f t="shared" si="39"/>
        <v>4</v>
      </c>
    </row>
    <row r="255" spans="1:7">
      <c r="A255">
        <f t="shared" si="33"/>
        <v>2035</v>
      </c>
      <c r="B255" t="str">
        <f t="shared" si="34"/>
        <v>bio_all</v>
      </c>
      <c r="C255" t="str">
        <f t="shared" si="35"/>
        <v>IT0</v>
      </c>
      <c r="D255" s="90">
        <f t="shared" si="36"/>
        <v>1</v>
      </c>
      <c r="E255">
        <f t="shared" si="37"/>
        <v>5</v>
      </c>
      <c r="F255">
        <f t="shared" si="38"/>
        <v>7</v>
      </c>
      <c r="G255">
        <f t="shared" si="39"/>
        <v>4</v>
      </c>
    </row>
    <row r="256" spans="1:7">
      <c r="A256">
        <f t="shared" si="33"/>
        <v>2040</v>
      </c>
      <c r="B256" t="str">
        <f t="shared" si="34"/>
        <v>bio_all</v>
      </c>
      <c r="C256" t="str">
        <f t="shared" si="35"/>
        <v>IT0</v>
      </c>
      <c r="D256" s="90">
        <f t="shared" si="36"/>
        <v>1</v>
      </c>
      <c r="E256">
        <f t="shared" si="37"/>
        <v>6</v>
      </c>
      <c r="F256">
        <f t="shared" si="38"/>
        <v>7</v>
      </c>
      <c r="G256">
        <f t="shared" si="39"/>
        <v>4</v>
      </c>
    </row>
    <row r="257" spans="1:7">
      <c r="A257">
        <f t="shared" si="33"/>
        <v>2045</v>
      </c>
      <c r="B257" t="str">
        <f t="shared" si="34"/>
        <v>bio_all</v>
      </c>
      <c r="C257" t="str">
        <f t="shared" si="35"/>
        <v>IT0</v>
      </c>
      <c r="D257" s="90">
        <f t="shared" si="36"/>
        <v>1</v>
      </c>
      <c r="E257">
        <f t="shared" si="37"/>
        <v>7</v>
      </c>
      <c r="F257">
        <f t="shared" si="38"/>
        <v>7</v>
      </c>
      <c r="G257">
        <f t="shared" si="39"/>
        <v>4</v>
      </c>
    </row>
    <row r="258" spans="1:7">
      <c r="A258">
        <f t="shared" si="33"/>
        <v>2050</v>
      </c>
      <c r="B258" t="str">
        <f t="shared" si="34"/>
        <v>bio_all</v>
      </c>
      <c r="C258" t="str">
        <f t="shared" si="35"/>
        <v>IT0</v>
      </c>
      <c r="D258" s="90">
        <f t="shared" si="36"/>
        <v>1</v>
      </c>
      <c r="E258">
        <f t="shared" si="37"/>
        <v>8</v>
      </c>
      <c r="F258">
        <f t="shared" si="38"/>
        <v>7</v>
      </c>
      <c r="G258">
        <f t="shared" si="39"/>
        <v>4</v>
      </c>
    </row>
    <row r="259" spans="1:7">
      <c r="A259">
        <f t="shared" si="33"/>
        <v>2015</v>
      </c>
      <c r="B259" t="str">
        <f t="shared" si="34"/>
        <v>lost_load</v>
      </c>
      <c r="C259" t="str">
        <f t="shared" si="35"/>
        <v>IT0</v>
      </c>
      <c r="D259" s="90">
        <f t="shared" si="36"/>
        <v>300</v>
      </c>
      <c r="E259">
        <f t="shared" si="37"/>
        <v>1</v>
      </c>
      <c r="F259">
        <f t="shared" si="38"/>
        <v>8</v>
      </c>
      <c r="G259">
        <f t="shared" si="39"/>
        <v>4</v>
      </c>
    </row>
    <row r="260" spans="1:7">
      <c r="A260">
        <f t="shared" si="33"/>
        <v>2020</v>
      </c>
      <c r="B260" t="str">
        <f t="shared" si="34"/>
        <v>lost_load</v>
      </c>
      <c r="C260" t="str">
        <f t="shared" si="35"/>
        <v>IT0</v>
      </c>
      <c r="D260" s="90">
        <f t="shared" si="36"/>
        <v>300</v>
      </c>
      <c r="E260">
        <f t="shared" si="37"/>
        <v>2</v>
      </c>
      <c r="F260">
        <f t="shared" si="38"/>
        <v>8</v>
      </c>
      <c r="G260">
        <f t="shared" si="39"/>
        <v>4</v>
      </c>
    </row>
    <row r="261" spans="1:7">
      <c r="A261">
        <f t="shared" si="33"/>
        <v>2025</v>
      </c>
      <c r="B261" t="str">
        <f t="shared" si="34"/>
        <v>lost_load</v>
      </c>
      <c r="C261" t="str">
        <f t="shared" si="35"/>
        <v>IT0</v>
      </c>
      <c r="D261" s="90">
        <f t="shared" si="36"/>
        <v>300</v>
      </c>
      <c r="E261">
        <f t="shared" si="37"/>
        <v>3</v>
      </c>
      <c r="F261">
        <f t="shared" si="38"/>
        <v>8</v>
      </c>
      <c r="G261">
        <f t="shared" si="39"/>
        <v>4</v>
      </c>
    </row>
    <row r="262" spans="1:7">
      <c r="A262">
        <f t="shared" si="33"/>
        <v>2030</v>
      </c>
      <c r="B262" t="str">
        <f t="shared" si="34"/>
        <v>lost_load</v>
      </c>
      <c r="C262" t="str">
        <f t="shared" si="35"/>
        <v>IT0</v>
      </c>
      <c r="D262" s="90">
        <f t="shared" si="36"/>
        <v>300</v>
      </c>
      <c r="E262">
        <f t="shared" si="37"/>
        <v>4</v>
      </c>
      <c r="F262">
        <f t="shared" si="38"/>
        <v>8</v>
      </c>
      <c r="G262">
        <f t="shared" si="39"/>
        <v>4</v>
      </c>
    </row>
    <row r="263" spans="1:7">
      <c r="A263">
        <f t="shared" si="33"/>
        <v>2035</v>
      </c>
      <c r="B263" t="str">
        <f t="shared" si="34"/>
        <v>lost_load</v>
      </c>
      <c r="C263" t="str">
        <f t="shared" si="35"/>
        <v>IT0</v>
      </c>
      <c r="D263" s="90">
        <f t="shared" si="36"/>
        <v>300</v>
      </c>
      <c r="E263">
        <f t="shared" si="37"/>
        <v>5</v>
      </c>
      <c r="F263">
        <f t="shared" si="38"/>
        <v>8</v>
      </c>
      <c r="G263">
        <f t="shared" si="39"/>
        <v>4</v>
      </c>
    </row>
    <row r="264" spans="1:7">
      <c r="A264">
        <f t="shared" si="33"/>
        <v>2040</v>
      </c>
      <c r="B264" t="str">
        <f t="shared" si="34"/>
        <v>lost_load</v>
      </c>
      <c r="C264" t="str">
        <f t="shared" si="35"/>
        <v>IT0</v>
      </c>
      <c r="D264" s="90">
        <f t="shared" si="36"/>
        <v>300</v>
      </c>
      <c r="E264">
        <f t="shared" si="37"/>
        <v>6</v>
      </c>
      <c r="F264">
        <f t="shared" si="38"/>
        <v>8</v>
      </c>
      <c r="G264">
        <f t="shared" si="39"/>
        <v>4</v>
      </c>
    </row>
    <row r="265" spans="1:7">
      <c r="A265">
        <f t="shared" si="33"/>
        <v>2045</v>
      </c>
      <c r="B265" t="str">
        <f t="shared" si="34"/>
        <v>lost_load</v>
      </c>
      <c r="C265" t="str">
        <f t="shared" si="35"/>
        <v>IT0</v>
      </c>
      <c r="D265" s="90">
        <f t="shared" si="36"/>
        <v>300</v>
      </c>
      <c r="E265">
        <f t="shared" si="37"/>
        <v>7</v>
      </c>
      <c r="F265">
        <f t="shared" si="38"/>
        <v>8</v>
      </c>
      <c r="G265">
        <f t="shared" si="39"/>
        <v>4</v>
      </c>
    </row>
    <row r="266" spans="1:7">
      <c r="A266">
        <f t="shared" si="33"/>
        <v>2050</v>
      </c>
      <c r="B266" t="str">
        <f t="shared" si="34"/>
        <v>lost_load</v>
      </c>
      <c r="C266" t="str">
        <f t="shared" si="35"/>
        <v>IT0</v>
      </c>
      <c r="D266" s="90">
        <f t="shared" si="36"/>
        <v>300</v>
      </c>
      <c r="E266">
        <f t="shared" si="37"/>
        <v>8</v>
      </c>
      <c r="F266">
        <f t="shared" si="38"/>
        <v>8</v>
      </c>
      <c r="G266">
        <f t="shared" si="39"/>
        <v>4</v>
      </c>
    </row>
    <row r="267" spans="1:7">
      <c r="A267">
        <f t="shared" ref="A267:A290" si="40">INDEX(E$2:E$9,E267)</f>
        <v>2015</v>
      </c>
      <c r="B267" t="str">
        <f t="shared" ref="B267:B290" si="41">INDEX(F$2:F$9,F267)</f>
        <v>hard_coal</v>
      </c>
      <c r="C267" t="str">
        <f t="shared" ref="C267:C290" si="42">INDEX(G$2:G$9,G267)</f>
        <v>AT0</v>
      </c>
      <c r="D267" s="90">
        <f t="shared" si="36"/>
        <v>10.8351179180115</v>
      </c>
      <c r="E267">
        <f t="shared" si="37"/>
        <v>1</v>
      </c>
      <c r="F267">
        <f t="shared" si="38"/>
        <v>1</v>
      </c>
      <c r="G267">
        <f t="shared" si="39"/>
        <v>5</v>
      </c>
    </row>
    <row r="268" spans="1:7">
      <c r="A268">
        <f t="shared" si="40"/>
        <v>2020</v>
      </c>
      <c r="B268" t="str">
        <f t="shared" si="41"/>
        <v>hard_coal</v>
      </c>
      <c r="C268" t="str">
        <f t="shared" si="42"/>
        <v>AT0</v>
      </c>
      <c r="D268" s="90">
        <f t="shared" ref="D268:D290" si="43">INDEX($L$43:$S$82,MATCH(C268&amp;"-"&amp;B268,$K$43:$K$82,0),MATCH(A268,$L$42:$S$42,0))</f>
        <v>16.551073991832286</v>
      </c>
      <c r="E268">
        <f t="shared" ref="E268:E330" si="44">IF(E267=$E$1,1,E267+1)</f>
        <v>2</v>
      </c>
      <c r="F268">
        <f t="shared" ref="F268:F290" si="45">IF(E268=1,IF(F267=$F$1,1,F267+1),F267)</f>
        <v>1</v>
      </c>
      <c r="G268">
        <f t="shared" ref="G268:G290" si="46">IF(AND(F268=1,F267&gt;1),IF(G267=$G$1,1,G267+1),G267)</f>
        <v>5</v>
      </c>
    </row>
    <row r="269" spans="1:7">
      <c r="A269">
        <f t="shared" si="40"/>
        <v>2025</v>
      </c>
      <c r="B269" t="str">
        <f t="shared" si="41"/>
        <v>hard_coal</v>
      </c>
      <c r="C269" t="str">
        <f t="shared" si="42"/>
        <v>AT0</v>
      </c>
      <c r="D269" s="90">
        <f t="shared" si="43"/>
        <v>20.489252716740868</v>
      </c>
      <c r="E269">
        <f t="shared" si="44"/>
        <v>3</v>
      </c>
      <c r="F269">
        <f t="shared" si="45"/>
        <v>1</v>
      </c>
      <c r="G269">
        <f t="shared" si="46"/>
        <v>5</v>
      </c>
    </row>
    <row r="270" spans="1:7">
      <c r="A270">
        <f t="shared" si="40"/>
        <v>2030</v>
      </c>
      <c r="B270" t="str">
        <f t="shared" si="41"/>
        <v>hard_coal</v>
      </c>
      <c r="C270" t="str">
        <f t="shared" si="42"/>
        <v>AT0</v>
      </c>
      <c r="D270" s="90">
        <f t="shared" si="43"/>
        <v>24.521702625968029</v>
      </c>
      <c r="E270">
        <f t="shared" si="44"/>
        <v>4</v>
      </c>
      <c r="F270">
        <f t="shared" si="45"/>
        <v>1</v>
      </c>
      <c r="G270">
        <f t="shared" si="46"/>
        <v>5</v>
      </c>
    </row>
    <row r="271" spans="1:7">
      <c r="A271">
        <f t="shared" si="40"/>
        <v>2035</v>
      </c>
      <c r="B271" t="str">
        <f t="shared" si="41"/>
        <v>hard_coal</v>
      </c>
      <c r="C271" t="str">
        <f t="shared" si="42"/>
        <v>AT0</v>
      </c>
      <c r="D271" s="90">
        <f t="shared" si="43"/>
        <v>26.021792846437396</v>
      </c>
      <c r="E271">
        <f t="shared" si="44"/>
        <v>5</v>
      </c>
      <c r="F271">
        <f t="shared" si="45"/>
        <v>1</v>
      </c>
      <c r="G271">
        <f t="shared" si="46"/>
        <v>5</v>
      </c>
    </row>
    <row r="272" spans="1:7">
      <c r="A272">
        <f t="shared" si="40"/>
        <v>2040</v>
      </c>
      <c r="B272" t="str">
        <f t="shared" si="41"/>
        <v>hard_coal</v>
      </c>
      <c r="C272" t="str">
        <f t="shared" si="42"/>
        <v>AT0</v>
      </c>
      <c r="D272" s="90">
        <f t="shared" si="43"/>
        <v>27.053473119823831</v>
      </c>
      <c r="E272">
        <f t="shared" si="44"/>
        <v>6</v>
      </c>
      <c r="F272">
        <f t="shared" si="45"/>
        <v>1</v>
      </c>
      <c r="G272">
        <f t="shared" si="46"/>
        <v>5</v>
      </c>
    </row>
    <row r="273" spans="1:7">
      <c r="A273">
        <f t="shared" si="40"/>
        <v>2045</v>
      </c>
      <c r="B273" t="str">
        <f t="shared" si="41"/>
        <v>hard_coal</v>
      </c>
      <c r="C273" t="str">
        <f t="shared" si="42"/>
        <v>AT0</v>
      </c>
      <c r="D273" s="90">
        <f t="shared" si="43"/>
        <v>28.084564198308275</v>
      </c>
      <c r="E273">
        <f t="shared" si="44"/>
        <v>7</v>
      </c>
      <c r="F273">
        <f t="shared" si="45"/>
        <v>1</v>
      </c>
      <c r="G273">
        <f t="shared" si="46"/>
        <v>5</v>
      </c>
    </row>
    <row r="274" spans="1:7">
      <c r="A274">
        <f t="shared" si="40"/>
        <v>2050</v>
      </c>
      <c r="B274" t="str">
        <f t="shared" si="41"/>
        <v>hard_coal</v>
      </c>
      <c r="C274" t="str">
        <f t="shared" si="42"/>
        <v>AT0</v>
      </c>
      <c r="D274" s="90">
        <f t="shared" si="43"/>
        <v>28.83519850344495</v>
      </c>
      <c r="E274">
        <f t="shared" si="44"/>
        <v>8</v>
      </c>
      <c r="F274">
        <f t="shared" si="45"/>
        <v>1</v>
      </c>
      <c r="G274">
        <f t="shared" si="46"/>
        <v>5</v>
      </c>
    </row>
    <row r="275" spans="1:7">
      <c r="A275">
        <f t="shared" si="40"/>
        <v>2015</v>
      </c>
      <c r="B275" t="str">
        <f t="shared" si="41"/>
        <v>mineral_oil_heavy</v>
      </c>
      <c r="C275" t="str">
        <f t="shared" si="42"/>
        <v>AT0</v>
      </c>
      <c r="D275" s="90">
        <f t="shared" si="43"/>
        <v>24.108039300057399</v>
      </c>
      <c r="E275">
        <f t="shared" si="44"/>
        <v>1</v>
      </c>
      <c r="F275">
        <f t="shared" si="45"/>
        <v>2</v>
      </c>
      <c r="G275">
        <f t="shared" si="46"/>
        <v>5</v>
      </c>
    </row>
    <row r="276" spans="1:7">
      <c r="A276">
        <f t="shared" si="40"/>
        <v>2020</v>
      </c>
      <c r="B276" t="str">
        <f t="shared" si="41"/>
        <v>mineral_oil_heavy</v>
      </c>
      <c r="C276" t="str">
        <f t="shared" si="42"/>
        <v>AT0</v>
      </c>
      <c r="D276" s="90">
        <f t="shared" si="43"/>
        <v>86.877966688393229</v>
      </c>
      <c r="E276">
        <f t="shared" si="44"/>
        <v>2</v>
      </c>
      <c r="F276">
        <f t="shared" si="45"/>
        <v>2</v>
      </c>
      <c r="G276">
        <f t="shared" si="46"/>
        <v>5</v>
      </c>
    </row>
    <row r="277" spans="1:7">
      <c r="A277">
        <f t="shared" si="40"/>
        <v>2025</v>
      </c>
      <c r="B277" t="str">
        <f t="shared" si="41"/>
        <v>mineral_oil_heavy</v>
      </c>
      <c r="C277" t="str">
        <f t="shared" si="42"/>
        <v>AT0</v>
      </c>
      <c r="D277" s="90">
        <f t="shared" si="43"/>
        <v>101.97549685701344</v>
      </c>
      <c r="E277">
        <f t="shared" si="44"/>
        <v>3</v>
      </c>
      <c r="F277">
        <f t="shared" si="45"/>
        <v>2</v>
      </c>
      <c r="G277">
        <f t="shared" si="46"/>
        <v>5</v>
      </c>
    </row>
    <row r="278" spans="1:7">
      <c r="A278">
        <f t="shared" si="40"/>
        <v>2030</v>
      </c>
      <c r="B278" t="str">
        <f t="shared" si="41"/>
        <v>mineral_oil_heavy</v>
      </c>
      <c r="C278" t="str">
        <f t="shared" si="42"/>
        <v>AT0</v>
      </c>
      <c r="D278" s="90">
        <f t="shared" si="43"/>
        <v>112.3842139955884</v>
      </c>
      <c r="E278">
        <f t="shared" si="44"/>
        <v>4</v>
      </c>
      <c r="F278">
        <f t="shared" si="45"/>
        <v>2</v>
      </c>
      <c r="G278">
        <f t="shared" si="46"/>
        <v>5</v>
      </c>
    </row>
    <row r="279" spans="1:7">
      <c r="A279">
        <f t="shared" si="40"/>
        <v>2035</v>
      </c>
      <c r="B279" t="str">
        <f t="shared" si="41"/>
        <v>mineral_oil_heavy</v>
      </c>
      <c r="C279" t="str">
        <f t="shared" si="42"/>
        <v>AT0</v>
      </c>
      <c r="D279" s="90">
        <f t="shared" si="43"/>
        <v>117.16670901505024</v>
      </c>
      <c r="E279">
        <f t="shared" si="44"/>
        <v>5</v>
      </c>
      <c r="F279">
        <f t="shared" si="45"/>
        <v>2</v>
      </c>
      <c r="G279">
        <f t="shared" si="46"/>
        <v>5</v>
      </c>
    </row>
    <row r="280" spans="1:7">
      <c r="A280">
        <f t="shared" si="40"/>
        <v>2040</v>
      </c>
      <c r="B280" t="str">
        <f t="shared" si="41"/>
        <v>mineral_oil_heavy</v>
      </c>
      <c r="C280" t="str">
        <f t="shared" si="42"/>
        <v>AT0</v>
      </c>
      <c r="D280" s="90">
        <f t="shared" si="43"/>
        <v>124.10565737579955</v>
      </c>
      <c r="E280">
        <f t="shared" si="44"/>
        <v>6</v>
      </c>
      <c r="F280">
        <f t="shared" si="45"/>
        <v>2</v>
      </c>
      <c r="G280">
        <f t="shared" si="46"/>
        <v>5</v>
      </c>
    </row>
    <row r="281" spans="1:7">
      <c r="A281">
        <f t="shared" si="40"/>
        <v>2045</v>
      </c>
      <c r="B281" t="str">
        <f t="shared" si="41"/>
        <v>mineral_oil_heavy</v>
      </c>
      <c r="C281" t="str">
        <f t="shared" si="42"/>
        <v>AT0</v>
      </c>
      <c r="D281" s="90">
        <f t="shared" si="43"/>
        <v>126.9190630328071</v>
      </c>
      <c r="E281">
        <f t="shared" si="44"/>
        <v>7</v>
      </c>
      <c r="F281">
        <f t="shared" si="45"/>
        <v>2</v>
      </c>
      <c r="G281">
        <f t="shared" si="46"/>
        <v>5</v>
      </c>
    </row>
    <row r="282" spans="1:7">
      <c r="A282">
        <f t="shared" si="40"/>
        <v>2050</v>
      </c>
      <c r="B282" t="str">
        <f t="shared" si="41"/>
        <v>mineral_oil_heavy</v>
      </c>
      <c r="C282" t="str">
        <f t="shared" si="42"/>
        <v>AT0</v>
      </c>
      <c r="D282" s="90">
        <f t="shared" si="43"/>
        <v>129.82615067923123</v>
      </c>
      <c r="E282">
        <f t="shared" si="44"/>
        <v>8</v>
      </c>
      <c r="F282">
        <f t="shared" si="45"/>
        <v>2</v>
      </c>
      <c r="G282">
        <f t="shared" si="46"/>
        <v>5</v>
      </c>
    </row>
    <row r="283" spans="1:7">
      <c r="A283">
        <f t="shared" si="40"/>
        <v>2015</v>
      </c>
      <c r="B283" t="str">
        <f t="shared" si="41"/>
        <v>natural_gas</v>
      </c>
      <c r="C283" t="str">
        <f t="shared" si="42"/>
        <v>AT0</v>
      </c>
      <c r="D283" s="90">
        <f t="shared" si="43"/>
        <v>38</v>
      </c>
      <c r="E283">
        <f t="shared" si="44"/>
        <v>1</v>
      </c>
      <c r="F283">
        <f t="shared" si="45"/>
        <v>3</v>
      </c>
      <c r="G283">
        <f t="shared" si="46"/>
        <v>5</v>
      </c>
    </row>
    <row r="284" spans="1:7">
      <c r="A284">
        <f t="shared" si="40"/>
        <v>2020</v>
      </c>
      <c r="B284" t="str">
        <f t="shared" si="41"/>
        <v>natural_gas</v>
      </c>
      <c r="C284" t="str">
        <f t="shared" si="42"/>
        <v>AT0</v>
      </c>
      <c r="D284" s="90">
        <f t="shared" si="43"/>
        <v>56.30817839348645</v>
      </c>
      <c r="E284">
        <f t="shared" si="44"/>
        <v>2</v>
      </c>
      <c r="F284">
        <f t="shared" si="45"/>
        <v>3</v>
      </c>
      <c r="G284">
        <f t="shared" si="46"/>
        <v>5</v>
      </c>
    </row>
    <row r="285" spans="1:7">
      <c r="A285">
        <f t="shared" si="40"/>
        <v>2025</v>
      </c>
      <c r="B285" t="str">
        <f t="shared" si="41"/>
        <v>natural_gas</v>
      </c>
      <c r="C285" t="str">
        <f t="shared" si="42"/>
        <v>AT0</v>
      </c>
      <c r="D285" s="90">
        <f t="shared" si="43"/>
        <v>63.059762775402582</v>
      </c>
      <c r="E285">
        <f t="shared" si="44"/>
        <v>3</v>
      </c>
      <c r="F285">
        <f t="shared" si="45"/>
        <v>3</v>
      </c>
      <c r="G285">
        <f t="shared" si="46"/>
        <v>5</v>
      </c>
    </row>
    <row r="286" spans="1:7">
      <c r="A286">
        <f t="shared" si="40"/>
        <v>2030</v>
      </c>
      <c r="B286" t="str">
        <f t="shared" si="41"/>
        <v>natural_gas</v>
      </c>
      <c r="C286" t="str">
        <f t="shared" si="42"/>
        <v>AT0</v>
      </c>
      <c r="D286" s="90">
        <f t="shared" si="43"/>
        <v>68.592302905099118</v>
      </c>
      <c r="E286">
        <f t="shared" si="44"/>
        <v>4</v>
      </c>
      <c r="F286">
        <f t="shared" si="45"/>
        <v>3</v>
      </c>
      <c r="G286">
        <f t="shared" si="46"/>
        <v>5</v>
      </c>
    </row>
    <row r="287" spans="1:7">
      <c r="A287">
        <f t="shared" si="40"/>
        <v>2035</v>
      </c>
      <c r="B287" t="str">
        <f t="shared" si="41"/>
        <v>natural_gas</v>
      </c>
      <c r="C287" t="str">
        <f t="shared" si="42"/>
        <v>AT0</v>
      </c>
      <c r="D287" s="90">
        <f t="shared" si="43"/>
        <v>73.281115935144371</v>
      </c>
      <c r="E287">
        <f t="shared" si="44"/>
        <v>5</v>
      </c>
      <c r="F287">
        <f t="shared" si="45"/>
        <v>3</v>
      </c>
      <c r="G287">
        <f t="shared" si="46"/>
        <v>5</v>
      </c>
    </row>
    <row r="288" spans="1:7">
      <c r="A288">
        <f t="shared" si="40"/>
        <v>2040</v>
      </c>
      <c r="B288" t="str">
        <f t="shared" si="41"/>
        <v>natural_gas</v>
      </c>
      <c r="C288" t="str">
        <f t="shared" si="42"/>
        <v>AT0</v>
      </c>
      <c r="D288" s="90">
        <f t="shared" si="43"/>
        <v>75.719204439583592</v>
      </c>
      <c r="E288">
        <f t="shared" si="44"/>
        <v>6</v>
      </c>
      <c r="F288">
        <f t="shared" si="45"/>
        <v>3</v>
      </c>
      <c r="G288">
        <f t="shared" si="46"/>
        <v>5</v>
      </c>
    </row>
    <row r="289" spans="1:7">
      <c r="A289">
        <f t="shared" si="40"/>
        <v>2045</v>
      </c>
      <c r="B289" t="str">
        <f t="shared" si="41"/>
        <v>natural_gas</v>
      </c>
      <c r="C289" t="str">
        <f t="shared" si="42"/>
        <v>AT0</v>
      </c>
      <c r="D289" s="90">
        <f t="shared" si="43"/>
        <v>77.312976649469533</v>
      </c>
      <c r="E289">
        <f t="shared" si="44"/>
        <v>7</v>
      </c>
      <c r="F289">
        <f t="shared" si="45"/>
        <v>3</v>
      </c>
      <c r="G289">
        <f t="shared" si="46"/>
        <v>5</v>
      </c>
    </row>
    <row r="290" spans="1:7">
      <c r="A290">
        <f t="shared" si="40"/>
        <v>2050</v>
      </c>
      <c r="B290" t="str">
        <f t="shared" si="41"/>
        <v>natural_gas</v>
      </c>
      <c r="C290" t="str">
        <f t="shared" si="42"/>
        <v>AT0</v>
      </c>
      <c r="D290" s="90">
        <f t="shared" si="43"/>
        <v>78.438338912272556</v>
      </c>
      <c r="E290">
        <f t="shared" si="44"/>
        <v>8</v>
      </c>
      <c r="F290">
        <f t="shared" si="45"/>
        <v>3</v>
      </c>
      <c r="G290">
        <f t="shared" si="46"/>
        <v>5</v>
      </c>
    </row>
    <row r="291" spans="1:7">
      <c r="A291">
        <f t="shared" ref="A291:A330" si="47">INDEX(E$2:E$9,E291)</f>
        <v>2015</v>
      </c>
      <c r="B291" t="str">
        <f t="shared" ref="B291:B330" si="48">INDEX(F$2:F$9,F291)</f>
        <v>lignite</v>
      </c>
      <c r="C291" t="str">
        <f t="shared" ref="C291:C330" si="49">INDEX(G$2:G$9,G291)</f>
        <v>AT0</v>
      </c>
      <c r="D291" s="90" t="e">
        <f t="shared" ref="D291:D330" si="50">INDEX($L$43:$S$82,MATCH(C291&amp;"-"&amp;B291,$K$43:$K$82,0),MATCH(A291,$L$42:$S$42,0))</f>
        <v>#N/A</v>
      </c>
      <c r="E291">
        <f t="shared" si="44"/>
        <v>1</v>
      </c>
      <c r="F291">
        <f t="shared" ref="F291:F330" si="51">IF(E291=1,IF(F290=$F$1,1,F290+1),F290)</f>
        <v>4</v>
      </c>
      <c r="G291">
        <f t="shared" ref="G291:G330" si="52">IF(AND(F291=1,F290&gt;1),IF(G290=$G$1,1,G290+1),G290)</f>
        <v>5</v>
      </c>
    </row>
    <row r="292" spans="1:7">
      <c r="A292">
        <f t="shared" si="47"/>
        <v>2020</v>
      </c>
      <c r="B292" t="str">
        <f t="shared" si="48"/>
        <v>lignite</v>
      </c>
      <c r="C292" t="str">
        <f t="shared" si="49"/>
        <v>AT0</v>
      </c>
      <c r="D292" s="90" t="e">
        <f t="shared" si="50"/>
        <v>#N/A</v>
      </c>
      <c r="E292">
        <f t="shared" si="44"/>
        <v>2</v>
      </c>
      <c r="F292">
        <f t="shared" si="51"/>
        <v>4</v>
      </c>
      <c r="G292">
        <f t="shared" si="52"/>
        <v>5</v>
      </c>
    </row>
    <row r="293" spans="1:7">
      <c r="A293">
        <f t="shared" si="47"/>
        <v>2025</v>
      </c>
      <c r="B293" t="str">
        <f t="shared" si="48"/>
        <v>lignite</v>
      </c>
      <c r="C293" t="str">
        <f t="shared" si="49"/>
        <v>AT0</v>
      </c>
      <c r="D293" s="90" t="e">
        <f t="shared" si="50"/>
        <v>#N/A</v>
      </c>
      <c r="E293">
        <f t="shared" si="44"/>
        <v>3</v>
      </c>
      <c r="F293">
        <f t="shared" si="51"/>
        <v>4</v>
      </c>
      <c r="G293">
        <f t="shared" si="52"/>
        <v>5</v>
      </c>
    </row>
    <row r="294" spans="1:7">
      <c r="A294">
        <f t="shared" si="47"/>
        <v>2030</v>
      </c>
      <c r="B294" t="str">
        <f t="shared" si="48"/>
        <v>lignite</v>
      </c>
      <c r="C294" t="str">
        <f t="shared" si="49"/>
        <v>AT0</v>
      </c>
      <c r="D294" s="90" t="e">
        <f t="shared" si="50"/>
        <v>#N/A</v>
      </c>
      <c r="E294">
        <f t="shared" si="44"/>
        <v>4</v>
      </c>
      <c r="F294">
        <f t="shared" si="51"/>
        <v>4</v>
      </c>
      <c r="G294">
        <f t="shared" si="52"/>
        <v>5</v>
      </c>
    </row>
    <row r="295" spans="1:7">
      <c r="A295">
        <f t="shared" si="47"/>
        <v>2035</v>
      </c>
      <c r="B295" t="str">
        <f t="shared" si="48"/>
        <v>lignite</v>
      </c>
      <c r="C295" t="str">
        <f t="shared" si="49"/>
        <v>AT0</v>
      </c>
      <c r="D295" s="90" t="e">
        <f t="shared" si="50"/>
        <v>#N/A</v>
      </c>
      <c r="E295">
        <f t="shared" si="44"/>
        <v>5</v>
      </c>
      <c r="F295">
        <f t="shared" si="51"/>
        <v>4</v>
      </c>
      <c r="G295">
        <f t="shared" si="52"/>
        <v>5</v>
      </c>
    </row>
    <row r="296" spans="1:7">
      <c r="A296">
        <f t="shared" si="47"/>
        <v>2040</v>
      </c>
      <c r="B296" t="str">
        <f t="shared" si="48"/>
        <v>lignite</v>
      </c>
      <c r="C296" t="str">
        <f t="shared" si="49"/>
        <v>AT0</v>
      </c>
      <c r="D296" s="90" t="e">
        <f t="shared" si="50"/>
        <v>#N/A</v>
      </c>
      <c r="E296">
        <f t="shared" si="44"/>
        <v>6</v>
      </c>
      <c r="F296">
        <f t="shared" si="51"/>
        <v>4</v>
      </c>
      <c r="G296">
        <f t="shared" si="52"/>
        <v>5</v>
      </c>
    </row>
    <row r="297" spans="1:7">
      <c r="A297">
        <f t="shared" si="47"/>
        <v>2045</v>
      </c>
      <c r="B297" t="str">
        <f t="shared" si="48"/>
        <v>lignite</v>
      </c>
      <c r="C297" t="str">
        <f t="shared" si="49"/>
        <v>AT0</v>
      </c>
      <c r="D297" s="90" t="e">
        <f t="shared" si="50"/>
        <v>#N/A</v>
      </c>
      <c r="E297">
        <f t="shared" si="44"/>
        <v>7</v>
      </c>
      <c r="F297">
        <f t="shared" si="51"/>
        <v>4</v>
      </c>
      <c r="G297">
        <f t="shared" si="52"/>
        <v>5</v>
      </c>
    </row>
    <row r="298" spans="1:7">
      <c r="A298">
        <f t="shared" si="47"/>
        <v>2050</v>
      </c>
      <c r="B298" t="str">
        <f t="shared" si="48"/>
        <v>lignite</v>
      </c>
      <c r="C298" t="str">
        <f t="shared" si="49"/>
        <v>AT0</v>
      </c>
      <c r="D298" s="90" t="e">
        <f t="shared" si="50"/>
        <v>#N/A</v>
      </c>
      <c r="E298">
        <f t="shared" si="44"/>
        <v>8</v>
      </c>
      <c r="F298">
        <f t="shared" si="51"/>
        <v>4</v>
      </c>
      <c r="G298">
        <f t="shared" si="52"/>
        <v>5</v>
      </c>
    </row>
    <row r="299" spans="1:7">
      <c r="A299">
        <f t="shared" si="47"/>
        <v>2015</v>
      </c>
      <c r="B299" t="str">
        <f t="shared" si="48"/>
        <v>nuclear_fuel</v>
      </c>
      <c r="C299" t="str">
        <f t="shared" si="49"/>
        <v>AT0</v>
      </c>
      <c r="D299" s="90" t="e">
        <f t="shared" si="50"/>
        <v>#N/A</v>
      </c>
      <c r="E299">
        <f t="shared" si="44"/>
        <v>1</v>
      </c>
      <c r="F299">
        <f t="shared" si="51"/>
        <v>5</v>
      </c>
      <c r="G299">
        <f t="shared" si="52"/>
        <v>5</v>
      </c>
    </row>
    <row r="300" spans="1:7">
      <c r="A300">
        <f t="shared" si="47"/>
        <v>2020</v>
      </c>
      <c r="B300" t="str">
        <f t="shared" si="48"/>
        <v>nuclear_fuel</v>
      </c>
      <c r="C300" t="str">
        <f t="shared" si="49"/>
        <v>AT0</v>
      </c>
      <c r="D300" s="90" t="e">
        <f t="shared" si="50"/>
        <v>#N/A</v>
      </c>
      <c r="E300">
        <f t="shared" si="44"/>
        <v>2</v>
      </c>
      <c r="F300">
        <f t="shared" si="51"/>
        <v>5</v>
      </c>
      <c r="G300">
        <f t="shared" si="52"/>
        <v>5</v>
      </c>
    </row>
    <row r="301" spans="1:7">
      <c r="A301">
        <f t="shared" si="47"/>
        <v>2025</v>
      </c>
      <c r="B301" t="str">
        <f t="shared" si="48"/>
        <v>nuclear_fuel</v>
      </c>
      <c r="C301" t="str">
        <f t="shared" si="49"/>
        <v>AT0</v>
      </c>
      <c r="D301" s="90" t="e">
        <f t="shared" si="50"/>
        <v>#N/A</v>
      </c>
      <c r="E301">
        <f t="shared" si="44"/>
        <v>3</v>
      </c>
      <c r="F301">
        <f t="shared" si="51"/>
        <v>5</v>
      </c>
      <c r="G301">
        <f t="shared" si="52"/>
        <v>5</v>
      </c>
    </row>
    <row r="302" spans="1:7">
      <c r="A302">
        <f t="shared" si="47"/>
        <v>2030</v>
      </c>
      <c r="B302" t="str">
        <f t="shared" si="48"/>
        <v>nuclear_fuel</v>
      </c>
      <c r="C302" t="str">
        <f t="shared" si="49"/>
        <v>AT0</v>
      </c>
      <c r="D302" s="90" t="e">
        <f t="shared" si="50"/>
        <v>#N/A</v>
      </c>
      <c r="E302">
        <f t="shared" si="44"/>
        <v>4</v>
      </c>
      <c r="F302">
        <f t="shared" si="51"/>
        <v>5</v>
      </c>
      <c r="G302">
        <f t="shared" si="52"/>
        <v>5</v>
      </c>
    </row>
    <row r="303" spans="1:7">
      <c r="A303">
        <f t="shared" si="47"/>
        <v>2035</v>
      </c>
      <c r="B303" t="str">
        <f t="shared" si="48"/>
        <v>nuclear_fuel</v>
      </c>
      <c r="C303" t="str">
        <f t="shared" si="49"/>
        <v>AT0</v>
      </c>
      <c r="D303" s="90" t="e">
        <f t="shared" si="50"/>
        <v>#N/A</v>
      </c>
      <c r="E303">
        <f t="shared" si="44"/>
        <v>5</v>
      </c>
      <c r="F303">
        <f t="shared" si="51"/>
        <v>5</v>
      </c>
      <c r="G303">
        <f t="shared" si="52"/>
        <v>5</v>
      </c>
    </row>
    <row r="304" spans="1:7">
      <c r="A304">
        <f t="shared" si="47"/>
        <v>2040</v>
      </c>
      <c r="B304" t="str">
        <f t="shared" si="48"/>
        <v>nuclear_fuel</v>
      </c>
      <c r="C304" t="str">
        <f t="shared" si="49"/>
        <v>AT0</v>
      </c>
      <c r="D304" s="90" t="e">
        <f t="shared" si="50"/>
        <v>#N/A</v>
      </c>
      <c r="E304">
        <f t="shared" si="44"/>
        <v>6</v>
      </c>
      <c r="F304">
        <f t="shared" si="51"/>
        <v>5</v>
      </c>
      <c r="G304">
        <f t="shared" si="52"/>
        <v>5</v>
      </c>
    </row>
    <row r="305" spans="1:7">
      <c r="A305">
        <f t="shared" si="47"/>
        <v>2045</v>
      </c>
      <c r="B305" t="str">
        <f t="shared" si="48"/>
        <v>nuclear_fuel</v>
      </c>
      <c r="C305" t="str">
        <f t="shared" si="49"/>
        <v>AT0</v>
      </c>
      <c r="D305" s="90" t="e">
        <f t="shared" si="50"/>
        <v>#N/A</v>
      </c>
      <c r="E305">
        <f t="shared" si="44"/>
        <v>7</v>
      </c>
      <c r="F305">
        <f t="shared" si="51"/>
        <v>5</v>
      </c>
      <c r="G305">
        <f t="shared" si="52"/>
        <v>5</v>
      </c>
    </row>
    <row r="306" spans="1:7">
      <c r="A306">
        <f t="shared" si="47"/>
        <v>2050</v>
      </c>
      <c r="B306" t="str">
        <f t="shared" si="48"/>
        <v>nuclear_fuel</v>
      </c>
      <c r="C306" t="str">
        <f t="shared" si="49"/>
        <v>AT0</v>
      </c>
      <c r="D306" s="90" t="e">
        <f t="shared" si="50"/>
        <v>#N/A</v>
      </c>
      <c r="E306">
        <f t="shared" si="44"/>
        <v>8</v>
      </c>
      <c r="F306">
        <f t="shared" si="51"/>
        <v>5</v>
      </c>
      <c r="G306">
        <f t="shared" si="52"/>
        <v>5</v>
      </c>
    </row>
    <row r="307" spans="1:7">
      <c r="A307">
        <f t="shared" si="47"/>
        <v>2015</v>
      </c>
      <c r="B307" t="str">
        <f t="shared" si="48"/>
        <v>waste_mix</v>
      </c>
      <c r="C307" t="str">
        <f t="shared" si="49"/>
        <v>AT0</v>
      </c>
      <c r="D307" s="90">
        <f t="shared" si="50"/>
        <v>0.5</v>
      </c>
      <c r="E307">
        <f t="shared" si="44"/>
        <v>1</v>
      </c>
      <c r="F307">
        <f t="shared" si="51"/>
        <v>6</v>
      </c>
      <c r="G307">
        <f t="shared" si="52"/>
        <v>5</v>
      </c>
    </row>
    <row r="308" spans="1:7">
      <c r="A308">
        <f t="shared" si="47"/>
        <v>2020</v>
      </c>
      <c r="B308" t="str">
        <f t="shared" si="48"/>
        <v>waste_mix</v>
      </c>
      <c r="C308" t="str">
        <f t="shared" si="49"/>
        <v>AT0</v>
      </c>
      <c r="D308" s="90">
        <f t="shared" si="50"/>
        <v>0.5</v>
      </c>
      <c r="E308">
        <f t="shared" si="44"/>
        <v>2</v>
      </c>
      <c r="F308">
        <f t="shared" si="51"/>
        <v>6</v>
      </c>
      <c r="G308">
        <f t="shared" si="52"/>
        <v>5</v>
      </c>
    </row>
    <row r="309" spans="1:7">
      <c r="A309">
        <f t="shared" si="47"/>
        <v>2025</v>
      </c>
      <c r="B309" t="str">
        <f t="shared" si="48"/>
        <v>waste_mix</v>
      </c>
      <c r="C309" t="str">
        <f t="shared" si="49"/>
        <v>AT0</v>
      </c>
      <c r="D309" s="90">
        <f t="shared" si="50"/>
        <v>0.5</v>
      </c>
      <c r="E309">
        <f t="shared" si="44"/>
        <v>3</v>
      </c>
      <c r="F309">
        <f t="shared" si="51"/>
        <v>6</v>
      </c>
      <c r="G309">
        <f t="shared" si="52"/>
        <v>5</v>
      </c>
    </row>
    <row r="310" spans="1:7">
      <c r="A310">
        <f t="shared" si="47"/>
        <v>2030</v>
      </c>
      <c r="B310" t="str">
        <f t="shared" si="48"/>
        <v>waste_mix</v>
      </c>
      <c r="C310" t="str">
        <f t="shared" si="49"/>
        <v>AT0</v>
      </c>
      <c r="D310" s="90">
        <f t="shared" si="50"/>
        <v>0.5</v>
      </c>
      <c r="E310">
        <f t="shared" si="44"/>
        <v>4</v>
      </c>
      <c r="F310">
        <f t="shared" si="51"/>
        <v>6</v>
      </c>
      <c r="G310">
        <f t="shared" si="52"/>
        <v>5</v>
      </c>
    </row>
    <row r="311" spans="1:7">
      <c r="A311">
        <f t="shared" si="47"/>
        <v>2035</v>
      </c>
      <c r="B311" t="str">
        <f t="shared" si="48"/>
        <v>waste_mix</v>
      </c>
      <c r="C311" t="str">
        <f t="shared" si="49"/>
        <v>AT0</v>
      </c>
      <c r="D311" s="90">
        <f t="shared" si="50"/>
        <v>0.5</v>
      </c>
      <c r="E311">
        <f t="shared" si="44"/>
        <v>5</v>
      </c>
      <c r="F311">
        <f t="shared" si="51"/>
        <v>6</v>
      </c>
      <c r="G311">
        <f t="shared" si="52"/>
        <v>5</v>
      </c>
    </row>
    <row r="312" spans="1:7">
      <c r="A312">
        <f t="shared" si="47"/>
        <v>2040</v>
      </c>
      <c r="B312" t="str">
        <f t="shared" si="48"/>
        <v>waste_mix</v>
      </c>
      <c r="C312" t="str">
        <f t="shared" si="49"/>
        <v>AT0</v>
      </c>
      <c r="D312" s="90">
        <f t="shared" si="50"/>
        <v>0.5</v>
      </c>
      <c r="E312">
        <f t="shared" si="44"/>
        <v>6</v>
      </c>
      <c r="F312">
        <f t="shared" si="51"/>
        <v>6</v>
      </c>
      <c r="G312">
        <f t="shared" si="52"/>
        <v>5</v>
      </c>
    </row>
    <row r="313" spans="1:7">
      <c r="A313">
        <f t="shared" si="47"/>
        <v>2045</v>
      </c>
      <c r="B313" t="str">
        <f t="shared" si="48"/>
        <v>waste_mix</v>
      </c>
      <c r="C313" t="str">
        <f t="shared" si="49"/>
        <v>AT0</v>
      </c>
      <c r="D313" s="90">
        <f t="shared" si="50"/>
        <v>0.5</v>
      </c>
      <c r="E313">
        <f t="shared" si="44"/>
        <v>7</v>
      </c>
      <c r="F313">
        <f t="shared" si="51"/>
        <v>6</v>
      </c>
      <c r="G313">
        <f t="shared" si="52"/>
        <v>5</v>
      </c>
    </row>
    <row r="314" spans="1:7">
      <c r="A314">
        <f t="shared" si="47"/>
        <v>2050</v>
      </c>
      <c r="B314" t="str">
        <f t="shared" si="48"/>
        <v>waste_mix</v>
      </c>
      <c r="C314" t="str">
        <f t="shared" si="49"/>
        <v>AT0</v>
      </c>
      <c r="D314" s="90">
        <f t="shared" si="50"/>
        <v>0.5</v>
      </c>
      <c r="E314">
        <f t="shared" si="44"/>
        <v>8</v>
      </c>
      <c r="F314">
        <f t="shared" si="51"/>
        <v>6</v>
      </c>
      <c r="G314">
        <f t="shared" si="52"/>
        <v>5</v>
      </c>
    </row>
    <row r="315" spans="1:7">
      <c r="A315">
        <f t="shared" si="47"/>
        <v>2015</v>
      </c>
      <c r="B315" t="str">
        <f t="shared" si="48"/>
        <v>bio_all</v>
      </c>
      <c r="C315" t="str">
        <f t="shared" si="49"/>
        <v>AT0</v>
      </c>
      <c r="D315" s="90">
        <f t="shared" si="50"/>
        <v>1</v>
      </c>
      <c r="E315">
        <f t="shared" si="44"/>
        <v>1</v>
      </c>
      <c r="F315">
        <f t="shared" si="51"/>
        <v>7</v>
      </c>
      <c r="G315">
        <f t="shared" si="52"/>
        <v>5</v>
      </c>
    </row>
    <row r="316" spans="1:7">
      <c r="A316">
        <f t="shared" si="47"/>
        <v>2020</v>
      </c>
      <c r="B316" t="str">
        <f t="shared" si="48"/>
        <v>bio_all</v>
      </c>
      <c r="C316" t="str">
        <f t="shared" si="49"/>
        <v>AT0</v>
      </c>
      <c r="D316" s="90">
        <f t="shared" si="50"/>
        <v>1</v>
      </c>
      <c r="E316">
        <f t="shared" si="44"/>
        <v>2</v>
      </c>
      <c r="F316">
        <f t="shared" si="51"/>
        <v>7</v>
      </c>
      <c r="G316">
        <f t="shared" si="52"/>
        <v>5</v>
      </c>
    </row>
    <row r="317" spans="1:7">
      <c r="A317">
        <f t="shared" si="47"/>
        <v>2025</v>
      </c>
      <c r="B317" t="str">
        <f t="shared" si="48"/>
        <v>bio_all</v>
      </c>
      <c r="C317" t="str">
        <f t="shared" si="49"/>
        <v>AT0</v>
      </c>
      <c r="D317" s="90">
        <f t="shared" si="50"/>
        <v>1</v>
      </c>
      <c r="E317">
        <f t="shared" si="44"/>
        <v>3</v>
      </c>
      <c r="F317">
        <f t="shared" si="51"/>
        <v>7</v>
      </c>
      <c r="G317">
        <f t="shared" si="52"/>
        <v>5</v>
      </c>
    </row>
    <row r="318" spans="1:7">
      <c r="A318">
        <f t="shared" si="47"/>
        <v>2030</v>
      </c>
      <c r="B318" t="str">
        <f t="shared" si="48"/>
        <v>bio_all</v>
      </c>
      <c r="C318" t="str">
        <f t="shared" si="49"/>
        <v>AT0</v>
      </c>
      <c r="D318" s="90">
        <f t="shared" si="50"/>
        <v>1</v>
      </c>
      <c r="E318">
        <f t="shared" si="44"/>
        <v>4</v>
      </c>
      <c r="F318">
        <f t="shared" si="51"/>
        <v>7</v>
      </c>
      <c r="G318">
        <f t="shared" si="52"/>
        <v>5</v>
      </c>
    </row>
    <row r="319" spans="1:7">
      <c r="A319">
        <f t="shared" si="47"/>
        <v>2035</v>
      </c>
      <c r="B319" t="str">
        <f t="shared" si="48"/>
        <v>bio_all</v>
      </c>
      <c r="C319" t="str">
        <f t="shared" si="49"/>
        <v>AT0</v>
      </c>
      <c r="D319" s="90">
        <f t="shared" si="50"/>
        <v>1</v>
      </c>
      <c r="E319">
        <f t="shared" si="44"/>
        <v>5</v>
      </c>
      <c r="F319">
        <f t="shared" si="51"/>
        <v>7</v>
      </c>
      <c r="G319">
        <f t="shared" si="52"/>
        <v>5</v>
      </c>
    </row>
    <row r="320" spans="1:7">
      <c r="A320">
        <f t="shared" si="47"/>
        <v>2040</v>
      </c>
      <c r="B320" t="str">
        <f t="shared" si="48"/>
        <v>bio_all</v>
      </c>
      <c r="C320" t="str">
        <f t="shared" si="49"/>
        <v>AT0</v>
      </c>
      <c r="D320" s="90">
        <f t="shared" si="50"/>
        <v>1</v>
      </c>
      <c r="E320">
        <f t="shared" si="44"/>
        <v>6</v>
      </c>
      <c r="F320">
        <f t="shared" si="51"/>
        <v>7</v>
      </c>
      <c r="G320">
        <f t="shared" si="52"/>
        <v>5</v>
      </c>
    </row>
    <row r="321" spans="1:7">
      <c r="A321">
        <f t="shared" si="47"/>
        <v>2045</v>
      </c>
      <c r="B321" t="str">
        <f t="shared" si="48"/>
        <v>bio_all</v>
      </c>
      <c r="C321" t="str">
        <f t="shared" si="49"/>
        <v>AT0</v>
      </c>
      <c r="D321" s="90">
        <f t="shared" si="50"/>
        <v>1</v>
      </c>
      <c r="E321">
        <f t="shared" si="44"/>
        <v>7</v>
      </c>
      <c r="F321">
        <f t="shared" si="51"/>
        <v>7</v>
      </c>
      <c r="G321">
        <f t="shared" si="52"/>
        <v>5</v>
      </c>
    </row>
    <row r="322" spans="1:7">
      <c r="A322">
        <f t="shared" si="47"/>
        <v>2050</v>
      </c>
      <c r="B322" t="str">
        <f t="shared" si="48"/>
        <v>bio_all</v>
      </c>
      <c r="C322" t="str">
        <f t="shared" si="49"/>
        <v>AT0</v>
      </c>
      <c r="D322" s="90">
        <f t="shared" si="50"/>
        <v>1</v>
      </c>
      <c r="E322">
        <f t="shared" si="44"/>
        <v>8</v>
      </c>
      <c r="F322">
        <f t="shared" si="51"/>
        <v>7</v>
      </c>
      <c r="G322">
        <f t="shared" si="52"/>
        <v>5</v>
      </c>
    </row>
    <row r="323" spans="1:7">
      <c r="A323">
        <f t="shared" si="47"/>
        <v>2015</v>
      </c>
      <c r="B323" t="str">
        <f t="shared" si="48"/>
        <v>lost_load</v>
      </c>
      <c r="C323" t="str">
        <f t="shared" si="49"/>
        <v>AT0</v>
      </c>
      <c r="D323" s="90">
        <f t="shared" si="50"/>
        <v>300</v>
      </c>
      <c r="E323">
        <f t="shared" si="44"/>
        <v>1</v>
      </c>
      <c r="F323">
        <f t="shared" si="51"/>
        <v>8</v>
      </c>
      <c r="G323">
        <f t="shared" si="52"/>
        <v>5</v>
      </c>
    </row>
    <row r="324" spans="1:7">
      <c r="A324">
        <f t="shared" si="47"/>
        <v>2020</v>
      </c>
      <c r="B324" t="str">
        <f t="shared" si="48"/>
        <v>lost_load</v>
      </c>
      <c r="C324" t="str">
        <f t="shared" si="49"/>
        <v>AT0</v>
      </c>
      <c r="D324" s="90">
        <f t="shared" si="50"/>
        <v>300</v>
      </c>
      <c r="E324">
        <f t="shared" si="44"/>
        <v>2</v>
      </c>
      <c r="F324">
        <f t="shared" si="51"/>
        <v>8</v>
      </c>
      <c r="G324">
        <f t="shared" si="52"/>
        <v>5</v>
      </c>
    </row>
    <row r="325" spans="1:7">
      <c r="A325">
        <f t="shared" si="47"/>
        <v>2025</v>
      </c>
      <c r="B325" t="str">
        <f t="shared" si="48"/>
        <v>lost_load</v>
      </c>
      <c r="C325" t="str">
        <f t="shared" si="49"/>
        <v>AT0</v>
      </c>
      <c r="D325" s="90">
        <f t="shared" si="50"/>
        <v>300</v>
      </c>
      <c r="E325">
        <f t="shared" si="44"/>
        <v>3</v>
      </c>
      <c r="F325">
        <f t="shared" si="51"/>
        <v>8</v>
      </c>
      <c r="G325">
        <f t="shared" si="52"/>
        <v>5</v>
      </c>
    </row>
    <row r="326" spans="1:7">
      <c r="A326">
        <f t="shared" si="47"/>
        <v>2030</v>
      </c>
      <c r="B326" t="str">
        <f t="shared" si="48"/>
        <v>lost_load</v>
      </c>
      <c r="C326" t="str">
        <f t="shared" si="49"/>
        <v>AT0</v>
      </c>
      <c r="D326" s="90">
        <f t="shared" si="50"/>
        <v>300</v>
      </c>
      <c r="E326">
        <f t="shared" si="44"/>
        <v>4</v>
      </c>
      <c r="F326">
        <f t="shared" si="51"/>
        <v>8</v>
      </c>
      <c r="G326">
        <f t="shared" si="52"/>
        <v>5</v>
      </c>
    </row>
    <row r="327" spans="1:7">
      <c r="A327">
        <f t="shared" si="47"/>
        <v>2035</v>
      </c>
      <c r="B327" t="str">
        <f t="shared" si="48"/>
        <v>lost_load</v>
      </c>
      <c r="C327" t="str">
        <f t="shared" si="49"/>
        <v>AT0</v>
      </c>
      <c r="D327" s="90">
        <f t="shared" si="50"/>
        <v>300</v>
      </c>
      <c r="E327">
        <f t="shared" si="44"/>
        <v>5</v>
      </c>
      <c r="F327">
        <f t="shared" si="51"/>
        <v>8</v>
      </c>
      <c r="G327">
        <f t="shared" si="52"/>
        <v>5</v>
      </c>
    </row>
    <row r="328" spans="1:7">
      <c r="A328">
        <f t="shared" si="47"/>
        <v>2040</v>
      </c>
      <c r="B328" t="str">
        <f t="shared" si="48"/>
        <v>lost_load</v>
      </c>
      <c r="C328" t="str">
        <f t="shared" si="49"/>
        <v>AT0</v>
      </c>
      <c r="D328" s="90">
        <f t="shared" si="50"/>
        <v>300</v>
      </c>
      <c r="E328">
        <f t="shared" si="44"/>
        <v>6</v>
      </c>
      <c r="F328">
        <f t="shared" si="51"/>
        <v>8</v>
      </c>
      <c r="G328">
        <f t="shared" si="52"/>
        <v>5</v>
      </c>
    </row>
    <row r="329" spans="1:7">
      <c r="A329">
        <f t="shared" si="47"/>
        <v>2045</v>
      </c>
      <c r="B329" t="str">
        <f t="shared" si="48"/>
        <v>lost_load</v>
      </c>
      <c r="C329" t="str">
        <f t="shared" si="49"/>
        <v>AT0</v>
      </c>
      <c r="D329" s="90">
        <f t="shared" si="50"/>
        <v>300</v>
      </c>
      <c r="E329">
        <f t="shared" si="44"/>
        <v>7</v>
      </c>
      <c r="F329">
        <f t="shared" si="51"/>
        <v>8</v>
      </c>
      <c r="G329">
        <f t="shared" si="52"/>
        <v>5</v>
      </c>
    </row>
    <row r="330" spans="1:7">
      <c r="A330">
        <f t="shared" si="47"/>
        <v>2050</v>
      </c>
      <c r="B330" t="str">
        <f t="shared" si="48"/>
        <v>lost_load</v>
      </c>
      <c r="C330" t="str">
        <f t="shared" si="49"/>
        <v>AT0</v>
      </c>
      <c r="D330" s="90">
        <f t="shared" si="50"/>
        <v>300</v>
      </c>
      <c r="E330">
        <f t="shared" si="44"/>
        <v>8</v>
      </c>
      <c r="F330">
        <f t="shared" si="51"/>
        <v>8</v>
      </c>
      <c r="G330">
        <f t="shared" si="52"/>
        <v>5</v>
      </c>
    </row>
    <row r="331" spans="1:7">
      <c r="D331" s="90"/>
    </row>
    <row r="332" spans="1:7">
      <c r="D332" s="90"/>
    </row>
    <row r="333" spans="1:7">
      <c r="D333" s="90"/>
    </row>
    <row r="334" spans="1:7">
      <c r="D334" s="90"/>
    </row>
    <row r="335" spans="1:7">
      <c r="D335" s="90"/>
    </row>
    <row r="336" spans="1:7">
      <c r="D336" s="90"/>
    </row>
    <row r="337" spans="4:4">
      <c r="D337" s="90"/>
    </row>
    <row r="338" spans="4:4">
      <c r="D338" s="90"/>
    </row>
    <row r="339" spans="4:4">
      <c r="D339" s="90"/>
    </row>
    <row r="340" spans="4:4">
      <c r="D340" s="90"/>
    </row>
    <row r="341" spans="4:4">
      <c r="D341" s="90"/>
    </row>
    <row r="342" spans="4:4">
      <c r="D342" s="90"/>
    </row>
    <row r="343" spans="4:4">
      <c r="D343" s="90"/>
    </row>
    <row r="344" spans="4:4">
      <c r="D344" s="90"/>
    </row>
    <row r="345" spans="4:4">
      <c r="D345" s="90"/>
    </row>
    <row r="346" spans="4:4">
      <c r="D346" s="90"/>
    </row>
    <row r="347" spans="4:4">
      <c r="D347" s="90"/>
    </row>
    <row r="348" spans="4:4">
      <c r="D348" s="90"/>
    </row>
    <row r="349" spans="4:4">
      <c r="D349" s="90"/>
    </row>
    <row r="350" spans="4:4">
      <c r="D350" s="90"/>
    </row>
    <row r="351" spans="4:4">
      <c r="D351" s="90"/>
    </row>
    <row r="352" spans="4:4">
      <c r="D352" s="90"/>
    </row>
    <row r="353" spans="4:4">
      <c r="D353" s="90"/>
    </row>
    <row r="354" spans="4:4">
      <c r="D354" s="90"/>
    </row>
    <row r="355" spans="4:4">
      <c r="D355" s="90"/>
    </row>
    <row r="356" spans="4:4">
      <c r="D356" s="90"/>
    </row>
    <row r="357" spans="4:4">
      <c r="D357" s="90"/>
    </row>
    <row r="358" spans="4:4">
      <c r="D358" s="90"/>
    </row>
    <row r="359" spans="4:4">
      <c r="D359" s="90"/>
    </row>
    <row r="360" spans="4:4">
      <c r="D360" s="90"/>
    </row>
    <row r="361" spans="4:4">
      <c r="D361" s="90"/>
    </row>
    <row r="362" spans="4:4">
      <c r="D362" s="90"/>
    </row>
    <row r="363" spans="4:4">
      <c r="D363" s="90"/>
    </row>
    <row r="364" spans="4:4">
      <c r="D364" s="90"/>
    </row>
    <row r="365" spans="4:4">
      <c r="D365" s="90"/>
    </row>
    <row r="366" spans="4:4">
      <c r="D366" s="90"/>
    </row>
    <row r="367" spans="4:4">
      <c r="D367" s="90"/>
    </row>
    <row r="368" spans="4:4">
      <c r="D368" s="90"/>
    </row>
    <row r="369" spans="4:4">
      <c r="D369" s="90"/>
    </row>
    <row r="370" spans="4:4">
      <c r="D370" s="90"/>
    </row>
    <row r="371" spans="4:4">
      <c r="D371" s="90"/>
    </row>
    <row r="372" spans="4:4">
      <c r="D372" s="90"/>
    </row>
    <row r="373" spans="4:4">
      <c r="D373" s="90"/>
    </row>
    <row r="374" spans="4:4">
      <c r="D374" s="90"/>
    </row>
    <row r="375" spans="4:4">
      <c r="D375" s="90"/>
    </row>
    <row r="376" spans="4:4">
      <c r="D376" s="90"/>
    </row>
    <row r="377" spans="4:4">
      <c r="D377" s="90"/>
    </row>
    <row r="378" spans="4:4">
      <c r="D378" s="90"/>
    </row>
    <row r="379" spans="4:4">
      <c r="D379" s="90"/>
    </row>
    <row r="380" spans="4:4">
      <c r="D380" s="90"/>
    </row>
    <row r="381" spans="4:4">
      <c r="D381" s="90"/>
    </row>
    <row r="382" spans="4:4">
      <c r="D382" s="90"/>
    </row>
    <row r="383" spans="4:4">
      <c r="D383" s="90"/>
    </row>
    <row r="384" spans="4:4">
      <c r="D384" s="90"/>
    </row>
    <row r="385" spans="4:4">
      <c r="D385" s="90"/>
    </row>
    <row r="386" spans="4:4">
      <c r="D386" s="90"/>
    </row>
    <row r="387" spans="4:4">
      <c r="D387" s="90"/>
    </row>
    <row r="388" spans="4:4">
      <c r="D388" s="90"/>
    </row>
    <row r="389" spans="4:4">
      <c r="D389" s="90"/>
    </row>
    <row r="390" spans="4:4">
      <c r="D390" s="90"/>
    </row>
    <row r="391" spans="4:4">
      <c r="D391" s="90"/>
    </row>
    <row r="392" spans="4:4">
      <c r="D392" s="90"/>
    </row>
    <row r="393" spans="4:4">
      <c r="D393" s="90"/>
    </row>
    <row r="394" spans="4:4">
      <c r="D394" s="90"/>
    </row>
    <row r="395" spans="4:4">
      <c r="D395" s="90"/>
    </row>
    <row r="396" spans="4:4">
      <c r="D396" s="90"/>
    </row>
    <row r="397" spans="4:4">
      <c r="D397" s="90"/>
    </row>
    <row r="398" spans="4:4">
      <c r="D398" s="90"/>
    </row>
    <row r="399" spans="4:4">
      <c r="D399" s="90"/>
    </row>
    <row r="400" spans="4:4">
      <c r="D400" s="90"/>
    </row>
    <row r="401" spans="4:4">
      <c r="D401" s="90"/>
    </row>
    <row r="402" spans="4:4">
      <c r="D402" s="90"/>
    </row>
    <row r="403" spans="4:4">
      <c r="D403" s="90"/>
    </row>
    <row r="404" spans="4:4">
      <c r="D404" s="90"/>
    </row>
    <row r="405" spans="4:4">
      <c r="D405" s="90"/>
    </row>
    <row r="406" spans="4:4">
      <c r="D406" s="90"/>
    </row>
    <row r="407" spans="4:4">
      <c r="D407" s="90"/>
    </row>
    <row r="408" spans="4:4">
      <c r="D408" s="90"/>
    </row>
    <row r="409" spans="4:4">
      <c r="D409" s="90"/>
    </row>
    <row r="410" spans="4:4">
      <c r="D410" s="90"/>
    </row>
    <row r="411" spans="4:4">
      <c r="D411" s="90"/>
    </row>
    <row r="412" spans="4:4">
      <c r="D412" s="90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AA76"/>
  <sheetViews>
    <sheetView zoomScale="85" zoomScaleNormal="85" workbookViewId="0">
      <selection activeCell="K6" sqref="D6:K11"/>
    </sheetView>
  </sheetViews>
  <sheetFormatPr defaultRowHeight="14.25"/>
  <cols>
    <col min="1" max="3" width="10.625" customWidth="1"/>
    <col min="4" max="10" width="11.125" bestFit="1" customWidth="1"/>
    <col min="11" max="11" width="14" bestFit="1" customWidth="1"/>
    <col min="12" max="27" width="10.625" customWidth="1"/>
  </cols>
  <sheetData>
    <row r="4" spans="1:26">
      <c r="D4">
        <v>2015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</row>
    <row r="5" spans="1:26">
      <c r="B5" t="s">
        <v>6</v>
      </c>
      <c r="C5" t="s">
        <v>7</v>
      </c>
      <c r="D5" t="s">
        <v>35</v>
      </c>
      <c r="E5" t="str">
        <f t="shared" ref="E5:K5" si="0">$D5&amp;"_"&amp;E4</f>
        <v>dmnd_2020</v>
      </c>
      <c r="F5" t="str">
        <f t="shared" si="0"/>
        <v>dmnd_2025</v>
      </c>
      <c r="G5" t="str">
        <f t="shared" si="0"/>
        <v>dmnd_2030</v>
      </c>
      <c r="H5" t="str">
        <f t="shared" si="0"/>
        <v>dmnd_2035</v>
      </c>
      <c r="I5" t="str">
        <f t="shared" si="0"/>
        <v>dmnd_2040</v>
      </c>
      <c r="J5" t="str">
        <f t="shared" si="0"/>
        <v>dmnd_2045</v>
      </c>
      <c r="K5" t="str">
        <f t="shared" si="0"/>
        <v>dmnd_2050</v>
      </c>
    </row>
    <row r="6" spans="1:26">
      <c r="A6" t="s">
        <v>4</v>
      </c>
      <c r="B6" t="s">
        <v>14</v>
      </c>
      <c r="C6" t="s">
        <v>13</v>
      </c>
      <c r="D6" s="1">
        <f>INDEX($P$31:$P$35,MATCH(B6,$O$31:$O$35,0))</f>
        <v>58246000</v>
      </c>
      <c r="E6" s="1">
        <f t="shared" ref="E6:K6" si="1">INDEX($P$13:$W$29,MATCH($B6,$J$13:$J$29,0),MATCH(E$4,$P$20:$W$20,0))*1000000</f>
        <v>61472222.222222224</v>
      </c>
      <c r="F6" s="1">
        <f t="shared" si="1"/>
        <v>62305555.55555556</v>
      </c>
      <c r="G6" s="1">
        <f t="shared" si="1"/>
        <v>63277777.777777776</v>
      </c>
      <c r="H6" s="1">
        <f t="shared" si="1"/>
        <v>64444444.44444444</v>
      </c>
      <c r="I6" s="1">
        <f t="shared" si="1"/>
        <v>65916666.666666672</v>
      </c>
      <c r="J6" s="1">
        <f t="shared" si="1"/>
        <v>67472222.222222224</v>
      </c>
      <c r="K6" s="1">
        <f t="shared" si="1"/>
        <v>69027777.777777776</v>
      </c>
    </row>
    <row r="7" spans="1:26">
      <c r="A7" t="s">
        <v>4</v>
      </c>
      <c r="B7" t="s">
        <v>15</v>
      </c>
      <c r="C7" t="s">
        <v>13</v>
      </c>
      <c r="D7" s="1">
        <f>INDEX($P$31:$P$35,MATCH(B7,$O$31:$O$35,0))</f>
        <v>514731000</v>
      </c>
      <c r="E7" s="1">
        <f t="shared" ref="E7:K10" si="2">INDEX($P$13:$W$29,MATCH($B7,$J$13:$J$29,0),MATCH(E$4,$P$20:$W$20,0))*1000</f>
        <v>530338374.28923136</v>
      </c>
      <c r="F7" s="1">
        <f t="shared" si="2"/>
        <v>545230008.27628541</v>
      </c>
      <c r="G7" s="1">
        <f t="shared" si="2"/>
        <v>558988974.19422519</v>
      </c>
      <c r="H7" s="1">
        <f t="shared" si="2"/>
        <v>561759631.55348623</v>
      </c>
      <c r="I7" s="1">
        <f t="shared" si="2"/>
        <v>566236523.71901476</v>
      </c>
      <c r="J7" s="1">
        <f t="shared" si="2"/>
        <v>573279191.66281259</v>
      </c>
      <c r="K7" s="1">
        <f t="shared" si="2"/>
        <v>579824691.01263285</v>
      </c>
    </row>
    <row r="8" spans="1:26">
      <c r="A8" t="s">
        <v>4</v>
      </c>
      <c r="B8" t="s">
        <v>16</v>
      </c>
      <c r="C8" t="s">
        <v>13</v>
      </c>
      <c r="D8" s="1">
        <f>INDEX($P$31:$P$35,MATCH(B8,$O$31:$O$35,0))</f>
        <v>433548000</v>
      </c>
      <c r="E8" s="1">
        <f t="shared" si="2"/>
        <v>452228740.34275723</v>
      </c>
      <c r="F8" s="1">
        <f t="shared" si="2"/>
        <v>457984660.14984334</v>
      </c>
      <c r="G8" s="1">
        <f t="shared" si="2"/>
        <v>469293173.42652529</v>
      </c>
      <c r="H8" s="1">
        <f t="shared" si="2"/>
        <v>489078721.42064416</v>
      </c>
      <c r="I8" s="1">
        <f t="shared" si="2"/>
        <v>508539017.602615</v>
      </c>
      <c r="J8" s="1">
        <f t="shared" si="2"/>
        <v>527124181.33500439</v>
      </c>
      <c r="K8" s="1">
        <f t="shared" si="2"/>
        <v>547509217.28896761</v>
      </c>
    </row>
    <row r="9" spans="1:26">
      <c r="A9" t="s">
        <v>4</v>
      </c>
      <c r="B9" t="s">
        <v>17</v>
      </c>
      <c r="C9" t="s">
        <v>13</v>
      </c>
      <c r="D9" s="1">
        <f>INDEX($P$31:$P$35,MATCH(B9,$O$31:$O$35,0))</f>
        <v>287483000</v>
      </c>
      <c r="E9" s="1">
        <f t="shared" si="2"/>
        <v>304286819.26490724</v>
      </c>
      <c r="F9" s="1">
        <f t="shared" si="2"/>
        <v>306304595.54072732</v>
      </c>
      <c r="G9" s="1">
        <f t="shared" si="2"/>
        <v>313746111.82451874</v>
      </c>
      <c r="H9" s="1">
        <f t="shared" si="2"/>
        <v>335788785.39973956</v>
      </c>
      <c r="I9" s="1">
        <f t="shared" si="2"/>
        <v>359200526.90496361</v>
      </c>
      <c r="J9" s="1">
        <f t="shared" si="2"/>
        <v>377537436.77957857</v>
      </c>
      <c r="K9" s="1">
        <f t="shared" si="2"/>
        <v>394882826.98243839</v>
      </c>
    </row>
    <row r="10" spans="1:26">
      <c r="A10" t="s">
        <v>4</v>
      </c>
      <c r="B10" t="s">
        <v>12</v>
      </c>
      <c r="C10" t="s">
        <v>13</v>
      </c>
      <c r="D10" s="1">
        <f>INDEX($P$31:$P$35,MATCH(B10,$O$31:$O$35,0))</f>
        <v>61062000</v>
      </c>
      <c r="E10" s="1">
        <f t="shared" si="2"/>
        <v>67167692.027089238</v>
      </c>
      <c r="F10" s="1">
        <f t="shared" si="2"/>
        <v>69682294.275002047</v>
      </c>
      <c r="G10" s="1">
        <f t="shared" si="2"/>
        <v>72506178.764271453</v>
      </c>
      <c r="H10" s="1">
        <f t="shared" si="2"/>
        <v>74657111.779313207</v>
      </c>
      <c r="I10" s="1">
        <f t="shared" si="2"/>
        <v>77663792.168871865</v>
      </c>
      <c r="J10" s="1">
        <f t="shared" si="2"/>
        <v>81024913.478625357</v>
      </c>
      <c r="K10" s="1">
        <f t="shared" si="2"/>
        <v>82845883.214709982</v>
      </c>
    </row>
    <row r="13" spans="1:26">
      <c r="J13" t="s">
        <v>14</v>
      </c>
      <c r="L13" t="s">
        <v>36</v>
      </c>
      <c r="M13" t="s">
        <v>37</v>
      </c>
      <c r="P13">
        <f t="shared" ref="P13:W13" si="3">P16/3.6</f>
        <v>59.888888888888886</v>
      </c>
      <c r="Q13">
        <f t="shared" si="3"/>
        <v>61.472222222222221</v>
      </c>
      <c r="R13">
        <f t="shared" si="3"/>
        <v>62.305555555555557</v>
      </c>
      <c r="S13">
        <f t="shared" si="3"/>
        <v>63.277777777777779</v>
      </c>
      <c r="T13">
        <f t="shared" si="3"/>
        <v>64.444444444444443</v>
      </c>
      <c r="U13">
        <f t="shared" si="3"/>
        <v>65.916666666666671</v>
      </c>
      <c r="V13">
        <f t="shared" si="3"/>
        <v>67.472222222222229</v>
      </c>
      <c r="W13">
        <f t="shared" si="3"/>
        <v>69.027777777777771</v>
      </c>
    </row>
    <row r="15" spans="1:26">
      <c r="L15" t="s">
        <v>503</v>
      </c>
      <c r="P15">
        <v>2015</v>
      </c>
      <c r="Q15">
        <v>2020</v>
      </c>
      <c r="R15">
        <v>2025</v>
      </c>
      <c r="S15">
        <v>2030</v>
      </c>
      <c r="T15">
        <v>2035</v>
      </c>
      <c r="U15">
        <v>2040</v>
      </c>
      <c r="V15">
        <v>2045</v>
      </c>
      <c r="W15">
        <v>2050</v>
      </c>
    </row>
    <row r="16" spans="1:26">
      <c r="K16" t="s">
        <v>14</v>
      </c>
      <c r="L16" t="s">
        <v>38</v>
      </c>
      <c r="P16">
        <v>215.6</v>
      </c>
      <c r="Q16">
        <v>221.3</v>
      </c>
      <c r="R16">
        <v>224.3</v>
      </c>
      <c r="S16">
        <v>227.8</v>
      </c>
      <c r="T16">
        <v>232</v>
      </c>
      <c r="U16">
        <v>237.3</v>
      </c>
      <c r="V16">
        <v>242.9</v>
      </c>
      <c r="W16">
        <v>248.5</v>
      </c>
      <c r="Z16" t="s">
        <v>39</v>
      </c>
    </row>
    <row r="17" spans="10:27">
      <c r="L17" t="s">
        <v>40</v>
      </c>
      <c r="P17">
        <v>212.9</v>
      </c>
      <c r="Q17">
        <v>210.4</v>
      </c>
      <c r="R17">
        <v>204.9</v>
      </c>
      <c r="S17">
        <v>200.6</v>
      </c>
      <c r="T17">
        <v>198.2</v>
      </c>
      <c r="U17">
        <v>196.1</v>
      </c>
      <c r="V17">
        <v>193.7</v>
      </c>
      <c r="W17">
        <v>190.9</v>
      </c>
      <c r="Z17" t="s">
        <v>41</v>
      </c>
    </row>
    <row r="18" spans="10:27">
      <c r="L18" t="s">
        <v>36</v>
      </c>
      <c r="P18">
        <v>214.4</v>
      </c>
      <c r="Q18">
        <v>211.1</v>
      </c>
      <c r="R18">
        <v>208.1</v>
      </c>
      <c r="S18">
        <v>207.2</v>
      </c>
      <c r="T18">
        <v>208.5</v>
      </c>
      <c r="U18">
        <v>211.9</v>
      </c>
      <c r="V18">
        <v>215.4</v>
      </c>
      <c r="W18">
        <v>219.1</v>
      </c>
      <c r="Z18" t="s">
        <v>42</v>
      </c>
    </row>
    <row r="20" spans="10:27">
      <c r="K20" s="24" t="s">
        <v>502</v>
      </c>
      <c r="L20" t="s">
        <v>43</v>
      </c>
      <c r="M20" s="21">
        <v>2000</v>
      </c>
      <c r="N20" s="21">
        <v>2005</v>
      </c>
      <c r="O20" s="21">
        <v>2010</v>
      </c>
      <c r="P20" s="21">
        <v>2015</v>
      </c>
      <c r="Q20" s="21">
        <v>2020</v>
      </c>
      <c r="R20" s="21">
        <v>2025</v>
      </c>
      <c r="S20" s="21">
        <v>2030</v>
      </c>
      <c r="T20" s="21">
        <v>2035</v>
      </c>
      <c r="U20" s="21">
        <v>2040</v>
      </c>
      <c r="V20" s="21">
        <v>2045</v>
      </c>
      <c r="W20" s="21">
        <v>2050</v>
      </c>
      <c r="X20" s="22" t="s">
        <v>44</v>
      </c>
      <c r="Y20" s="22" t="s">
        <v>45</v>
      </c>
      <c r="Z20" s="22" t="s">
        <v>46</v>
      </c>
      <c r="AA20" s="22" t="s">
        <v>47</v>
      </c>
    </row>
    <row r="21" spans="10:27">
      <c r="K21" t="s">
        <v>15</v>
      </c>
      <c r="L21" s="23" t="s">
        <v>48</v>
      </c>
      <c r="M21" s="24">
        <v>41569.599999999999</v>
      </c>
      <c r="N21" s="24">
        <v>44906.5</v>
      </c>
      <c r="O21" s="24">
        <v>45780.5</v>
      </c>
      <c r="P21" s="24">
        <v>44880.489756800598</v>
      </c>
      <c r="Q21" s="24">
        <v>45600.892028308801</v>
      </c>
      <c r="R21" s="24">
        <v>46881.3420701879</v>
      </c>
      <c r="S21" s="24">
        <v>48064.400188669402</v>
      </c>
      <c r="T21" s="24">
        <v>48302.6338395087</v>
      </c>
      <c r="U21" s="24">
        <v>48687.5772759256</v>
      </c>
      <c r="V21" s="24">
        <v>49293.137718212602</v>
      </c>
      <c r="W21" s="24">
        <v>49855.949356202298</v>
      </c>
      <c r="X21" s="25">
        <v>0.96956113574584402</v>
      </c>
      <c r="Y21" s="25">
        <v>-3.9301853910911302E-2</v>
      </c>
      <c r="Z21" s="25">
        <v>0.52753161290168804</v>
      </c>
      <c r="AA21" s="25">
        <v>0.18314777191899001</v>
      </c>
    </row>
    <row r="22" spans="10:27">
      <c r="K22" t="s">
        <v>16</v>
      </c>
      <c r="L22" s="23" t="s">
        <v>48</v>
      </c>
      <c r="M22" s="24">
        <v>33095.5</v>
      </c>
      <c r="N22" s="24">
        <v>36351.9</v>
      </c>
      <c r="O22" s="24">
        <v>38184.699999999997</v>
      </c>
      <c r="P22" s="24">
        <v>37788.420553378703</v>
      </c>
      <c r="Q22" s="24">
        <v>38884.672428439997</v>
      </c>
      <c r="R22" s="24">
        <v>39379.592446246199</v>
      </c>
      <c r="S22" s="24">
        <v>40351.949563759699</v>
      </c>
      <c r="T22" s="24">
        <v>42053.200466091497</v>
      </c>
      <c r="U22" s="24">
        <v>43726.484746570502</v>
      </c>
      <c r="V22" s="24">
        <v>45324.521180997799</v>
      </c>
      <c r="W22" s="24">
        <v>47077.318769472702</v>
      </c>
      <c r="X22" s="25">
        <v>1.4406547296926999</v>
      </c>
      <c r="Y22" s="25">
        <v>0.181817449639499</v>
      </c>
      <c r="Z22" s="25">
        <v>0.37108243103007899</v>
      </c>
      <c r="AA22" s="25">
        <v>0.773736088237298</v>
      </c>
    </row>
    <row r="23" spans="10:27">
      <c r="K23" t="s">
        <v>17</v>
      </c>
      <c r="L23" s="23" t="s">
        <v>48</v>
      </c>
      <c r="M23" s="24">
        <v>23471.5</v>
      </c>
      <c r="N23" s="24">
        <v>25870.9</v>
      </c>
      <c r="O23" s="24">
        <v>25736.2</v>
      </c>
      <c r="P23" s="24">
        <v>25287.930051022198</v>
      </c>
      <c r="Q23" s="24">
        <v>26163.956944532001</v>
      </c>
      <c r="R23" s="24">
        <v>26337.454474697101</v>
      </c>
      <c r="S23" s="24">
        <v>26977.309701162401</v>
      </c>
      <c r="T23" s="24">
        <v>28872.638469453101</v>
      </c>
      <c r="U23" s="24">
        <v>30885.6858903666</v>
      </c>
      <c r="V23" s="24">
        <v>32462.376335303401</v>
      </c>
      <c r="W23" s="24">
        <v>33953.811434431504</v>
      </c>
      <c r="X23" s="25">
        <v>0.92537175202718203</v>
      </c>
      <c r="Y23" s="25">
        <v>0.16497807309079399</v>
      </c>
      <c r="Z23" s="25">
        <v>0.306602634835551</v>
      </c>
      <c r="AA23" s="25">
        <v>1.1566631219432</v>
      </c>
    </row>
    <row r="24" spans="10:27">
      <c r="K24" t="s">
        <v>12</v>
      </c>
      <c r="L24" s="23" t="s">
        <v>48</v>
      </c>
      <c r="M24" s="24">
        <v>4431.7</v>
      </c>
      <c r="N24" s="24">
        <v>5012.7</v>
      </c>
      <c r="O24" s="24">
        <v>5358.4</v>
      </c>
      <c r="P24" s="24">
        <v>5435.5150231854404</v>
      </c>
      <c r="Q24" s="24">
        <v>5775.3819455794701</v>
      </c>
      <c r="R24" s="24">
        <v>5991.5988198626001</v>
      </c>
      <c r="S24" s="24">
        <v>6234.4091800749302</v>
      </c>
      <c r="T24" s="24">
        <v>6419.3561289177296</v>
      </c>
      <c r="U24" s="24">
        <v>6677.8841073836502</v>
      </c>
      <c r="V24" s="24">
        <v>6966.8885192283196</v>
      </c>
      <c r="W24" s="24">
        <v>7123.4637329931202</v>
      </c>
      <c r="X24" s="25">
        <v>1.9169639205495901</v>
      </c>
      <c r="Y24" s="25">
        <v>0.75220464104852602</v>
      </c>
      <c r="Z24" s="25">
        <v>0.76772626152708001</v>
      </c>
      <c r="AA24" s="25">
        <v>0.668777749724625</v>
      </c>
    </row>
    <row r="26" spans="10:27">
      <c r="J26" t="s">
        <v>15</v>
      </c>
      <c r="K26" t="s">
        <v>15</v>
      </c>
      <c r="M26" s="26">
        <f t="shared" ref="M26:W26" si="4">M21*11.63</f>
        <v>483454.44800000003</v>
      </c>
      <c r="N26" s="26">
        <f t="shared" si="4"/>
        <v>522262.59500000003</v>
      </c>
      <c r="O26" s="26">
        <f t="shared" si="4"/>
        <v>532427.21500000008</v>
      </c>
      <c r="P26" s="26">
        <f t="shared" si="4"/>
        <v>521960.09587159101</v>
      </c>
      <c r="Q26" s="26">
        <f t="shared" si="4"/>
        <v>530338.37428923137</v>
      </c>
      <c r="R26" s="26">
        <f t="shared" si="4"/>
        <v>545230.00827628537</v>
      </c>
      <c r="S26" s="26">
        <f t="shared" si="4"/>
        <v>558988.97419422516</v>
      </c>
      <c r="T26" s="26">
        <f t="shared" si="4"/>
        <v>561759.63155348622</v>
      </c>
      <c r="U26" s="26">
        <f t="shared" si="4"/>
        <v>566236.52371901472</v>
      </c>
      <c r="V26" s="26">
        <f t="shared" si="4"/>
        <v>573279.19166281261</v>
      </c>
      <c r="W26" s="26">
        <f t="shared" si="4"/>
        <v>579824.6910126328</v>
      </c>
    </row>
    <row r="27" spans="10:27">
      <c r="J27" t="s">
        <v>16</v>
      </c>
      <c r="K27" t="s">
        <v>16</v>
      </c>
      <c r="M27" s="26">
        <f t="shared" ref="M27:W27" si="5">M22*11.63</f>
        <v>384900.66500000004</v>
      </c>
      <c r="N27" s="26">
        <f t="shared" si="5"/>
        <v>422772.59700000007</v>
      </c>
      <c r="O27" s="26">
        <f t="shared" si="5"/>
        <v>444088.06099999999</v>
      </c>
      <c r="P27" s="26">
        <f t="shared" si="5"/>
        <v>439479.33103579434</v>
      </c>
      <c r="Q27" s="26">
        <f t="shared" si="5"/>
        <v>452228.7403427572</v>
      </c>
      <c r="R27" s="26">
        <f t="shared" si="5"/>
        <v>457984.66014984332</v>
      </c>
      <c r="S27" s="26">
        <f t="shared" si="5"/>
        <v>469293.17342652532</v>
      </c>
      <c r="T27" s="26">
        <f t="shared" si="5"/>
        <v>489078.72142064414</v>
      </c>
      <c r="U27" s="26">
        <f t="shared" si="5"/>
        <v>508539.017602615</v>
      </c>
      <c r="V27" s="26">
        <f t="shared" si="5"/>
        <v>527124.1813350044</v>
      </c>
      <c r="W27" s="26">
        <f t="shared" si="5"/>
        <v>547509.21728896757</v>
      </c>
    </row>
    <row r="28" spans="10:27">
      <c r="J28" t="s">
        <v>17</v>
      </c>
      <c r="K28" t="s">
        <v>17</v>
      </c>
      <c r="M28" s="26">
        <f t="shared" ref="M28:W28" si="6">M23*11.63</f>
        <v>272973.54500000004</v>
      </c>
      <c r="N28" s="26">
        <f t="shared" si="6"/>
        <v>300878.56700000004</v>
      </c>
      <c r="O28" s="26">
        <f t="shared" si="6"/>
        <v>299312.00600000005</v>
      </c>
      <c r="P28" s="26">
        <f t="shared" si="6"/>
        <v>294098.6264933882</v>
      </c>
      <c r="Q28" s="26">
        <f t="shared" si="6"/>
        <v>304286.81926490722</v>
      </c>
      <c r="R28" s="26">
        <f t="shared" si="6"/>
        <v>306304.59554072731</v>
      </c>
      <c r="S28" s="26">
        <f t="shared" si="6"/>
        <v>313746.11182451877</v>
      </c>
      <c r="T28" s="26">
        <f t="shared" si="6"/>
        <v>335788.78539973957</v>
      </c>
      <c r="U28" s="26">
        <f t="shared" si="6"/>
        <v>359200.5269049636</v>
      </c>
      <c r="V28" s="26">
        <f t="shared" si="6"/>
        <v>377537.43677957857</v>
      </c>
      <c r="W28" s="26">
        <f t="shared" si="6"/>
        <v>394882.82698243839</v>
      </c>
    </row>
    <row r="29" spans="10:27">
      <c r="J29" t="s">
        <v>12</v>
      </c>
      <c r="K29" t="s">
        <v>12</v>
      </c>
      <c r="M29" s="26">
        <f t="shared" ref="M29:W29" si="7">M24*11.63</f>
        <v>51540.671000000002</v>
      </c>
      <c r="N29" s="26">
        <f t="shared" si="7"/>
        <v>58297.701000000001</v>
      </c>
      <c r="O29" s="26">
        <f t="shared" si="7"/>
        <v>62318.192000000003</v>
      </c>
      <c r="P29" s="26">
        <f t="shared" si="7"/>
        <v>63215.03971964668</v>
      </c>
      <c r="Q29" s="26">
        <f t="shared" si="7"/>
        <v>67167.692027089244</v>
      </c>
      <c r="R29" s="26">
        <f t="shared" si="7"/>
        <v>69682.294275002045</v>
      </c>
      <c r="S29" s="26">
        <f t="shared" si="7"/>
        <v>72506.178764271448</v>
      </c>
      <c r="T29" s="26">
        <f t="shared" si="7"/>
        <v>74657.1117793132</v>
      </c>
      <c r="U29" s="26">
        <f t="shared" si="7"/>
        <v>77663.792168871863</v>
      </c>
      <c r="V29" s="26">
        <f t="shared" si="7"/>
        <v>81024.913478625356</v>
      </c>
      <c r="W29" s="26">
        <f t="shared" si="7"/>
        <v>82845.883214709989</v>
      </c>
    </row>
    <row r="30" spans="10:27">
      <c r="P30" s="27"/>
    </row>
    <row r="31" spans="10:27">
      <c r="O31" s="28" t="s">
        <v>15</v>
      </c>
      <c r="P31" s="28">
        <v>514731000</v>
      </c>
      <c r="Q31" s="29">
        <f>(P26*1000-P31)/P31</f>
        <v>1.4044415183058784E-2</v>
      </c>
    </row>
    <row r="32" spans="10:27">
      <c r="O32" s="28" t="s">
        <v>16</v>
      </c>
      <c r="P32" s="28">
        <v>433548000</v>
      </c>
      <c r="Q32" s="29">
        <f>(P27*1000-P32)/P32</f>
        <v>1.3680909693492572E-2</v>
      </c>
    </row>
    <row r="33" spans="15:17">
      <c r="O33" s="28" t="s">
        <v>17</v>
      </c>
      <c r="P33" s="28">
        <v>287483000</v>
      </c>
      <c r="Q33" s="29">
        <f>(P28*1000-P33)/P33</f>
        <v>2.3012235483100482E-2</v>
      </c>
    </row>
    <row r="34" spans="15:17">
      <c r="O34" s="28" t="s">
        <v>12</v>
      </c>
      <c r="P34" s="28">
        <v>61062000</v>
      </c>
      <c r="Q34" s="29">
        <f>(P29*1000-P34)/P34</f>
        <v>3.5259895182710645E-2</v>
      </c>
    </row>
    <row r="35" spans="15:17">
      <c r="O35" s="28" t="s">
        <v>14</v>
      </c>
      <c r="P35" s="28">
        <v>58246000</v>
      </c>
      <c r="Q35" s="29">
        <f>(P30*1000-P35)/P35</f>
        <v>-1</v>
      </c>
    </row>
    <row r="76" spans="21:21">
      <c r="U76" t="s">
        <v>49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S94"/>
  <sheetViews>
    <sheetView zoomScale="55" zoomScaleNormal="55" workbookViewId="0">
      <selection activeCell="P27" sqref="P27"/>
    </sheetView>
  </sheetViews>
  <sheetFormatPr defaultRowHeight="14.25"/>
  <cols>
    <col min="1" max="1" width="14" customWidth="1"/>
    <col min="2" max="2" width="17.25" customWidth="1"/>
    <col min="3" max="3" width="11.5" bestFit="1" customWidth="1"/>
    <col min="4" max="11" width="10.625" customWidth="1"/>
    <col min="12" max="12" width="17.25" customWidth="1"/>
    <col min="13" max="21" width="10.625" customWidth="1"/>
    <col min="22" max="22" width="23.75" customWidth="1"/>
    <col min="23" max="23" width="18.125" customWidth="1"/>
    <col min="24" max="24" width="10" customWidth="1"/>
    <col min="25" max="33" width="12.375" customWidth="1"/>
    <col min="35" max="35" width="19" customWidth="1"/>
    <col min="36" max="36" width="10.75" customWidth="1"/>
    <col min="37" max="44" width="14" customWidth="1"/>
    <col min="45" max="45" width="9.25" customWidth="1"/>
    <col min="46" max="46" width="13.125" bestFit="1" customWidth="1"/>
  </cols>
  <sheetData>
    <row r="1" spans="1:32">
      <c r="V1" s="157" t="s">
        <v>27</v>
      </c>
      <c r="W1" t="s">
        <v>31</v>
      </c>
    </row>
    <row r="2" spans="1:32">
      <c r="C2">
        <v>2015</v>
      </c>
      <c r="D2">
        <v>2020</v>
      </c>
      <c r="E2">
        <v>2025</v>
      </c>
      <c r="F2">
        <v>2030</v>
      </c>
      <c r="G2">
        <v>2035</v>
      </c>
      <c r="H2">
        <v>2040</v>
      </c>
      <c r="I2">
        <v>2045</v>
      </c>
      <c r="J2">
        <v>2050</v>
      </c>
      <c r="K2">
        <v>2015</v>
      </c>
      <c r="L2">
        <v>2020</v>
      </c>
      <c r="M2">
        <v>2025</v>
      </c>
      <c r="N2">
        <v>2030</v>
      </c>
      <c r="O2">
        <v>2035</v>
      </c>
      <c r="P2">
        <v>2040</v>
      </c>
      <c r="Q2">
        <v>2045</v>
      </c>
      <c r="R2">
        <v>2050</v>
      </c>
    </row>
    <row r="3" spans="1:32">
      <c r="B3" t="s">
        <v>50</v>
      </c>
      <c r="C3" t="s">
        <v>51</v>
      </c>
      <c r="D3" t="str">
        <f t="shared" ref="D3:J3" si="0">$C3&amp;"_"&amp;D2</f>
        <v>cap_pwr_leg_2020</v>
      </c>
      <c r="E3" t="str">
        <f t="shared" si="0"/>
        <v>cap_pwr_leg_2025</v>
      </c>
      <c r="F3" t="str">
        <f t="shared" si="0"/>
        <v>cap_pwr_leg_2030</v>
      </c>
      <c r="G3" t="str">
        <f t="shared" si="0"/>
        <v>cap_pwr_leg_2035</v>
      </c>
      <c r="H3" t="str">
        <f t="shared" si="0"/>
        <v>cap_pwr_leg_2040</v>
      </c>
      <c r="I3" t="str">
        <f t="shared" si="0"/>
        <v>cap_pwr_leg_2045</v>
      </c>
      <c r="J3" t="str">
        <f t="shared" si="0"/>
        <v>cap_pwr_leg_2050</v>
      </c>
      <c r="K3" t="s">
        <v>10</v>
      </c>
      <c r="L3" t="str">
        <f t="shared" ref="L3:R3" si="1">$K3&amp;"_"&amp;L2</f>
        <v>erg_chp_2020</v>
      </c>
      <c r="M3" t="str">
        <f t="shared" si="1"/>
        <v>erg_chp_2025</v>
      </c>
      <c r="N3" t="str">
        <f t="shared" si="1"/>
        <v>erg_chp_2030</v>
      </c>
      <c r="O3" t="str">
        <f t="shared" si="1"/>
        <v>erg_chp_2035</v>
      </c>
      <c r="P3" t="str">
        <f t="shared" si="1"/>
        <v>erg_chp_2040</v>
      </c>
      <c r="Q3" t="str">
        <f t="shared" si="1"/>
        <v>erg_chp_2045</v>
      </c>
      <c r="R3" t="str">
        <f t="shared" si="1"/>
        <v>erg_chp_2050</v>
      </c>
      <c r="V3" s="157" t="s">
        <v>443</v>
      </c>
      <c r="X3" s="157" t="s">
        <v>130</v>
      </c>
    </row>
    <row r="4" spans="1:32">
      <c r="A4" t="s">
        <v>4</v>
      </c>
      <c r="B4" t="s">
        <v>52</v>
      </c>
      <c r="C4" s="26">
        <f t="shared" ref="C4:J8" si="2">INDEX($X$5:$AE$79,MATCH($B4,$T$5:$T$79,0),MATCH(C$2,$X$4:$AE$4,0))</f>
        <v>396.1445356688493</v>
      </c>
      <c r="D4" s="26">
        <f t="shared" si="2"/>
        <v>486.35976488291192</v>
      </c>
      <c r="E4" s="26">
        <f t="shared" si="2"/>
        <v>478.17033788343144</v>
      </c>
      <c r="F4" s="26">
        <f t="shared" si="2"/>
        <v>508.69259006292907</v>
      </c>
      <c r="G4" s="26">
        <f t="shared" si="2"/>
        <v>504.38789552898044</v>
      </c>
      <c r="H4" s="26">
        <f t="shared" si="2"/>
        <v>646.13331068299544</v>
      </c>
      <c r="I4" s="26">
        <f t="shared" si="2"/>
        <v>620.1035116491372</v>
      </c>
      <c r="J4" s="26">
        <f t="shared" si="2"/>
        <v>529.18233019291483</v>
      </c>
      <c r="K4" s="26" t="e">
        <f>INDEX($AK$35:$AR$54,MATCH($B4,$AG$35:$AG$54,0),MATCH(K$2,$AK$34:$AR$34,0))</f>
        <v>#N/A</v>
      </c>
      <c r="L4" s="26" t="e">
        <f t="shared" ref="L4:R4" si="3">INDEX($AK$35:$AR$54,MATCH($B4,$AG$35:$AG$54,0),MATCH(L$2,$AK$34:$AR$34,0))</f>
        <v>#N/A</v>
      </c>
      <c r="M4" s="26" t="e">
        <f t="shared" si="3"/>
        <v>#N/A</v>
      </c>
      <c r="N4" s="26" t="e">
        <f t="shared" si="3"/>
        <v>#N/A</v>
      </c>
      <c r="O4" s="26" t="e">
        <f t="shared" si="3"/>
        <v>#N/A</v>
      </c>
      <c r="P4" s="26" t="e">
        <f t="shared" si="3"/>
        <v>#N/A</v>
      </c>
      <c r="Q4" s="26" t="e">
        <f t="shared" si="3"/>
        <v>#N/A</v>
      </c>
      <c r="R4" s="26" t="e">
        <f t="shared" si="3"/>
        <v>#N/A</v>
      </c>
      <c r="V4" s="157" t="s">
        <v>6</v>
      </c>
      <c r="W4" s="157" t="s">
        <v>53</v>
      </c>
      <c r="X4">
        <v>2015</v>
      </c>
      <c r="Y4">
        <v>2020</v>
      </c>
      <c r="Z4">
        <v>2025</v>
      </c>
      <c r="AA4">
        <v>2030</v>
      </c>
      <c r="AB4">
        <v>2035</v>
      </c>
      <c r="AC4">
        <v>2040</v>
      </c>
      <c r="AD4">
        <v>2045</v>
      </c>
      <c r="AE4">
        <v>2050</v>
      </c>
      <c r="AF4" t="s">
        <v>434</v>
      </c>
    </row>
    <row r="5" spans="1:32">
      <c r="A5" t="s">
        <v>4</v>
      </c>
      <c r="B5" t="s">
        <v>54</v>
      </c>
      <c r="C5" s="26">
        <f t="shared" si="2"/>
        <v>46.2</v>
      </c>
      <c r="D5" s="26">
        <f t="shared" si="2"/>
        <v>191.26334532998399</v>
      </c>
      <c r="E5" s="26">
        <f t="shared" si="2"/>
        <v>407.58587783961002</v>
      </c>
      <c r="F5" s="26">
        <f t="shared" si="2"/>
        <v>585.73384578871298</v>
      </c>
      <c r="G5" s="26">
        <f t="shared" si="2"/>
        <v>639.17823617344402</v>
      </c>
      <c r="H5" s="26">
        <f t="shared" si="2"/>
        <v>662.08297490975701</v>
      </c>
      <c r="I5" s="26">
        <f t="shared" si="2"/>
        <v>672.26285879256295</v>
      </c>
      <c r="J5" s="26">
        <f t="shared" si="2"/>
        <v>674.80782976326498</v>
      </c>
      <c r="K5" s="26" t="e">
        <f t="shared" ref="K5:R8" si="4">INDEX($AK$35:$AR$54,MATCH($B5,$AG$35:$AG$54,0),MATCH(K$2,$AK$34:$AR$34,0))</f>
        <v>#N/A</v>
      </c>
      <c r="L5" s="26" t="e">
        <f t="shared" si="4"/>
        <v>#N/A</v>
      </c>
      <c r="M5" s="26" t="e">
        <f t="shared" si="4"/>
        <v>#N/A</v>
      </c>
      <c r="N5" s="26" t="e">
        <f t="shared" si="4"/>
        <v>#N/A</v>
      </c>
      <c r="O5" s="26" t="e">
        <f t="shared" si="4"/>
        <v>#N/A</v>
      </c>
      <c r="P5" s="26" t="e">
        <f t="shared" si="4"/>
        <v>#N/A</v>
      </c>
      <c r="Q5" s="26" t="e">
        <f t="shared" si="4"/>
        <v>#N/A</v>
      </c>
      <c r="R5" s="26" t="e">
        <f t="shared" si="4"/>
        <v>#N/A</v>
      </c>
      <c r="T5" t="str">
        <f>LEFT(U5,2)&amp;"_"&amp;W5</f>
        <v>AT_BAL_ELC</v>
      </c>
      <c r="U5" t="str">
        <f>V5</f>
        <v>AT0</v>
      </c>
      <c r="V5" t="s">
        <v>12</v>
      </c>
      <c r="W5" t="s">
        <v>55</v>
      </c>
      <c r="X5" s="149">
        <v>396.1445356688493</v>
      </c>
      <c r="Y5" s="149">
        <v>486.35976488291192</v>
      </c>
      <c r="Z5" s="149">
        <v>478.17033788343144</v>
      </c>
      <c r="AA5" s="149">
        <v>508.69259006292907</v>
      </c>
      <c r="AB5" s="149">
        <v>504.38789552898044</v>
      </c>
      <c r="AC5" s="149">
        <v>646.13331068299544</v>
      </c>
      <c r="AD5" s="149">
        <v>620.1035116491372</v>
      </c>
      <c r="AE5" s="149">
        <v>529.18233019291483</v>
      </c>
      <c r="AF5" s="149">
        <v>4169.1742765521494</v>
      </c>
    </row>
    <row r="6" spans="1:32">
      <c r="A6" t="s">
        <v>4</v>
      </c>
      <c r="B6" t="s">
        <v>56</v>
      </c>
      <c r="C6" s="26">
        <f t="shared" si="2"/>
        <v>7467</v>
      </c>
      <c r="D6" s="26">
        <f t="shared" si="2"/>
        <v>7467</v>
      </c>
      <c r="E6" s="26">
        <f t="shared" si="2"/>
        <v>7467</v>
      </c>
      <c r="F6" s="26">
        <f t="shared" si="2"/>
        <v>7467</v>
      </c>
      <c r="G6" s="26">
        <f t="shared" si="2"/>
        <v>7467</v>
      </c>
      <c r="H6" s="26">
        <f t="shared" si="2"/>
        <v>7467</v>
      </c>
      <c r="I6" s="26">
        <f t="shared" si="2"/>
        <v>7467</v>
      </c>
      <c r="J6" s="26">
        <f t="shared" si="2"/>
        <v>7467</v>
      </c>
      <c r="K6" s="26" t="e">
        <f t="shared" si="4"/>
        <v>#N/A</v>
      </c>
      <c r="L6" s="26" t="e">
        <f t="shared" si="4"/>
        <v>#N/A</v>
      </c>
      <c r="M6" s="26" t="e">
        <f t="shared" si="4"/>
        <v>#N/A</v>
      </c>
      <c r="N6" s="26" t="e">
        <f t="shared" si="4"/>
        <v>#N/A</v>
      </c>
      <c r="O6" s="26" t="e">
        <f t="shared" si="4"/>
        <v>#N/A</v>
      </c>
      <c r="P6" s="26" t="e">
        <f t="shared" si="4"/>
        <v>#N/A</v>
      </c>
      <c r="Q6" s="26" t="e">
        <f t="shared" si="4"/>
        <v>#N/A</v>
      </c>
      <c r="R6" s="26" t="e">
        <f t="shared" si="4"/>
        <v>#N/A</v>
      </c>
      <c r="T6" t="str">
        <f t="shared" ref="T6:T69" si="5">LEFT(U6,2)&amp;"_"&amp;W6</f>
        <v>AT_GAS_LIN</v>
      </c>
      <c r="U6" t="str">
        <f>U5</f>
        <v>AT0</v>
      </c>
      <c r="W6" t="s">
        <v>60</v>
      </c>
      <c r="X6" s="149">
        <v>4073.8726499999998</v>
      </c>
      <c r="Y6" s="149">
        <v>3527.0057198664999</v>
      </c>
      <c r="Z6" s="149">
        <v>3194.6868892017701</v>
      </c>
      <c r="AA6" s="149">
        <v>2902.3660922104</v>
      </c>
      <c r="AB6" s="149">
        <v>3114.7595411872298</v>
      </c>
      <c r="AC6" s="149">
        <v>3045.50220700512</v>
      </c>
      <c r="AD6" s="149">
        <v>3062.8146136684099</v>
      </c>
      <c r="AE6" s="149">
        <v>2850.4510158637399</v>
      </c>
      <c r="AF6" s="149">
        <v>25771.458729003167</v>
      </c>
    </row>
    <row r="7" spans="1:32">
      <c r="A7" t="s">
        <v>4</v>
      </c>
      <c r="B7" t="s">
        <v>57</v>
      </c>
      <c r="C7" s="26">
        <f t="shared" si="2"/>
        <v>922.97180000000003</v>
      </c>
      <c r="D7" s="26">
        <f t="shared" si="2"/>
        <v>1568.4584305942778</v>
      </c>
      <c r="E7" s="26">
        <f t="shared" si="2"/>
        <v>1786.5361861474291</v>
      </c>
      <c r="F7" s="26">
        <f t="shared" si="2"/>
        <v>1859.7369178300278</v>
      </c>
      <c r="G7" s="26">
        <f t="shared" si="2"/>
        <v>1875.663472685434</v>
      </c>
      <c r="H7" s="26">
        <f t="shared" si="2"/>
        <v>1901.4454886440619</v>
      </c>
      <c r="I7" s="26">
        <f t="shared" si="2"/>
        <v>1950.1638160508269</v>
      </c>
      <c r="J7" s="26">
        <f t="shared" si="2"/>
        <v>1970.6151429698432</v>
      </c>
      <c r="K7" s="26" t="e">
        <f t="shared" si="4"/>
        <v>#N/A</v>
      </c>
      <c r="L7" s="26" t="e">
        <f t="shared" si="4"/>
        <v>#N/A</v>
      </c>
      <c r="M7" s="26" t="e">
        <f t="shared" si="4"/>
        <v>#N/A</v>
      </c>
      <c r="N7" s="26" t="e">
        <f t="shared" si="4"/>
        <v>#N/A</v>
      </c>
      <c r="O7" s="26" t="e">
        <f t="shared" si="4"/>
        <v>#N/A</v>
      </c>
      <c r="P7" s="26" t="e">
        <f t="shared" si="4"/>
        <v>#N/A</v>
      </c>
      <c r="Q7" s="26" t="e">
        <f t="shared" si="4"/>
        <v>#N/A</v>
      </c>
      <c r="R7" s="26" t="e">
        <f t="shared" si="4"/>
        <v>#N/A</v>
      </c>
      <c r="T7" t="str">
        <f t="shared" si="5"/>
        <v>AT_GAS_NEW</v>
      </c>
      <c r="U7" t="str">
        <f t="shared" ref="U7:U19" si="6">U6</f>
        <v>AT0</v>
      </c>
      <c r="W7" t="s">
        <v>441</v>
      </c>
      <c r="X7" s="149">
        <v>0</v>
      </c>
      <c r="Y7" s="149">
        <v>0</v>
      </c>
      <c r="Z7" s="149">
        <v>0</v>
      </c>
      <c r="AA7" s="149">
        <v>0</v>
      </c>
      <c r="AB7" s="149">
        <v>0</v>
      </c>
      <c r="AC7" s="149">
        <v>0</v>
      </c>
      <c r="AD7" s="149">
        <v>0</v>
      </c>
      <c r="AE7" s="149">
        <v>0</v>
      </c>
      <c r="AF7" s="149">
        <v>0</v>
      </c>
    </row>
    <row r="8" spans="1:32">
      <c r="A8" t="s">
        <v>4</v>
      </c>
      <c r="B8" t="s">
        <v>58</v>
      </c>
      <c r="C8" s="26">
        <f t="shared" si="2"/>
        <v>2984.4095869118501</v>
      </c>
      <c r="D8" s="26">
        <f t="shared" si="2"/>
        <v>3734.3996342659284</v>
      </c>
      <c r="E8" s="26">
        <f t="shared" si="2"/>
        <v>3805.945295235153</v>
      </c>
      <c r="F8" s="26">
        <f t="shared" si="2"/>
        <v>3762.1678645948364</v>
      </c>
      <c r="G8" s="26">
        <f t="shared" si="2"/>
        <v>3860.927558151986</v>
      </c>
      <c r="H8" s="26">
        <f t="shared" si="2"/>
        <v>4724.8927970343557</v>
      </c>
      <c r="I8" s="26">
        <f t="shared" si="2"/>
        <v>4733.2848507149974</v>
      </c>
      <c r="J8" s="26">
        <f t="shared" si="2"/>
        <v>4676.9421972070086</v>
      </c>
      <c r="K8" s="26" t="e">
        <f t="shared" si="4"/>
        <v>#N/A</v>
      </c>
      <c r="L8" s="26" t="e">
        <f t="shared" si="4"/>
        <v>#N/A</v>
      </c>
      <c r="M8" s="26" t="e">
        <f t="shared" si="4"/>
        <v>#N/A</v>
      </c>
      <c r="N8" s="26" t="e">
        <f t="shared" si="4"/>
        <v>#N/A</v>
      </c>
      <c r="O8" s="26" t="e">
        <f t="shared" si="4"/>
        <v>#N/A</v>
      </c>
      <c r="P8" s="26" t="e">
        <f t="shared" si="4"/>
        <v>#N/A</v>
      </c>
      <c r="Q8" s="26" t="e">
        <f t="shared" si="4"/>
        <v>#N/A</v>
      </c>
      <c r="R8" s="26" t="e">
        <f t="shared" si="4"/>
        <v>#N/A</v>
      </c>
      <c r="T8" t="str">
        <f t="shared" si="5"/>
        <v>AT_GEO_ELC</v>
      </c>
      <c r="U8" t="str">
        <f t="shared" si="6"/>
        <v>AT0</v>
      </c>
      <c r="W8" t="s">
        <v>65</v>
      </c>
      <c r="X8" s="149">
        <v>0</v>
      </c>
      <c r="Y8" s="149">
        <v>0</v>
      </c>
      <c r="Z8" s="149">
        <v>0</v>
      </c>
      <c r="AA8" s="149">
        <v>0</v>
      </c>
      <c r="AB8" s="149">
        <v>0</v>
      </c>
      <c r="AC8" s="149">
        <v>0</v>
      </c>
      <c r="AD8" s="149">
        <v>0</v>
      </c>
      <c r="AE8" s="149">
        <v>0</v>
      </c>
      <c r="AF8" s="149">
        <v>0</v>
      </c>
    </row>
    <row r="9" spans="1:32">
      <c r="T9" t="str">
        <f t="shared" si="5"/>
        <v>AT_HCO_LIN</v>
      </c>
      <c r="U9" t="str">
        <f t="shared" si="6"/>
        <v>AT0</v>
      </c>
      <c r="W9" t="s">
        <v>70</v>
      </c>
      <c r="X9" s="149">
        <v>872.75400000000002</v>
      </c>
      <c r="Y9" s="149">
        <v>804.16070107564599</v>
      </c>
      <c r="Z9" s="149">
        <v>778.21670107564603</v>
      </c>
      <c r="AA9" s="149">
        <v>778.21670107564603</v>
      </c>
      <c r="AB9" s="149">
        <v>80.8567010756462</v>
      </c>
      <c r="AC9" s="149">
        <v>72.116701075646205</v>
      </c>
      <c r="AD9" s="149">
        <v>36.396701075646199</v>
      </c>
      <c r="AE9" s="149">
        <v>36.396701075646199</v>
      </c>
      <c r="AF9" s="149">
        <v>3459.1149075295225</v>
      </c>
    </row>
    <row r="10" spans="1:32">
      <c r="A10" t="s">
        <v>4</v>
      </c>
      <c r="B10" t="s">
        <v>59</v>
      </c>
      <c r="C10" s="26">
        <f t="shared" ref="C10:J19" si="7">INDEX($X$5:$AE$79,MATCH($B10,$T$5:$T$79,0),MATCH(C$2,$X$4:$AE$4,0))</f>
        <v>4073.8726499999998</v>
      </c>
      <c r="D10" s="26">
        <f t="shared" si="7"/>
        <v>3527.0057198664999</v>
      </c>
      <c r="E10" s="26">
        <f t="shared" si="7"/>
        <v>3194.6868892017701</v>
      </c>
      <c r="F10" s="26">
        <f t="shared" si="7"/>
        <v>2902.3660922104</v>
      </c>
      <c r="G10" s="26">
        <f t="shared" si="7"/>
        <v>3114.7595411872298</v>
      </c>
      <c r="H10" s="26">
        <f t="shared" si="7"/>
        <v>3045.50220700512</v>
      </c>
      <c r="I10" s="26">
        <f t="shared" si="7"/>
        <v>3062.8146136684099</v>
      </c>
      <c r="J10" s="26">
        <f t="shared" si="7"/>
        <v>2850.4510158637399</v>
      </c>
      <c r="K10" s="26">
        <f>INDEX($AK$35:$AR$54,MATCH($B10,$AG$35:$AG$54,0),MATCH(K$2,$AK$34:$AR$34,0))</f>
        <v>4970233.2014922695</v>
      </c>
      <c r="L10" s="26">
        <f t="shared" ref="L10:R10" si="8">INDEX($AK$35:$AR$54,MATCH($B10,$AG$35:$AG$54,0),MATCH(L$2,$AK$34:$AR$34,0))</f>
        <v>4303040.9727544188</v>
      </c>
      <c r="M10" s="26">
        <f t="shared" si="8"/>
        <v>3897603.1430640556</v>
      </c>
      <c r="N10" s="26">
        <f t="shared" si="8"/>
        <v>3540963.9804006894</v>
      </c>
      <c r="O10" s="26">
        <f t="shared" si="8"/>
        <v>3800089.6484266873</v>
      </c>
      <c r="P10" s="26">
        <f t="shared" si="8"/>
        <v>3715593.8550201934</v>
      </c>
      <c r="Q10" s="26">
        <f t="shared" si="8"/>
        <v>3736715.4525241354</v>
      </c>
      <c r="R10" s="26">
        <f t="shared" si="8"/>
        <v>3477626.2037237044</v>
      </c>
      <c r="T10" t="str">
        <f t="shared" si="5"/>
        <v>AT_HYD_RES</v>
      </c>
      <c r="U10" t="str">
        <f t="shared" si="6"/>
        <v>AT0</v>
      </c>
      <c r="W10" t="s">
        <v>75</v>
      </c>
      <c r="X10" s="149">
        <v>3846.2057253214416</v>
      </c>
      <c r="Y10" s="149">
        <v>4022.2963669400824</v>
      </c>
      <c r="Z10" s="149">
        <v>4022.2963669400824</v>
      </c>
      <c r="AA10" s="149">
        <v>4023.6377326670031</v>
      </c>
      <c r="AB10" s="149">
        <v>4050.9713576312861</v>
      </c>
      <c r="AC10" s="149">
        <v>4060.3597653224292</v>
      </c>
      <c r="AD10" s="149">
        <v>4060.3597653224292</v>
      </c>
      <c r="AE10" s="149">
        <v>4107.5520857788069</v>
      </c>
      <c r="AF10" s="149">
        <v>32193.679165923561</v>
      </c>
    </row>
    <row r="11" spans="1:32">
      <c r="A11" t="s">
        <v>4</v>
      </c>
      <c r="B11" t="s">
        <v>61</v>
      </c>
      <c r="C11" s="26">
        <f t="shared" si="7"/>
        <v>266.98390957074196</v>
      </c>
      <c r="D11" s="26">
        <f t="shared" si="7"/>
        <v>267.20528926358645</v>
      </c>
      <c r="E11" s="26">
        <f t="shared" si="7"/>
        <v>124.58446611914741</v>
      </c>
      <c r="F11" s="26">
        <f t="shared" si="7"/>
        <v>71.143408266429944</v>
      </c>
      <c r="G11" s="26">
        <f t="shared" si="7"/>
        <v>71.032072729236802</v>
      </c>
      <c r="H11" s="26">
        <f t="shared" si="7"/>
        <v>0</v>
      </c>
      <c r="I11" s="26">
        <f t="shared" si="7"/>
        <v>0</v>
      </c>
      <c r="J11" s="26">
        <f t="shared" si="7"/>
        <v>0</v>
      </c>
      <c r="K11" s="26">
        <f t="shared" ref="K11:R19" si="9">INDEX($AK$35:$AR$54,MATCH($B11,$AG$35:$AG$54,0),MATCH(K$2,$AK$34:$AR$34,0))</f>
        <v>570972.81107925263</v>
      </c>
      <c r="L11" s="26">
        <f t="shared" si="9"/>
        <v>571446.25453785842</v>
      </c>
      <c r="M11" s="26">
        <f t="shared" si="9"/>
        <v>266436.81617827696</v>
      </c>
      <c r="N11" s="26">
        <f t="shared" si="9"/>
        <v>152147.56527070494</v>
      </c>
      <c r="O11" s="26">
        <f t="shared" si="9"/>
        <v>151909.46266464752</v>
      </c>
      <c r="P11" s="26">
        <f t="shared" si="9"/>
        <v>0</v>
      </c>
      <c r="Q11" s="26">
        <f t="shared" si="9"/>
        <v>0</v>
      </c>
      <c r="R11" s="26">
        <f t="shared" si="9"/>
        <v>0</v>
      </c>
      <c r="T11" t="str">
        <f t="shared" si="5"/>
        <v>AT_HYD_ROR</v>
      </c>
      <c r="U11" t="str">
        <f t="shared" si="6"/>
        <v>AT0</v>
      </c>
      <c r="W11" t="s">
        <v>80</v>
      </c>
      <c r="X11" s="149">
        <v>5448.8053337240826</v>
      </c>
      <c r="Y11" s="149">
        <v>5698.2677119202872</v>
      </c>
      <c r="Z11" s="149">
        <v>5698.2677119202872</v>
      </c>
      <c r="AA11" s="149">
        <v>5700.1679848773992</v>
      </c>
      <c r="AB11" s="149">
        <v>5738.8907189513684</v>
      </c>
      <c r="AC11" s="149">
        <v>5752.1909970841516</v>
      </c>
      <c r="AD11" s="149">
        <v>5752.1909970841516</v>
      </c>
      <c r="AE11" s="149">
        <v>5819.0469548194942</v>
      </c>
      <c r="AF11" s="149">
        <v>45607.828410381226</v>
      </c>
    </row>
    <row r="12" spans="1:32">
      <c r="A12" t="s">
        <v>4</v>
      </c>
      <c r="B12" t="s">
        <v>62</v>
      </c>
      <c r="C12" s="26">
        <f t="shared" si="7"/>
        <v>25177.76772</v>
      </c>
      <c r="D12" s="26">
        <f t="shared" si="7"/>
        <v>21891.232619999999</v>
      </c>
      <c r="E12" s="26">
        <f t="shared" si="7"/>
        <v>21891.232619999999</v>
      </c>
      <c r="F12" s="26">
        <f t="shared" si="7"/>
        <v>21891.232619999999</v>
      </c>
      <c r="G12" s="26">
        <f t="shared" si="7"/>
        <v>21891.232619999999</v>
      </c>
      <c r="H12" s="26">
        <f t="shared" si="7"/>
        <v>21891.232619999999</v>
      </c>
      <c r="I12" s="26">
        <f t="shared" si="7"/>
        <v>21891.232619999999</v>
      </c>
      <c r="J12" s="26">
        <f t="shared" si="7"/>
        <v>20023.9026197983</v>
      </c>
      <c r="K12" s="26">
        <f t="shared" si="9"/>
        <v>54623937.413507238</v>
      </c>
      <c r="L12" s="26">
        <f t="shared" si="9"/>
        <v>47493698.958447933</v>
      </c>
      <c r="M12" s="26">
        <f t="shared" si="9"/>
        <v>47493698.958447933</v>
      </c>
      <c r="N12" s="26">
        <f t="shared" si="9"/>
        <v>47493698.958447933</v>
      </c>
      <c r="O12" s="26">
        <f t="shared" si="9"/>
        <v>47493698.958447933</v>
      </c>
      <c r="P12" s="26">
        <f t="shared" si="9"/>
        <v>47493698.958447933</v>
      </c>
      <c r="Q12" s="26">
        <f t="shared" si="9"/>
        <v>47493698.958447933</v>
      </c>
      <c r="R12" s="26">
        <f t="shared" si="9"/>
        <v>43442469.389737695</v>
      </c>
      <c r="T12" t="str">
        <f t="shared" si="5"/>
        <v>AT_HYD_STO</v>
      </c>
      <c r="U12" t="str">
        <f t="shared" si="6"/>
        <v>AT0</v>
      </c>
      <c r="W12" t="s">
        <v>85</v>
      </c>
      <c r="X12" s="149">
        <v>3853.9889409544758</v>
      </c>
      <c r="Y12" s="149">
        <v>4030.4359211396304</v>
      </c>
      <c r="Z12" s="149">
        <v>4030.4359211396304</v>
      </c>
      <c r="AA12" s="149">
        <v>4031.7800012659977</v>
      </c>
      <c r="AB12" s="149">
        <v>4059.1689387934462</v>
      </c>
      <c r="AC12" s="149">
        <v>4068.5763449487199</v>
      </c>
      <c r="AD12" s="149">
        <v>4068.5763449487199</v>
      </c>
      <c r="AE12" s="149">
        <v>4115.8641641986005</v>
      </c>
      <c r="AF12" s="149">
        <v>32258.82657738922</v>
      </c>
    </row>
    <row r="13" spans="1:32">
      <c r="A13" t="s">
        <v>4</v>
      </c>
      <c r="B13" t="s">
        <v>63</v>
      </c>
      <c r="C13" s="26">
        <f t="shared" si="7"/>
        <v>9646.1954399999995</v>
      </c>
      <c r="D13" s="26">
        <f t="shared" si="7"/>
        <v>9180.9182541502105</v>
      </c>
      <c r="E13" s="26">
        <f t="shared" si="7"/>
        <v>8902.3027766084197</v>
      </c>
      <c r="F13" s="26">
        <f t="shared" si="7"/>
        <v>8343.6593825100408</v>
      </c>
      <c r="G13" s="26">
        <f t="shared" si="7"/>
        <v>8343.6593825100408</v>
      </c>
      <c r="H13" s="26">
        <f t="shared" si="7"/>
        <v>8343.6593825100408</v>
      </c>
      <c r="I13" s="26">
        <f t="shared" si="7"/>
        <v>8343.6593825100408</v>
      </c>
      <c r="J13" s="26">
        <f t="shared" si="7"/>
        <v>8343.6593825100408</v>
      </c>
      <c r="K13" s="26">
        <f t="shared" si="9"/>
        <v>6010635.9905090518</v>
      </c>
      <c r="L13" s="26">
        <f t="shared" si="9"/>
        <v>5720717.3571756687</v>
      </c>
      <c r="M13" s="26">
        <f t="shared" si="9"/>
        <v>5547109.4070525318</v>
      </c>
      <c r="N13" s="26">
        <f t="shared" si="9"/>
        <v>5199013.4026419213</v>
      </c>
      <c r="O13" s="26">
        <f t="shared" si="9"/>
        <v>5199013.4026419213</v>
      </c>
      <c r="P13" s="26">
        <f t="shared" si="9"/>
        <v>5199013.4026419213</v>
      </c>
      <c r="Q13" s="26">
        <f t="shared" si="9"/>
        <v>5199013.4026419213</v>
      </c>
      <c r="R13" s="26">
        <f t="shared" si="9"/>
        <v>5199013.4026419213</v>
      </c>
      <c r="T13" t="str">
        <f t="shared" si="5"/>
        <v>AT_LIG_LIN</v>
      </c>
      <c r="U13" t="str">
        <f t="shared" si="6"/>
        <v>AT0</v>
      </c>
      <c r="W13" t="s">
        <v>91</v>
      </c>
      <c r="X13" s="149">
        <v>0</v>
      </c>
      <c r="Y13" s="149">
        <v>0</v>
      </c>
      <c r="Z13" s="149">
        <v>0</v>
      </c>
      <c r="AA13" s="149">
        <v>0</v>
      </c>
      <c r="AB13" s="149">
        <v>0</v>
      </c>
      <c r="AC13" s="149">
        <v>0</v>
      </c>
      <c r="AD13" s="149">
        <v>0</v>
      </c>
      <c r="AE13" s="149">
        <v>0</v>
      </c>
      <c r="AF13" s="149">
        <v>0</v>
      </c>
    </row>
    <row r="14" spans="1:32">
      <c r="A14" t="s">
        <v>4</v>
      </c>
      <c r="B14" t="s">
        <v>64</v>
      </c>
      <c r="C14" s="26">
        <f t="shared" si="7"/>
        <v>52044.520140000001</v>
      </c>
      <c r="D14" s="26">
        <f t="shared" si="7"/>
        <v>51352.575464723202</v>
      </c>
      <c r="E14" s="26">
        <f t="shared" si="7"/>
        <v>47623.093404199499</v>
      </c>
      <c r="F14" s="26">
        <f t="shared" si="7"/>
        <v>41739.442986253198</v>
      </c>
      <c r="G14" s="26">
        <f t="shared" si="7"/>
        <v>35862.127868081101</v>
      </c>
      <c r="H14" s="26">
        <f t="shared" si="7"/>
        <v>35862.127868081101</v>
      </c>
      <c r="I14" s="26">
        <f t="shared" si="7"/>
        <v>35862.127868081101</v>
      </c>
      <c r="J14" s="26">
        <f t="shared" si="7"/>
        <v>35862.127868081101</v>
      </c>
      <c r="K14" s="26">
        <f t="shared" si="9"/>
        <v>85513395.346999824</v>
      </c>
      <c r="L14" s="26">
        <f t="shared" si="9"/>
        <v>84376473.757252678</v>
      </c>
      <c r="M14" s="26">
        <f t="shared" si="9"/>
        <v>78248630.268193528</v>
      </c>
      <c r="N14" s="26">
        <f t="shared" si="9"/>
        <v>68581312.308109388</v>
      </c>
      <c r="O14" s="26">
        <f t="shared" si="9"/>
        <v>58924403.762748942</v>
      </c>
      <c r="P14" s="26">
        <f t="shared" si="9"/>
        <v>58924403.762748942</v>
      </c>
      <c r="Q14" s="26">
        <f t="shared" si="9"/>
        <v>58924403.762748942</v>
      </c>
      <c r="R14" s="26">
        <f t="shared" si="9"/>
        <v>58924403.762748942</v>
      </c>
      <c r="T14" t="str">
        <f t="shared" si="5"/>
        <v>AT_NUC_ELC</v>
      </c>
      <c r="U14" t="str">
        <f t="shared" si="6"/>
        <v>AT0</v>
      </c>
      <c r="W14" t="s">
        <v>95</v>
      </c>
      <c r="X14" s="149">
        <v>0</v>
      </c>
      <c r="Y14" s="149">
        <v>0</v>
      </c>
      <c r="Z14" s="149">
        <v>0</v>
      </c>
      <c r="AA14" s="149">
        <v>0</v>
      </c>
      <c r="AB14" s="149">
        <v>0</v>
      </c>
      <c r="AC14" s="149">
        <v>0</v>
      </c>
      <c r="AD14" s="149">
        <v>0</v>
      </c>
      <c r="AE14" s="149">
        <v>0</v>
      </c>
      <c r="AF14" s="149">
        <v>0</v>
      </c>
    </row>
    <row r="15" spans="1:32">
      <c r="A15" t="s">
        <v>4</v>
      </c>
      <c r="B15" t="s">
        <v>436</v>
      </c>
      <c r="C15" s="26">
        <f t="shared" si="7"/>
        <v>0</v>
      </c>
      <c r="D15" s="26">
        <f t="shared" si="7"/>
        <v>0</v>
      </c>
      <c r="E15" s="26">
        <f t="shared" si="7"/>
        <v>0</v>
      </c>
      <c r="F15" s="26">
        <f t="shared" si="7"/>
        <v>0</v>
      </c>
      <c r="G15" s="26">
        <f t="shared" si="7"/>
        <v>0</v>
      </c>
      <c r="H15" s="26">
        <f t="shared" si="7"/>
        <v>0</v>
      </c>
      <c r="I15" s="26">
        <f t="shared" si="7"/>
        <v>0</v>
      </c>
      <c r="J15" s="26">
        <f t="shared" si="7"/>
        <v>0</v>
      </c>
      <c r="K15" s="26">
        <f>INDEX($AK$35:$AR$54,MATCH($B15,$AG$35:$AG$54,0),MATCH(K$2,$AK$34:$AR$34,0))</f>
        <v>0</v>
      </c>
      <c r="L15" s="26">
        <f t="shared" si="9"/>
        <v>0</v>
      </c>
      <c r="M15" s="26">
        <f t="shared" si="9"/>
        <v>0</v>
      </c>
      <c r="N15" s="26">
        <f t="shared" si="9"/>
        <v>0</v>
      </c>
      <c r="O15" s="26">
        <f t="shared" si="9"/>
        <v>0</v>
      </c>
      <c r="P15" s="26">
        <f t="shared" si="9"/>
        <v>0</v>
      </c>
      <c r="Q15" s="26">
        <f t="shared" si="9"/>
        <v>0</v>
      </c>
      <c r="R15" s="26">
        <f t="shared" si="9"/>
        <v>0</v>
      </c>
      <c r="T15" t="str">
        <f t="shared" si="5"/>
        <v>AT_OIL_LIN</v>
      </c>
      <c r="U15" t="str">
        <f t="shared" si="6"/>
        <v>AT0</v>
      </c>
      <c r="W15" t="s">
        <v>100</v>
      </c>
      <c r="X15" s="149">
        <v>970.58312000000001</v>
      </c>
      <c r="Y15" s="149">
        <v>815.01612</v>
      </c>
      <c r="Z15" s="149">
        <v>482.888652858483</v>
      </c>
      <c r="AA15" s="149">
        <v>422.957882858483</v>
      </c>
      <c r="AB15" s="149">
        <v>384.78213285848301</v>
      </c>
      <c r="AC15" s="149">
        <v>8.4376999999999995</v>
      </c>
      <c r="AD15" s="149">
        <v>3.2204999999999999</v>
      </c>
      <c r="AE15" s="149">
        <v>0</v>
      </c>
      <c r="AF15" s="149">
        <v>3087.8861085754488</v>
      </c>
    </row>
    <row r="16" spans="1:32">
      <c r="A16" t="s">
        <v>4</v>
      </c>
      <c r="B16" t="s">
        <v>437</v>
      </c>
      <c r="C16" s="26">
        <f t="shared" si="7"/>
        <v>154.51532725766401</v>
      </c>
      <c r="D16" s="26">
        <f t="shared" si="7"/>
        <v>331.67495854062997</v>
      </c>
      <c r="E16" s="26">
        <f t="shared" si="7"/>
        <v>1039.3864013267</v>
      </c>
      <c r="F16" s="26">
        <f t="shared" si="7"/>
        <v>1680.624654505247</v>
      </c>
      <c r="G16" s="26">
        <f t="shared" si="7"/>
        <v>3360.69651741294</v>
      </c>
      <c r="H16" s="26">
        <f t="shared" si="7"/>
        <v>3493.2283029297937</v>
      </c>
      <c r="I16" s="26">
        <f t="shared" si="7"/>
        <v>3516.0309563294659</v>
      </c>
      <c r="J16" s="26">
        <f t="shared" si="7"/>
        <v>3449.1431730237746</v>
      </c>
      <c r="K16" s="26">
        <f t="shared" si="9"/>
        <v>930600</v>
      </c>
      <c r="L16" s="26">
        <f t="shared" si="9"/>
        <v>1633500</v>
      </c>
      <c r="M16" s="26">
        <f t="shared" si="9"/>
        <v>2445300</v>
      </c>
      <c r="N16" s="26">
        <f t="shared" si="9"/>
        <v>3009600</v>
      </c>
      <c r="O16" s="26">
        <f t="shared" si="9"/>
        <v>3227400</v>
      </c>
      <c r="P16" s="26">
        <f t="shared" si="9"/>
        <v>3405600</v>
      </c>
      <c r="Q16" s="26">
        <f t="shared" si="9"/>
        <v>3415500</v>
      </c>
      <c r="R16" s="26">
        <f t="shared" si="9"/>
        <v>3415500</v>
      </c>
      <c r="T16" t="str">
        <f t="shared" si="5"/>
        <v>AT_SOL_PHO</v>
      </c>
      <c r="U16" t="str">
        <f t="shared" si="6"/>
        <v>AT0</v>
      </c>
      <c r="W16" t="s">
        <v>105</v>
      </c>
      <c r="X16" s="149">
        <v>876</v>
      </c>
      <c r="Y16" s="149">
        <v>1089.65065061156</v>
      </c>
      <c r="Z16" s="149">
        <v>2692.0255474526298</v>
      </c>
      <c r="AA16" s="149">
        <v>2821.0255474526298</v>
      </c>
      <c r="AB16" s="149">
        <v>2888.0255474526298</v>
      </c>
      <c r="AC16" s="149">
        <v>2930.0255474526298</v>
      </c>
      <c r="AD16" s="149">
        <v>3196.7875074344702</v>
      </c>
      <c r="AE16" s="149">
        <v>4008.7875074344702</v>
      </c>
      <c r="AF16" s="149">
        <v>20502.32785529102</v>
      </c>
    </row>
    <row r="17" spans="1:32">
      <c r="A17" t="s">
        <v>4</v>
      </c>
      <c r="B17" t="s">
        <v>438</v>
      </c>
      <c r="C17" s="26">
        <f t="shared" si="7"/>
        <v>0</v>
      </c>
      <c r="D17" s="26">
        <f t="shared" si="7"/>
        <v>0</v>
      </c>
      <c r="E17" s="26">
        <f t="shared" si="7"/>
        <v>1186.8420513037017</v>
      </c>
      <c r="F17" s="26">
        <f t="shared" si="7"/>
        <v>5086.7513160732015</v>
      </c>
      <c r="G17" s="26">
        <f t="shared" si="7"/>
        <v>17195.078435375002</v>
      </c>
      <c r="H17" s="26">
        <f t="shared" si="7"/>
        <v>20128.794255375</v>
      </c>
      <c r="I17" s="26">
        <f t="shared" si="7"/>
        <v>21402.099824999099</v>
      </c>
      <c r="J17" s="26">
        <f t="shared" si="7"/>
        <v>21402.099824999099</v>
      </c>
      <c r="K17" s="26">
        <f t="shared" si="9"/>
        <v>0</v>
      </c>
      <c r="L17" s="26">
        <f t="shared" si="9"/>
        <v>0</v>
      </c>
      <c r="M17" s="26">
        <f t="shared" si="9"/>
        <v>2574890.1432049572</v>
      </c>
      <c r="N17" s="26">
        <f t="shared" si="9"/>
        <v>11035862.615673466</v>
      </c>
      <c r="O17" s="26">
        <f t="shared" si="9"/>
        <v>37305248.770254046</v>
      </c>
      <c r="P17" s="26">
        <f t="shared" si="9"/>
        <v>43670035.002410769</v>
      </c>
      <c r="Q17" s="26">
        <f t="shared" si="9"/>
        <v>46432510.394070193</v>
      </c>
      <c r="R17" s="26">
        <f t="shared" si="9"/>
        <v>46432510.394070193</v>
      </c>
      <c r="T17" t="str">
        <f t="shared" si="5"/>
        <v>AT_WAS_ELC</v>
      </c>
      <c r="U17" t="str">
        <f t="shared" si="6"/>
        <v>AT0</v>
      </c>
      <c r="W17" t="s">
        <v>110</v>
      </c>
      <c r="X17" s="149">
        <v>237.13802433115077</v>
      </c>
      <c r="Y17" s="149">
        <v>291.1422053664491</v>
      </c>
      <c r="Z17" s="149">
        <v>286.23989228573964</v>
      </c>
      <c r="AA17" s="149">
        <v>304.51096743199309</v>
      </c>
      <c r="AB17" s="149">
        <v>301.93411311439871</v>
      </c>
      <c r="AC17" s="149">
        <v>386.7850316077446</v>
      </c>
      <c r="AD17" s="149">
        <v>371.20320588293902</v>
      </c>
      <c r="AE17" s="149">
        <v>316.77643131193724</v>
      </c>
      <c r="AF17" s="149">
        <v>2495.7298713323526</v>
      </c>
    </row>
    <row r="18" spans="1:32">
      <c r="A18" t="s">
        <v>4</v>
      </c>
      <c r="B18" t="s">
        <v>439</v>
      </c>
      <c r="C18" s="26">
        <f t="shared" si="7"/>
        <v>0</v>
      </c>
      <c r="D18" s="26">
        <f t="shared" si="7"/>
        <v>0</v>
      </c>
      <c r="E18" s="26">
        <f t="shared" si="7"/>
        <v>0</v>
      </c>
      <c r="F18" s="26">
        <f t="shared" si="7"/>
        <v>0</v>
      </c>
      <c r="G18" s="26">
        <f t="shared" si="7"/>
        <v>4923.6136319191592</v>
      </c>
      <c r="H18" s="26">
        <f t="shared" si="7"/>
        <v>14849.69255299066</v>
      </c>
      <c r="I18" s="26">
        <f t="shared" si="7"/>
        <v>18916.099536294561</v>
      </c>
      <c r="J18" s="26">
        <f t="shared" si="7"/>
        <v>26580.733478190159</v>
      </c>
      <c r="K18" s="26">
        <f t="shared" si="9"/>
        <v>0</v>
      </c>
      <c r="L18" s="26">
        <f t="shared" si="9"/>
        <v>0</v>
      </c>
      <c r="M18" s="26">
        <f t="shared" si="9"/>
        <v>0</v>
      </c>
      <c r="N18" s="26">
        <f t="shared" si="9"/>
        <v>0</v>
      </c>
      <c r="O18" s="26">
        <f t="shared" si="9"/>
        <v>3067950.4145910488</v>
      </c>
      <c r="P18" s="26">
        <f t="shared" si="9"/>
        <v>9252984.4602650832</v>
      </c>
      <c r="Q18" s="26">
        <f t="shared" si="9"/>
        <v>11786801.271041185</v>
      </c>
      <c r="R18" s="26">
        <f t="shared" si="9"/>
        <v>16562707.472795993</v>
      </c>
      <c r="T18" t="str">
        <f t="shared" si="5"/>
        <v>AT_WIN_OFF</v>
      </c>
      <c r="U18" t="str">
        <f t="shared" si="6"/>
        <v>AT0</v>
      </c>
      <c r="W18" t="s">
        <v>115</v>
      </c>
      <c r="X18" s="149">
        <v>0</v>
      </c>
      <c r="Y18" s="149">
        <v>0</v>
      </c>
      <c r="Z18" s="149">
        <v>0</v>
      </c>
      <c r="AA18" s="149">
        <v>0</v>
      </c>
      <c r="AB18" s="149">
        <v>0</v>
      </c>
      <c r="AC18" s="149">
        <v>0</v>
      </c>
      <c r="AD18" s="149">
        <v>0</v>
      </c>
      <c r="AE18" s="149">
        <v>0</v>
      </c>
      <c r="AF18" s="149">
        <v>0</v>
      </c>
    </row>
    <row r="19" spans="1:32">
      <c r="A19" t="s">
        <v>4</v>
      </c>
      <c r="B19" t="s">
        <v>440</v>
      </c>
      <c r="C19" s="26">
        <f t="shared" si="7"/>
        <v>0</v>
      </c>
      <c r="D19" s="26">
        <f t="shared" si="7"/>
        <v>0</v>
      </c>
      <c r="E19" s="26">
        <f t="shared" si="7"/>
        <v>0</v>
      </c>
      <c r="F19" s="26">
        <f t="shared" si="7"/>
        <v>0</v>
      </c>
      <c r="G19" s="26">
        <f t="shared" si="7"/>
        <v>0</v>
      </c>
      <c r="H19" s="26">
        <f t="shared" si="7"/>
        <v>9350.9504850730955</v>
      </c>
      <c r="I19" s="26">
        <f t="shared" si="7"/>
        <v>9219.3718435810006</v>
      </c>
      <c r="J19" s="26">
        <f t="shared" si="7"/>
        <v>9199.5035090357997</v>
      </c>
      <c r="K19" s="26">
        <f t="shared" si="9"/>
        <v>0</v>
      </c>
      <c r="L19" s="26">
        <f t="shared" si="9"/>
        <v>0</v>
      </c>
      <c r="M19" s="26">
        <f t="shared" si="9"/>
        <v>0</v>
      </c>
      <c r="N19" s="26">
        <f t="shared" si="9"/>
        <v>0</v>
      </c>
      <c r="O19" s="26">
        <f t="shared" si="9"/>
        <v>0</v>
      </c>
      <c r="P19" s="26">
        <f t="shared" si="9"/>
        <v>15364375.030248389</v>
      </c>
      <c r="Q19" s="26">
        <f t="shared" si="9"/>
        <v>15148180.580595141</v>
      </c>
      <c r="R19" s="26">
        <f t="shared" si="9"/>
        <v>15115535.284946727</v>
      </c>
      <c r="T19" t="str">
        <f t="shared" si="5"/>
        <v>AT_WIN_ONS</v>
      </c>
      <c r="U19" t="str">
        <f t="shared" si="6"/>
        <v>AT0</v>
      </c>
      <c r="W19" t="s">
        <v>120</v>
      </c>
      <c r="X19" s="149">
        <v>2411.5</v>
      </c>
      <c r="Y19" s="149">
        <v>2582.7889976764</v>
      </c>
      <c r="Z19" s="149">
        <v>3663.84</v>
      </c>
      <c r="AA19" s="149">
        <v>4544.5888077801101</v>
      </c>
      <c r="AB19" s="149">
        <v>4544.5888077801101</v>
      </c>
      <c r="AC19" s="149">
        <v>5025.6844286095502</v>
      </c>
      <c r="AD19" s="149">
        <v>5986.2263881033696</v>
      </c>
      <c r="AE19" s="149">
        <v>6802.6646620974898</v>
      </c>
      <c r="AF19" s="149">
        <v>35561.882092047032</v>
      </c>
    </row>
    <row r="20" spans="1:32">
      <c r="T20" t="str">
        <f t="shared" si="5"/>
        <v>CH_BAL_ELC</v>
      </c>
      <c r="U20" t="str">
        <f>V20</f>
        <v>CH0</v>
      </c>
      <c r="V20" t="s">
        <v>14</v>
      </c>
      <c r="W20" t="s">
        <v>55</v>
      </c>
      <c r="X20" s="149">
        <v>46.2</v>
      </c>
      <c r="Y20" s="149">
        <v>191.26334532998399</v>
      </c>
      <c r="Z20" s="149">
        <v>407.58587783961002</v>
      </c>
      <c r="AA20" s="149">
        <v>585.73384578871298</v>
      </c>
      <c r="AB20" s="149">
        <v>639.17823617344402</v>
      </c>
      <c r="AC20" s="149">
        <v>662.08297490975701</v>
      </c>
      <c r="AD20" s="149">
        <v>672.26285879256295</v>
      </c>
      <c r="AE20" s="149">
        <v>674.80782976326498</v>
      </c>
      <c r="AF20" s="149">
        <v>3879.114968597336</v>
      </c>
    </row>
    <row r="21" spans="1:32">
      <c r="A21" t="s">
        <v>4</v>
      </c>
      <c r="B21" t="s">
        <v>66</v>
      </c>
      <c r="C21" s="26">
        <f t="shared" ref="C21:J22" si="10">INDEX($X$5:$AE$79,MATCH($B21,$T$5:$T$79,0),MATCH(C$2,$X$4:$AE$4,0))</f>
        <v>0</v>
      </c>
      <c r="D21" s="26">
        <f t="shared" si="10"/>
        <v>12.9795791896249</v>
      </c>
      <c r="E21" s="26">
        <f t="shared" si="10"/>
        <v>37.640779649912098</v>
      </c>
      <c r="F21" s="26">
        <f t="shared" si="10"/>
        <v>88.261138489448996</v>
      </c>
      <c r="G21" s="26">
        <f t="shared" si="10"/>
        <v>172.628403222011</v>
      </c>
      <c r="H21" s="26">
        <f t="shared" si="10"/>
        <v>299.82827928033402</v>
      </c>
      <c r="I21" s="26">
        <f t="shared" si="10"/>
        <v>438.70977660931999</v>
      </c>
      <c r="J21" s="26">
        <f t="shared" si="10"/>
        <v>556.82394723490597</v>
      </c>
      <c r="K21" s="26" t="e">
        <f t="shared" ref="K21:R22" si="11">INDEX($AK$35:$AR$54,MATCH($B21,$AG$35:$AG$54,0),MATCH(K$2,$AK$34:$AR$34,0))</f>
        <v>#N/A</v>
      </c>
      <c r="L21" s="26" t="e">
        <f t="shared" si="11"/>
        <v>#N/A</v>
      </c>
      <c r="M21" s="26" t="e">
        <f t="shared" si="11"/>
        <v>#N/A</v>
      </c>
      <c r="N21" s="26" t="e">
        <f t="shared" si="11"/>
        <v>#N/A</v>
      </c>
      <c r="O21" s="26" t="e">
        <f t="shared" si="11"/>
        <v>#N/A</v>
      </c>
      <c r="P21" s="26" t="e">
        <f t="shared" si="11"/>
        <v>#N/A</v>
      </c>
      <c r="Q21" s="26" t="e">
        <f t="shared" si="11"/>
        <v>#N/A</v>
      </c>
      <c r="R21" s="26" t="e">
        <f t="shared" si="11"/>
        <v>#N/A</v>
      </c>
      <c r="T21" t="str">
        <f t="shared" si="5"/>
        <v>CH_GAS_LIN</v>
      </c>
      <c r="U21" t="str">
        <f>U20</f>
        <v>CH0</v>
      </c>
      <c r="W21" t="s">
        <v>60</v>
      </c>
      <c r="X21" s="149">
        <v>266.98390957074196</v>
      </c>
      <c r="Y21" s="149">
        <v>267.20528926358645</v>
      </c>
      <c r="Z21" s="149">
        <v>124.58446611914741</v>
      </c>
      <c r="AA21" s="149">
        <v>71.143408266429944</v>
      </c>
      <c r="AB21" s="149">
        <v>71.032072729236802</v>
      </c>
      <c r="AC21" s="149">
        <v>0</v>
      </c>
      <c r="AD21" s="149">
        <v>0</v>
      </c>
      <c r="AE21" s="149">
        <v>0</v>
      </c>
      <c r="AF21" s="149">
        <v>800.94914594914258</v>
      </c>
    </row>
    <row r="22" spans="1:32">
      <c r="A22" t="s">
        <v>4</v>
      </c>
      <c r="B22" t="s">
        <v>67</v>
      </c>
      <c r="C22" s="26">
        <f t="shared" si="10"/>
        <v>773</v>
      </c>
      <c r="D22" s="26">
        <f t="shared" si="10"/>
        <v>773</v>
      </c>
      <c r="E22" s="26">
        <f t="shared" si="10"/>
        <v>773</v>
      </c>
      <c r="F22" s="26">
        <f t="shared" si="10"/>
        <v>773</v>
      </c>
      <c r="G22" s="26">
        <f t="shared" si="10"/>
        <v>773</v>
      </c>
      <c r="H22" s="26">
        <f t="shared" si="10"/>
        <v>773</v>
      </c>
      <c r="I22" s="26">
        <f t="shared" si="10"/>
        <v>692</v>
      </c>
      <c r="J22" s="26">
        <f t="shared" si="10"/>
        <v>692</v>
      </c>
      <c r="K22" s="26" t="e">
        <f t="shared" si="11"/>
        <v>#N/A</v>
      </c>
      <c r="L22" s="26" t="e">
        <f t="shared" si="11"/>
        <v>#N/A</v>
      </c>
      <c r="M22" s="26" t="e">
        <f t="shared" si="11"/>
        <v>#N/A</v>
      </c>
      <c r="N22" s="26" t="e">
        <f t="shared" si="11"/>
        <v>#N/A</v>
      </c>
      <c r="O22" s="26" t="e">
        <f t="shared" si="11"/>
        <v>#N/A</v>
      </c>
      <c r="P22" s="26" t="e">
        <f t="shared" si="11"/>
        <v>#N/A</v>
      </c>
      <c r="Q22" s="26" t="e">
        <f t="shared" si="11"/>
        <v>#N/A</v>
      </c>
      <c r="R22" s="26" t="e">
        <f t="shared" si="11"/>
        <v>#N/A</v>
      </c>
      <c r="T22" t="str">
        <f t="shared" si="5"/>
        <v>CH_GAS_NEW</v>
      </c>
      <c r="U22" t="str">
        <f t="shared" ref="U22:U34" si="12">U21</f>
        <v>CH0</v>
      </c>
      <c r="W22" t="s">
        <v>441</v>
      </c>
      <c r="X22" s="149">
        <v>154.51532725766401</v>
      </c>
      <c r="Y22" s="149">
        <v>331.67495854062997</v>
      </c>
      <c r="Z22" s="149">
        <v>1039.3864013267</v>
      </c>
      <c r="AA22" s="149">
        <v>1680.624654505247</v>
      </c>
      <c r="AB22" s="149">
        <v>3360.69651741294</v>
      </c>
      <c r="AC22" s="149">
        <v>3493.2283029297937</v>
      </c>
      <c r="AD22" s="149">
        <v>3516.0309563294659</v>
      </c>
      <c r="AE22" s="149">
        <v>3449.1431730237746</v>
      </c>
      <c r="AF22" s="149">
        <v>17025.300291326213</v>
      </c>
    </row>
    <row r="23" spans="1:32">
      <c r="C23" s="26"/>
      <c r="D23" s="26"/>
      <c r="E23" s="26"/>
      <c r="F23" s="26"/>
      <c r="G23" s="26"/>
      <c r="H23" s="26"/>
      <c r="I23" s="26"/>
      <c r="J23" s="26"/>
      <c r="T23" t="str">
        <f t="shared" si="5"/>
        <v>CH_GEO_ELC</v>
      </c>
      <c r="U23" t="str">
        <f t="shared" si="12"/>
        <v>CH0</v>
      </c>
      <c r="W23" t="s">
        <v>65</v>
      </c>
      <c r="X23" s="149">
        <v>0</v>
      </c>
      <c r="Y23" s="149">
        <v>12.9795791896249</v>
      </c>
      <c r="Z23" s="149">
        <v>37.640779649912098</v>
      </c>
      <c r="AA23" s="149">
        <v>88.261138489448996</v>
      </c>
      <c r="AB23" s="149">
        <v>172.628403222011</v>
      </c>
      <c r="AC23" s="149">
        <v>299.82827928033402</v>
      </c>
      <c r="AD23" s="149">
        <v>438.70977660931999</v>
      </c>
      <c r="AE23" s="149">
        <v>556.82394723490597</v>
      </c>
      <c r="AF23" s="149">
        <v>1606.871903675557</v>
      </c>
    </row>
    <row r="24" spans="1:32">
      <c r="A24" t="s">
        <v>4</v>
      </c>
      <c r="B24" t="s">
        <v>68</v>
      </c>
      <c r="C24" s="26">
        <f t="shared" ref="C24:J27" si="13">INDEX($X$5:$AE$79,MATCH($B24,$T$5:$T$79,0),MATCH(C$2,$X$4:$AE$4,0))</f>
        <v>872.75400000000002</v>
      </c>
      <c r="D24" s="26">
        <f t="shared" si="13"/>
        <v>804.16070107564599</v>
      </c>
      <c r="E24" s="26">
        <f t="shared" si="13"/>
        <v>778.21670107564603</v>
      </c>
      <c r="F24" s="26">
        <f t="shared" si="13"/>
        <v>778.21670107564603</v>
      </c>
      <c r="G24" s="26">
        <f t="shared" si="13"/>
        <v>80.8567010756462</v>
      </c>
      <c r="H24" s="26">
        <f t="shared" si="13"/>
        <v>72.116701075646205</v>
      </c>
      <c r="I24" s="26">
        <f t="shared" si="13"/>
        <v>36.396701075646199</v>
      </c>
      <c r="J24" s="26">
        <f t="shared" si="13"/>
        <v>36.396701075646199</v>
      </c>
      <c r="K24" s="26">
        <f t="shared" ref="K24:R27" si="14">INDEX($AK$35:$AR$54,MATCH($B24,$AG$35:$AG$54,0),MATCH(K$2,$AK$34:$AR$34,0))</f>
        <v>382632.93741225201</v>
      </c>
      <c r="L24" s="26">
        <f t="shared" si="14"/>
        <v>352560.25318024366</v>
      </c>
      <c r="M24" s="26">
        <f t="shared" si="14"/>
        <v>341185.88087347284</v>
      </c>
      <c r="N24" s="26">
        <f t="shared" si="14"/>
        <v>341185.88087347284</v>
      </c>
      <c r="O24" s="26">
        <f t="shared" si="14"/>
        <v>35449.206812044293</v>
      </c>
      <c r="P24" s="26">
        <f t="shared" si="14"/>
        <v>31617.41472288391</v>
      </c>
      <c r="Q24" s="26">
        <f t="shared" si="14"/>
        <v>15957.047054141462</v>
      </c>
      <c r="R24" s="26">
        <f t="shared" si="14"/>
        <v>15957.047054141462</v>
      </c>
      <c r="T24" t="str">
        <f t="shared" si="5"/>
        <v>CH_HCO_LIN</v>
      </c>
      <c r="U24" t="str">
        <f t="shared" si="12"/>
        <v>CH0</v>
      </c>
      <c r="W24" t="s">
        <v>70</v>
      </c>
      <c r="X24" s="149">
        <v>0</v>
      </c>
      <c r="Y24" s="149">
        <v>0</v>
      </c>
      <c r="Z24" s="149">
        <v>0</v>
      </c>
      <c r="AA24" s="149">
        <v>0</v>
      </c>
      <c r="AB24" s="149">
        <v>0</v>
      </c>
      <c r="AC24" s="149">
        <v>0</v>
      </c>
      <c r="AD24" s="149">
        <v>0</v>
      </c>
      <c r="AE24" s="149">
        <v>0</v>
      </c>
      <c r="AF24" s="149">
        <v>0</v>
      </c>
    </row>
    <row r="25" spans="1:32">
      <c r="A25" t="s">
        <v>4</v>
      </c>
      <c r="B25" t="s">
        <v>69</v>
      </c>
      <c r="C25" s="26">
        <f t="shared" si="13"/>
        <v>24612.6</v>
      </c>
      <c r="D25" s="26">
        <f t="shared" si="13"/>
        <v>23397.811875606982</v>
      </c>
      <c r="E25" s="26">
        <f t="shared" si="13"/>
        <v>21563.676952016125</v>
      </c>
      <c r="F25" s="26">
        <f t="shared" si="13"/>
        <v>18742.41659256093</v>
      </c>
      <c r="G25" s="26">
        <f t="shared" si="13"/>
        <v>12593.859233645098</v>
      </c>
      <c r="H25" s="26">
        <f t="shared" si="13"/>
        <v>11362.487577206884</v>
      </c>
      <c r="I25" s="26">
        <f t="shared" si="13"/>
        <v>10210.232972481657</v>
      </c>
      <c r="J25" s="26">
        <f t="shared" si="13"/>
        <v>10210.232972481657</v>
      </c>
      <c r="K25" s="26">
        <f t="shared" si="14"/>
        <v>8143575.3637002986</v>
      </c>
      <c r="L25" s="26">
        <f t="shared" si="14"/>
        <v>7741638.1997305164</v>
      </c>
      <c r="M25" s="26">
        <f t="shared" si="14"/>
        <v>7134777.6495465925</v>
      </c>
      <c r="N25" s="26">
        <f t="shared" si="14"/>
        <v>6201306.7298614085</v>
      </c>
      <c r="O25" s="26">
        <f t="shared" si="14"/>
        <v>4166932.4569131974</v>
      </c>
      <c r="P25" s="26">
        <f t="shared" si="14"/>
        <v>3759508.2967298329</v>
      </c>
      <c r="Q25" s="26">
        <f t="shared" si="14"/>
        <v>3378261.6095959833</v>
      </c>
      <c r="R25" s="26">
        <f t="shared" si="14"/>
        <v>3378261.6095959833</v>
      </c>
      <c r="T25" t="str">
        <f t="shared" si="5"/>
        <v>CH_HYD_RES</v>
      </c>
      <c r="U25" t="str">
        <f t="shared" si="12"/>
        <v>CH0</v>
      </c>
      <c r="W25" t="s">
        <v>75</v>
      </c>
      <c r="X25" s="149">
        <v>7635.7214468775128</v>
      </c>
      <c r="Y25" s="149">
        <v>9698.3482470394229</v>
      </c>
      <c r="Z25" s="149">
        <v>9784.2829783423022</v>
      </c>
      <c r="AA25" s="149">
        <v>9833.3885390868036</v>
      </c>
      <c r="AB25" s="149">
        <v>9919.3999978283482</v>
      </c>
      <c r="AC25" s="149">
        <v>10005.258001692564</v>
      </c>
      <c r="AD25" s="149">
        <v>10140.298293739952</v>
      </c>
      <c r="AE25" s="149">
        <v>10275.33858578734</v>
      </c>
      <c r="AF25" s="149">
        <v>77292.036090394235</v>
      </c>
    </row>
    <row r="26" spans="1:32">
      <c r="A26" t="s">
        <v>4</v>
      </c>
      <c r="B26" t="s">
        <v>71</v>
      </c>
      <c r="C26" s="26">
        <f t="shared" si="13"/>
        <v>5384.8374999999996</v>
      </c>
      <c r="D26" s="26">
        <f t="shared" si="13"/>
        <v>3855.5255000000002</v>
      </c>
      <c r="E26" s="26">
        <f t="shared" si="13"/>
        <v>3833.5329999999999</v>
      </c>
      <c r="F26" s="26">
        <f t="shared" si="13"/>
        <v>3779.5729999999999</v>
      </c>
      <c r="G26" s="26">
        <f t="shared" si="13"/>
        <v>3479.9</v>
      </c>
      <c r="H26" s="26">
        <f t="shared" si="13"/>
        <v>2891.56</v>
      </c>
      <c r="I26" s="26">
        <f t="shared" si="13"/>
        <v>2891.56</v>
      </c>
      <c r="J26" s="26">
        <f t="shared" si="13"/>
        <v>2891.56</v>
      </c>
      <c r="K26" s="26">
        <f t="shared" si="14"/>
        <v>1356129.5658272894</v>
      </c>
      <c r="L26" s="26">
        <f t="shared" si="14"/>
        <v>970984.19819558959</v>
      </c>
      <c r="M26" s="26">
        <f t="shared" si="14"/>
        <v>965445.55761888565</v>
      </c>
      <c r="N26" s="26">
        <f t="shared" si="14"/>
        <v>951856.15006999671</v>
      </c>
      <c r="O26" s="26">
        <f t="shared" si="14"/>
        <v>876385.82893585635</v>
      </c>
      <c r="P26" s="26">
        <f t="shared" si="14"/>
        <v>728216.96241781802</v>
      </c>
      <c r="Q26" s="26">
        <f t="shared" si="14"/>
        <v>728216.96241781802</v>
      </c>
      <c r="R26" s="26">
        <f t="shared" si="14"/>
        <v>728216.96241781802</v>
      </c>
      <c r="T26" t="str">
        <f t="shared" si="5"/>
        <v>CH_HYD_ROR</v>
      </c>
      <c r="U26" t="str">
        <f t="shared" si="12"/>
        <v>CH0</v>
      </c>
      <c r="W26" t="s">
        <v>80</v>
      </c>
      <c r="X26" s="149">
        <v>4199.8690228328906</v>
      </c>
      <c r="Y26" s="149">
        <v>5334.3737928055307</v>
      </c>
      <c r="Z26" s="149">
        <v>5381.6403960329208</v>
      </c>
      <c r="AA26" s="149">
        <v>5408.6498835914281</v>
      </c>
      <c r="AB26" s="149">
        <v>5455.958689143129</v>
      </c>
      <c r="AC26" s="149">
        <v>5503.1830900462091</v>
      </c>
      <c r="AD26" s="149">
        <v>5577.4591808321111</v>
      </c>
      <c r="AE26" s="149">
        <v>5651.7352716180121</v>
      </c>
      <c r="AF26" s="149">
        <v>42512.869326902226</v>
      </c>
    </row>
    <row r="27" spans="1:32">
      <c r="A27" t="s">
        <v>4</v>
      </c>
      <c r="B27" t="s">
        <v>72</v>
      </c>
      <c r="C27" s="26">
        <f t="shared" si="13"/>
        <v>9511.49</v>
      </c>
      <c r="D27" s="26">
        <f t="shared" si="13"/>
        <v>8858.0188836439702</v>
      </c>
      <c r="E27" s="26">
        <f t="shared" si="13"/>
        <v>5103.4988836439697</v>
      </c>
      <c r="F27" s="26">
        <f t="shared" si="13"/>
        <v>5098.3688836439696</v>
      </c>
      <c r="G27" s="26">
        <f t="shared" si="13"/>
        <v>4803.0488836439699</v>
      </c>
      <c r="H27" s="26">
        <f t="shared" si="13"/>
        <v>2226.1288836439699</v>
      </c>
      <c r="I27" s="26">
        <f t="shared" si="13"/>
        <v>2214.1688836439698</v>
      </c>
      <c r="J27" s="26">
        <f t="shared" si="13"/>
        <v>1901.3688836439701</v>
      </c>
      <c r="K27" s="26">
        <f t="shared" si="14"/>
        <v>122639.64468747843</v>
      </c>
      <c r="L27" s="26">
        <f t="shared" si="14"/>
        <v>114213.89167470827</v>
      </c>
      <c r="M27" s="26">
        <f t="shared" si="14"/>
        <v>65803.705807716702</v>
      </c>
      <c r="N27" s="26">
        <f t="shared" si="14"/>
        <v>65737.560400714559</v>
      </c>
      <c r="O27" s="26">
        <f t="shared" si="14"/>
        <v>61929.751122766938</v>
      </c>
      <c r="P27" s="26">
        <f t="shared" si="14"/>
        <v>28703.353030769049</v>
      </c>
      <c r="Q27" s="26">
        <f t="shared" si="14"/>
        <v>28549.142686179268</v>
      </c>
      <c r="R27" s="26">
        <f t="shared" si="14"/>
        <v>24515.949058446578</v>
      </c>
      <c r="T27" t="str">
        <f t="shared" si="5"/>
        <v>CH_HYD_STO</v>
      </c>
      <c r="U27" t="str">
        <f t="shared" si="12"/>
        <v>CH0</v>
      </c>
      <c r="W27" t="s">
        <v>85</v>
      </c>
      <c r="X27" s="149">
        <v>1917.516406842997</v>
      </c>
      <c r="Y27" s="149">
        <v>2435.4924432949165</v>
      </c>
      <c r="Z27" s="149">
        <v>2457.0727560836058</v>
      </c>
      <c r="AA27" s="149">
        <v>2469.4043633914275</v>
      </c>
      <c r="AB27" s="149">
        <v>2491.0039443165351</v>
      </c>
      <c r="AC27" s="149">
        <v>2512.5649889688052</v>
      </c>
      <c r="AD27" s="149">
        <v>2546.4769090653176</v>
      </c>
      <c r="AE27" s="149">
        <v>2580.38882916183</v>
      </c>
      <c r="AF27" s="149">
        <v>19409.920641125434</v>
      </c>
    </row>
    <row r="28" spans="1:32">
      <c r="C28" s="26"/>
      <c r="D28" s="26"/>
      <c r="E28" s="26"/>
      <c r="F28" s="26"/>
      <c r="G28" s="26"/>
      <c r="H28" s="26"/>
      <c r="I28" s="26"/>
      <c r="J28" s="26"/>
      <c r="T28" t="str">
        <f t="shared" si="5"/>
        <v>CH_LIG_LIN</v>
      </c>
      <c r="U28" t="str">
        <f t="shared" si="12"/>
        <v>CH0</v>
      </c>
      <c r="W28" t="s">
        <v>91</v>
      </c>
      <c r="X28" s="149">
        <v>0</v>
      </c>
      <c r="Y28" s="149">
        <v>0</v>
      </c>
      <c r="Z28" s="149">
        <v>0</v>
      </c>
      <c r="AA28" s="149">
        <v>0</v>
      </c>
      <c r="AB28" s="149">
        <v>0</v>
      </c>
      <c r="AC28" s="149">
        <v>0</v>
      </c>
      <c r="AD28" s="149">
        <v>0</v>
      </c>
      <c r="AE28" s="149">
        <v>0</v>
      </c>
      <c r="AF28" s="149">
        <v>0</v>
      </c>
    </row>
    <row r="29" spans="1:32">
      <c r="A29" t="s">
        <v>4</v>
      </c>
      <c r="B29" t="s">
        <v>73</v>
      </c>
      <c r="C29" s="26">
        <f t="shared" ref="C29:J33" si="15">INDEX($X$5:$AE$79,MATCH($B29,$T$5:$T$79,0),MATCH(C$2,$X$4:$AE$4,0))</f>
        <v>3846.2057253214416</v>
      </c>
      <c r="D29" s="26">
        <f t="shared" si="15"/>
        <v>4022.2963669400824</v>
      </c>
      <c r="E29" s="26">
        <f t="shared" si="15"/>
        <v>4022.2963669400824</v>
      </c>
      <c r="F29" s="26">
        <f t="shared" si="15"/>
        <v>4023.6377326670031</v>
      </c>
      <c r="G29" s="26">
        <f t="shared" si="15"/>
        <v>4050.9713576312861</v>
      </c>
      <c r="H29" s="26">
        <f t="shared" si="15"/>
        <v>4060.3597653224292</v>
      </c>
      <c r="I29" s="26">
        <f t="shared" si="15"/>
        <v>4060.3597653224292</v>
      </c>
      <c r="J29" s="26">
        <f t="shared" si="15"/>
        <v>4107.5520857788069</v>
      </c>
      <c r="K29" s="26" t="e">
        <f t="shared" ref="K29:R33" si="16">INDEX($AK$35:$AR$54,MATCH($B29,$AG$35:$AG$54,0),MATCH(K$2,$AK$34:$AR$34,0))</f>
        <v>#N/A</v>
      </c>
      <c r="L29" s="26" t="e">
        <f t="shared" si="16"/>
        <v>#N/A</v>
      </c>
      <c r="M29" s="26" t="e">
        <f t="shared" si="16"/>
        <v>#N/A</v>
      </c>
      <c r="N29" s="26" t="e">
        <f t="shared" si="16"/>
        <v>#N/A</v>
      </c>
      <c r="O29" s="26" t="e">
        <f t="shared" si="16"/>
        <v>#N/A</v>
      </c>
      <c r="P29" s="26" t="e">
        <f t="shared" si="16"/>
        <v>#N/A</v>
      </c>
      <c r="Q29" s="26" t="e">
        <f t="shared" si="16"/>
        <v>#N/A</v>
      </c>
      <c r="R29" s="26" t="e">
        <f t="shared" si="16"/>
        <v>#N/A</v>
      </c>
      <c r="T29" t="str">
        <f t="shared" si="5"/>
        <v>CH_NUC_ELC</v>
      </c>
      <c r="U29" t="str">
        <f t="shared" si="12"/>
        <v>CH0</v>
      </c>
      <c r="W29" t="s">
        <v>95</v>
      </c>
      <c r="X29" s="149">
        <v>3333</v>
      </c>
      <c r="Y29" s="149">
        <v>2874.5163073521298</v>
      </c>
      <c r="Z29" s="149">
        <v>2166.9430624654501</v>
      </c>
      <c r="AA29" s="149">
        <v>1194.0298507462701</v>
      </c>
      <c r="AB29" s="149">
        <v>0</v>
      </c>
      <c r="AC29" s="149">
        <v>0</v>
      </c>
      <c r="AD29" s="149">
        <v>0</v>
      </c>
      <c r="AE29" s="149">
        <v>0</v>
      </c>
      <c r="AF29" s="149">
        <v>9568.4892205638498</v>
      </c>
    </row>
    <row r="30" spans="1:32">
      <c r="A30" t="s">
        <v>4</v>
      </c>
      <c r="B30" t="s">
        <v>74</v>
      </c>
      <c r="C30" s="26">
        <f t="shared" si="15"/>
        <v>7635.7214468775128</v>
      </c>
      <c r="D30" s="26">
        <f t="shared" si="15"/>
        <v>9698.3482470394229</v>
      </c>
      <c r="E30" s="26">
        <f t="shared" si="15"/>
        <v>9784.2829783423022</v>
      </c>
      <c r="F30" s="26">
        <f t="shared" si="15"/>
        <v>9833.3885390868036</v>
      </c>
      <c r="G30" s="26">
        <f t="shared" si="15"/>
        <v>9919.3999978283482</v>
      </c>
      <c r="H30" s="26">
        <f t="shared" si="15"/>
        <v>10005.258001692564</v>
      </c>
      <c r="I30" s="26">
        <f t="shared" si="15"/>
        <v>10140.298293739952</v>
      </c>
      <c r="J30" s="26">
        <f t="shared" si="15"/>
        <v>10275.33858578734</v>
      </c>
      <c r="K30" s="26" t="e">
        <f t="shared" si="16"/>
        <v>#N/A</v>
      </c>
      <c r="L30" s="26" t="e">
        <f t="shared" si="16"/>
        <v>#N/A</v>
      </c>
      <c r="M30" s="26" t="e">
        <f t="shared" si="16"/>
        <v>#N/A</v>
      </c>
      <c r="N30" s="26" t="e">
        <f t="shared" si="16"/>
        <v>#N/A</v>
      </c>
      <c r="O30" s="26" t="e">
        <f t="shared" si="16"/>
        <v>#N/A</v>
      </c>
      <c r="P30" s="26" t="e">
        <f t="shared" si="16"/>
        <v>#N/A</v>
      </c>
      <c r="Q30" s="26" t="e">
        <f t="shared" si="16"/>
        <v>#N/A</v>
      </c>
      <c r="R30" s="26" t="e">
        <f t="shared" si="16"/>
        <v>#N/A</v>
      </c>
      <c r="T30" t="str">
        <f t="shared" si="5"/>
        <v>CH_OIL_LIN</v>
      </c>
      <c r="U30" t="str">
        <f t="shared" si="12"/>
        <v>CH0</v>
      </c>
      <c r="W30" t="s">
        <v>100</v>
      </c>
      <c r="X30" s="149">
        <v>64.416256129340994</v>
      </c>
      <c r="Y30" s="149">
        <v>64.469669277043536</v>
      </c>
      <c r="Z30" s="149">
        <v>30.058983300421602</v>
      </c>
      <c r="AA30" s="149">
        <v>17.165049445012855</v>
      </c>
      <c r="AB30" s="149">
        <v>17.138187082814092</v>
      </c>
      <c r="AC30" s="149">
        <v>0</v>
      </c>
      <c r="AD30" s="149">
        <v>0</v>
      </c>
      <c r="AE30" s="149">
        <v>0</v>
      </c>
      <c r="AF30" s="149">
        <v>193.24814523463309</v>
      </c>
    </row>
    <row r="31" spans="1:32">
      <c r="A31" t="s">
        <v>4</v>
      </c>
      <c r="B31" t="s">
        <v>76</v>
      </c>
      <c r="C31" s="26">
        <f t="shared" si="15"/>
        <v>1602.0508011957593</v>
      </c>
      <c r="D31" s="26">
        <f t="shared" si="15"/>
        <v>1602.5085385237162</v>
      </c>
      <c r="E31" s="26">
        <f t="shared" si="15"/>
        <v>1633.0112234749124</v>
      </c>
      <c r="F31" s="26">
        <f t="shared" si="15"/>
        <v>1678.7048966988525</v>
      </c>
      <c r="G31" s="26">
        <f t="shared" si="15"/>
        <v>1787.3808857495876</v>
      </c>
      <c r="H31" s="26">
        <f t="shared" si="15"/>
        <v>1879.3423816011366</v>
      </c>
      <c r="I31" s="26">
        <f t="shared" si="15"/>
        <v>1992.0264803271289</v>
      </c>
      <c r="J31" s="26">
        <f t="shared" si="15"/>
        <v>2054.8867025987906</v>
      </c>
      <c r="K31" s="26" t="e">
        <f t="shared" si="16"/>
        <v>#N/A</v>
      </c>
      <c r="L31" s="26" t="e">
        <f t="shared" si="16"/>
        <v>#N/A</v>
      </c>
      <c r="M31" s="26" t="e">
        <f t="shared" si="16"/>
        <v>#N/A</v>
      </c>
      <c r="N31" s="26" t="e">
        <f t="shared" si="16"/>
        <v>#N/A</v>
      </c>
      <c r="O31" s="26" t="e">
        <f t="shared" si="16"/>
        <v>#N/A</v>
      </c>
      <c r="P31" s="26" t="e">
        <f t="shared" si="16"/>
        <v>#N/A</v>
      </c>
      <c r="Q31" s="26" t="e">
        <f t="shared" si="16"/>
        <v>#N/A</v>
      </c>
      <c r="R31" s="26" t="e">
        <f t="shared" si="16"/>
        <v>#N/A</v>
      </c>
      <c r="T31" t="str">
        <f t="shared" si="5"/>
        <v>CH_SOL_PHO</v>
      </c>
      <c r="U31" t="str">
        <f t="shared" si="12"/>
        <v>CH0</v>
      </c>
      <c r="W31" t="s">
        <v>105</v>
      </c>
      <c r="X31" s="149">
        <v>1390.1</v>
      </c>
      <c r="Y31" s="149">
        <v>1665.2918506448</v>
      </c>
      <c r="Z31" s="149">
        <v>2192.7428977140098</v>
      </c>
      <c r="AA31" s="149">
        <v>3259.1113189626299</v>
      </c>
      <c r="AB31" s="149">
        <v>6160.0920778432701</v>
      </c>
      <c r="AC31" s="149">
        <v>8797.3473131893006</v>
      </c>
      <c r="AD31" s="149">
        <v>11652.462763629101</v>
      </c>
      <c r="AE31" s="149">
        <v>13819.598587457</v>
      </c>
      <c r="AF31" s="149">
        <v>48936.746809440112</v>
      </c>
    </row>
    <row r="32" spans="1:32">
      <c r="A32" t="s">
        <v>4</v>
      </c>
      <c r="B32" t="s">
        <v>77</v>
      </c>
      <c r="C32" s="26">
        <f t="shared" si="15"/>
        <v>8260.7181154014052</v>
      </c>
      <c r="D32" s="26">
        <f t="shared" si="15"/>
        <v>8260.7258359248281</v>
      </c>
      <c r="E32" s="26">
        <f t="shared" si="15"/>
        <v>8260.7258359248281</v>
      </c>
      <c r="F32" s="26">
        <f t="shared" si="15"/>
        <v>8260.7258359248281</v>
      </c>
      <c r="G32" s="26">
        <f t="shared" si="15"/>
        <v>8369.7814508482425</v>
      </c>
      <c r="H32" s="26">
        <f t="shared" si="15"/>
        <v>8661.0492002414139</v>
      </c>
      <c r="I32" s="26">
        <f t="shared" si="15"/>
        <v>8969.2151988606929</v>
      </c>
      <c r="J32" s="26">
        <f t="shared" si="15"/>
        <v>9282.7861438137097</v>
      </c>
      <c r="K32" s="26" t="e">
        <f t="shared" si="16"/>
        <v>#N/A</v>
      </c>
      <c r="L32" s="26" t="e">
        <f t="shared" si="16"/>
        <v>#N/A</v>
      </c>
      <c r="M32" s="26" t="e">
        <f t="shared" si="16"/>
        <v>#N/A</v>
      </c>
      <c r="N32" s="26" t="e">
        <f t="shared" si="16"/>
        <v>#N/A</v>
      </c>
      <c r="O32" s="26" t="e">
        <f t="shared" si="16"/>
        <v>#N/A</v>
      </c>
      <c r="P32" s="26" t="e">
        <f t="shared" si="16"/>
        <v>#N/A</v>
      </c>
      <c r="Q32" s="26" t="e">
        <f t="shared" si="16"/>
        <v>#N/A</v>
      </c>
      <c r="R32" s="26" t="e">
        <f t="shared" si="16"/>
        <v>#N/A</v>
      </c>
      <c r="T32" t="str">
        <f t="shared" si="5"/>
        <v>CH_WAS_ELC</v>
      </c>
      <c r="U32" t="str">
        <f t="shared" si="12"/>
        <v>CH0</v>
      </c>
      <c r="W32" t="s">
        <v>110</v>
      </c>
      <c r="X32" s="149">
        <v>439.268492108766</v>
      </c>
      <c r="Y32" s="149">
        <v>470.22880300472502</v>
      </c>
      <c r="Z32" s="149">
        <v>506.81826133631301</v>
      </c>
      <c r="AA32" s="149">
        <v>532.14942479664398</v>
      </c>
      <c r="AB32" s="149">
        <v>532.14942479664398</v>
      </c>
      <c r="AC32" s="149">
        <v>534.96399851445801</v>
      </c>
      <c r="AD32" s="149">
        <v>534.96399851445801</v>
      </c>
      <c r="AE32" s="149">
        <v>534.96399851445801</v>
      </c>
      <c r="AF32" s="149">
        <v>4085.5064015864664</v>
      </c>
    </row>
    <row r="33" spans="1:45">
      <c r="A33" t="s">
        <v>4</v>
      </c>
      <c r="B33" t="s">
        <v>78</v>
      </c>
      <c r="C33" s="26">
        <f t="shared" si="15"/>
        <v>13283.903822146958</v>
      </c>
      <c r="D33" s="26">
        <f t="shared" si="15"/>
        <v>13496.518624744273</v>
      </c>
      <c r="E33" s="26">
        <f t="shared" si="15"/>
        <v>13496.518624744273</v>
      </c>
      <c r="F33" s="26">
        <f t="shared" si="15"/>
        <v>13590.171839652838</v>
      </c>
      <c r="G33" s="26">
        <f t="shared" si="15"/>
        <v>13780.953138281482</v>
      </c>
      <c r="H33" s="26">
        <f t="shared" si="15"/>
        <v>13934.020037692526</v>
      </c>
      <c r="I33" s="26">
        <f t="shared" si="15"/>
        <v>14010.198308841032</v>
      </c>
      <c r="J33" s="26">
        <f t="shared" si="15"/>
        <v>14055.967847201959</v>
      </c>
      <c r="K33" s="26" t="e">
        <f t="shared" si="16"/>
        <v>#N/A</v>
      </c>
      <c r="L33" s="26" t="e">
        <f t="shared" si="16"/>
        <v>#N/A</v>
      </c>
      <c r="M33" s="26" t="e">
        <f t="shared" si="16"/>
        <v>#N/A</v>
      </c>
      <c r="N33" s="26" t="e">
        <f t="shared" si="16"/>
        <v>#N/A</v>
      </c>
      <c r="O33" s="26" t="e">
        <f t="shared" si="16"/>
        <v>#N/A</v>
      </c>
      <c r="P33" s="26" t="e">
        <f t="shared" si="16"/>
        <v>#N/A</v>
      </c>
      <c r="Q33" s="26" t="e">
        <f t="shared" si="16"/>
        <v>#N/A</v>
      </c>
      <c r="R33" s="26" t="e">
        <f t="shared" si="16"/>
        <v>#N/A</v>
      </c>
      <c r="T33" t="str">
        <f t="shared" si="5"/>
        <v>CH_WIN_OFF</v>
      </c>
      <c r="U33" t="str">
        <f t="shared" si="12"/>
        <v>CH0</v>
      </c>
      <c r="W33" t="s">
        <v>115</v>
      </c>
      <c r="X33" s="149">
        <v>0</v>
      </c>
      <c r="Y33" s="149">
        <v>0</v>
      </c>
      <c r="Z33" s="149">
        <v>0</v>
      </c>
      <c r="AA33" s="149">
        <v>0</v>
      </c>
      <c r="AB33" s="149">
        <v>0</v>
      </c>
      <c r="AC33" s="149">
        <v>0</v>
      </c>
      <c r="AD33" s="149">
        <v>0</v>
      </c>
      <c r="AE33" s="149">
        <v>0</v>
      </c>
      <c r="AF33" s="149">
        <v>0</v>
      </c>
      <c r="AI33" s="157" t="s">
        <v>435</v>
      </c>
      <c r="AK33" s="157" t="s">
        <v>130</v>
      </c>
    </row>
    <row r="34" spans="1:45">
      <c r="C34" s="26"/>
      <c r="D34" s="26"/>
      <c r="E34" s="26"/>
      <c r="F34" s="26"/>
      <c r="G34" s="26"/>
      <c r="H34" s="26"/>
      <c r="I34" s="26"/>
      <c r="J34" s="26"/>
      <c r="T34" t="str">
        <f t="shared" si="5"/>
        <v>CH_WIN_ONS</v>
      </c>
      <c r="U34" t="str">
        <f t="shared" si="12"/>
        <v>CH0</v>
      </c>
      <c r="W34" t="s">
        <v>120</v>
      </c>
      <c r="X34" s="149">
        <v>60.287999999999997</v>
      </c>
      <c r="Y34" s="149">
        <v>240.568875087078</v>
      </c>
      <c r="Z34" s="149">
        <v>432.48077437332302</v>
      </c>
      <c r="AA34" s="149">
        <v>705.80984305373204</v>
      </c>
      <c r="AB34" s="149">
        <v>880.27520604122697</v>
      </c>
      <c r="AC34" s="149">
        <v>1362.96271030663</v>
      </c>
      <c r="AD34" s="149">
        <v>1851.4657266716199</v>
      </c>
      <c r="AE34" s="149">
        <v>2334.15323093702</v>
      </c>
      <c r="AF34" s="149">
        <v>7868.00436647063</v>
      </c>
      <c r="AI34" s="157" t="s">
        <v>32</v>
      </c>
      <c r="AJ34" s="157" t="s">
        <v>128</v>
      </c>
      <c r="AK34">
        <v>2015</v>
      </c>
      <c r="AL34">
        <v>2020</v>
      </c>
      <c r="AM34">
        <v>2025</v>
      </c>
      <c r="AN34">
        <v>2030</v>
      </c>
      <c r="AO34">
        <v>2035</v>
      </c>
      <c r="AP34">
        <v>2040</v>
      </c>
      <c r="AQ34">
        <v>2045</v>
      </c>
      <c r="AR34">
        <v>2050</v>
      </c>
      <c r="AS34" t="s">
        <v>433</v>
      </c>
    </row>
    <row r="35" spans="1:45">
      <c r="A35" t="s">
        <v>4</v>
      </c>
      <c r="B35" t="s">
        <v>79</v>
      </c>
      <c r="C35" s="26">
        <f t="shared" ref="C35:J39" si="17">INDEX($X$5:$AE$79,MATCH($B35,$T$5:$T$79,0),MATCH(C$2,$X$4:$AE$4,0))</f>
        <v>5448.8053337240826</v>
      </c>
      <c r="D35" s="26">
        <f t="shared" si="17"/>
        <v>5698.2677119202872</v>
      </c>
      <c r="E35" s="26">
        <f t="shared" si="17"/>
        <v>5698.2677119202872</v>
      </c>
      <c r="F35" s="26">
        <f t="shared" si="17"/>
        <v>5700.1679848773992</v>
      </c>
      <c r="G35" s="26">
        <f t="shared" si="17"/>
        <v>5738.8907189513684</v>
      </c>
      <c r="H35" s="26">
        <f t="shared" si="17"/>
        <v>5752.1909970841516</v>
      </c>
      <c r="I35" s="26">
        <f t="shared" si="17"/>
        <v>5752.1909970841516</v>
      </c>
      <c r="J35" s="26">
        <f t="shared" si="17"/>
        <v>5819.0469548194942</v>
      </c>
      <c r="K35" s="26" t="e">
        <f t="shared" ref="K35:R39" si="18">INDEX($AK$35:$AR$54,MATCH($B35,$AG$35:$AG$54,0),MATCH(K$2,$AK$34:$AR$34,0))</f>
        <v>#N/A</v>
      </c>
      <c r="L35" s="26" t="e">
        <f t="shared" si="18"/>
        <v>#N/A</v>
      </c>
      <c r="M35" s="26" t="e">
        <f t="shared" si="18"/>
        <v>#N/A</v>
      </c>
      <c r="N35" s="26" t="e">
        <f t="shared" si="18"/>
        <v>#N/A</v>
      </c>
      <c r="O35" s="26" t="e">
        <f t="shared" si="18"/>
        <v>#N/A</v>
      </c>
      <c r="P35" s="26" t="e">
        <f t="shared" si="18"/>
        <v>#N/A</v>
      </c>
      <c r="Q35" s="26" t="e">
        <f t="shared" si="18"/>
        <v>#N/A</v>
      </c>
      <c r="R35" s="26" t="e">
        <f t="shared" si="18"/>
        <v>#N/A</v>
      </c>
      <c r="T35" t="str">
        <f t="shared" si="5"/>
        <v>DE_BAL_ELC</v>
      </c>
      <c r="U35" t="str">
        <f>V35</f>
        <v>DE0</v>
      </c>
      <c r="V35" t="s">
        <v>15</v>
      </c>
      <c r="W35" t="s">
        <v>55</v>
      </c>
      <c r="X35" s="149">
        <v>7467</v>
      </c>
      <c r="Y35" s="149">
        <v>7467</v>
      </c>
      <c r="Z35" s="149">
        <v>7467</v>
      </c>
      <c r="AA35" s="149">
        <v>7467</v>
      </c>
      <c r="AB35" s="149">
        <v>7467</v>
      </c>
      <c r="AC35" s="149">
        <v>7467</v>
      </c>
      <c r="AD35" s="149">
        <v>7467</v>
      </c>
      <c r="AE35" s="149">
        <v>7467</v>
      </c>
      <c r="AF35" s="149">
        <v>59736</v>
      </c>
      <c r="AG35" t="str">
        <f>LEFT(AH35,2)&amp;"_"&amp;AJ35</f>
        <v>AT_GAS_LIN</v>
      </c>
      <c r="AH35" t="str">
        <f>AI35</f>
        <v>AT0</v>
      </c>
      <c r="AI35" t="s">
        <v>12</v>
      </c>
      <c r="AJ35" t="s">
        <v>60</v>
      </c>
      <c r="AK35" s="149">
        <v>4970233.2014922695</v>
      </c>
      <c r="AL35" s="149">
        <v>4303040.9727544188</v>
      </c>
      <c r="AM35" s="149">
        <v>3897603.1430640556</v>
      </c>
      <c r="AN35" s="149">
        <v>3540963.9804006894</v>
      </c>
      <c r="AO35" s="149">
        <v>3800089.6484266873</v>
      </c>
      <c r="AP35" s="149">
        <v>3715593.8550201934</v>
      </c>
      <c r="AQ35" s="149">
        <v>3736715.4525241354</v>
      </c>
      <c r="AR35" s="149">
        <v>3477626.2037237044</v>
      </c>
      <c r="AS35" s="149"/>
    </row>
    <row r="36" spans="1:45">
      <c r="A36" t="s">
        <v>4</v>
      </c>
      <c r="B36" t="s">
        <v>81</v>
      </c>
      <c r="C36" s="26">
        <f t="shared" si="17"/>
        <v>4199.8690228328906</v>
      </c>
      <c r="D36" s="26">
        <f t="shared" si="17"/>
        <v>5334.3737928055307</v>
      </c>
      <c r="E36" s="26">
        <f t="shared" si="17"/>
        <v>5381.6403960329208</v>
      </c>
      <c r="F36" s="26">
        <f t="shared" si="17"/>
        <v>5408.6498835914281</v>
      </c>
      <c r="G36" s="26">
        <f t="shared" si="17"/>
        <v>5455.958689143129</v>
      </c>
      <c r="H36" s="26">
        <f t="shared" si="17"/>
        <v>5503.1830900462091</v>
      </c>
      <c r="I36" s="26">
        <f t="shared" si="17"/>
        <v>5577.4591808321111</v>
      </c>
      <c r="J36" s="26">
        <f t="shared" si="17"/>
        <v>5651.7352716180121</v>
      </c>
      <c r="K36" s="26" t="e">
        <f t="shared" si="18"/>
        <v>#N/A</v>
      </c>
      <c r="L36" s="26" t="e">
        <f t="shared" si="18"/>
        <v>#N/A</v>
      </c>
      <c r="M36" s="26" t="e">
        <f t="shared" si="18"/>
        <v>#N/A</v>
      </c>
      <c r="N36" s="26" t="e">
        <f t="shared" si="18"/>
        <v>#N/A</v>
      </c>
      <c r="O36" s="26" t="e">
        <f t="shared" si="18"/>
        <v>#N/A</v>
      </c>
      <c r="P36" s="26" t="e">
        <f t="shared" si="18"/>
        <v>#N/A</v>
      </c>
      <c r="Q36" s="26" t="e">
        <f t="shared" si="18"/>
        <v>#N/A</v>
      </c>
      <c r="R36" s="26" t="e">
        <f t="shared" si="18"/>
        <v>#N/A</v>
      </c>
      <c r="T36" t="str">
        <f t="shared" si="5"/>
        <v>DE_GAS_LIN</v>
      </c>
      <c r="U36" t="str">
        <f>U35</f>
        <v>DE0</v>
      </c>
      <c r="W36" t="s">
        <v>60</v>
      </c>
      <c r="X36" s="149">
        <v>25177.76772</v>
      </c>
      <c r="Y36" s="149">
        <v>21891.232619999999</v>
      </c>
      <c r="Z36" s="149">
        <v>21891.232619999999</v>
      </c>
      <c r="AA36" s="149">
        <v>21891.232619999999</v>
      </c>
      <c r="AB36" s="149">
        <v>21891.232619999999</v>
      </c>
      <c r="AC36" s="149">
        <v>21891.232619999999</v>
      </c>
      <c r="AD36" s="149">
        <v>21891.232619999999</v>
      </c>
      <c r="AE36" s="149">
        <v>20023.9026197983</v>
      </c>
      <c r="AF36" s="149">
        <v>176549.06605979826</v>
      </c>
      <c r="AG36" t="str">
        <f t="shared" ref="AG36:AG54" si="19">LEFT(AH36,2)&amp;"_"&amp;AJ36</f>
        <v>AT_GAS_NEW</v>
      </c>
      <c r="AH36" t="str">
        <f>AH35</f>
        <v>AT0</v>
      </c>
      <c r="AJ36" t="s">
        <v>441</v>
      </c>
      <c r="AK36" s="149">
        <v>0</v>
      </c>
      <c r="AL36" s="149">
        <v>0</v>
      </c>
      <c r="AM36" s="149">
        <v>0</v>
      </c>
      <c r="AN36" s="149">
        <v>0</v>
      </c>
      <c r="AO36" s="149">
        <v>0</v>
      </c>
      <c r="AP36" s="149">
        <v>0</v>
      </c>
      <c r="AQ36" s="149">
        <v>0</v>
      </c>
      <c r="AR36" s="149">
        <v>0</v>
      </c>
      <c r="AS36" s="149"/>
    </row>
    <row r="37" spans="1:45">
      <c r="A37" t="s">
        <v>4</v>
      </c>
      <c r="B37" t="s">
        <v>82</v>
      </c>
      <c r="C37" s="26">
        <f t="shared" si="17"/>
        <v>3987.949198804241</v>
      </c>
      <c r="D37" s="26">
        <f t="shared" si="17"/>
        <v>3989.0886340886436</v>
      </c>
      <c r="E37" s="26">
        <f t="shared" si="17"/>
        <v>4065.0182849597072</v>
      </c>
      <c r="F37" s="26">
        <f t="shared" si="17"/>
        <v>4178.7625229001178</v>
      </c>
      <c r="G37" s="26">
        <f t="shared" si="17"/>
        <v>4449.2872298199318</v>
      </c>
      <c r="H37" s="26">
        <f t="shared" si="17"/>
        <v>4678.204922959434</v>
      </c>
      <c r="I37" s="26">
        <f t="shared" si="17"/>
        <v>4958.7069275755712</v>
      </c>
      <c r="J37" s="26">
        <f t="shared" si="17"/>
        <v>5115.1834718011487</v>
      </c>
      <c r="K37" s="26" t="e">
        <f t="shared" si="18"/>
        <v>#N/A</v>
      </c>
      <c r="L37" s="26" t="e">
        <f t="shared" si="18"/>
        <v>#N/A</v>
      </c>
      <c r="M37" s="26" t="e">
        <f t="shared" si="18"/>
        <v>#N/A</v>
      </c>
      <c r="N37" s="26" t="e">
        <f t="shared" si="18"/>
        <v>#N/A</v>
      </c>
      <c r="O37" s="26" t="e">
        <f t="shared" si="18"/>
        <v>#N/A</v>
      </c>
      <c r="P37" s="26" t="e">
        <f t="shared" si="18"/>
        <v>#N/A</v>
      </c>
      <c r="Q37" s="26" t="e">
        <f t="shared" si="18"/>
        <v>#N/A</v>
      </c>
      <c r="R37" s="26" t="e">
        <f t="shared" si="18"/>
        <v>#N/A</v>
      </c>
      <c r="T37" t="str">
        <f t="shared" si="5"/>
        <v>DE_GAS_NEW</v>
      </c>
      <c r="U37" t="str">
        <f t="shared" ref="U37:U49" si="20">U36</f>
        <v>DE0</v>
      </c>
      <c r="W37" t="s">
        <v>441</v>
      </c>
      <c r="X37" s="149">
        <v>0</v>
      </c>
      <c r="Y37" s="149">
        <v>0</v>
      </c>
      <c r="Z37" s="149">
        <v>1186.8420513037017</v>
      </c>
      <c r="AA37" s="149">
        <v>5086.7513160732015</v>
      </c>
      <c r="AB37" s="149">
        <v>17195.078435375002</v>
      </c>
      <c r="AC37" s="149">
        <v>20128.794255375</v>
      </c>
      <c r="AD37" s="149">
        <v>21402.099824999099</v>
      </c>
      <c r="AE37" s="149">
        <v>21402.099824999099</v>
      </c>
      <c r="AF37" s="149">
        <v>86401.665708125103</v>
      </c>
      <c r="AG37" t="str">
        <f t="shared" si="19"/>
        <v>AT_HCO_LIN</v>
      </c>
      <c r="AH37" t="str">
        <f>AH36</f>
        <v>AT0</v>
      </c>
      <c r="AJ37" t="s">
        <v>70</v>
      </c>
      <c r="AK37" s="149">
        <v>382632.93741225201</v>
      </c>
      <c r="AL37" s="149">
        <v>352560.25318024366</v>
      </c>
      <c r="AM37" s="149">
        <v>341185.88087347284</v>
      </c>
      <c r="AN37" s="149">
        <v>341185.88087347284</v>
      </c>
      <c r="AO37" s="149">
        <v>35449.206812044293</v>
      </c>
      <c r="AP37" s="149">
        <v>31617.41472288391</v>
      </c>
      <c r="AQ37" s="149">
        <v>15957.047054141462</v>
      </c>
      <c r="AR37" s="149">
        <v>15957.047054141462</v>
      </c>
      <c r="AS37" s="149"/>
    </row>
    <row r="38" spans="1:45">
      <c r="A38" t="s">
        <v>4</v>
      </c>
      <c r="B38" t="s">
        <v>83</v>
      </c>
      <c r="C38" s="26">
        <f t="shared" si="17"/>
        <v>10381.042848444713</v>
      </c>
      <c r="D38" s="26">
        <f t="shared" si="17"/>
        <v>10381.052550638075</v>
      </c>
      <c r="E38" s="26">
        <f t="shared" si="17"/>
        <v>10381.052550638075</v>
      </c>
      <c r="F38" s="26">
        <f t="shared" si="17"/>
        <v>10381.052550638075</v>
      </c>
      <c r="G38" s="26">
        <f t="shared" si="17"/>
        <v>10518.100080352559</v>
      </c>
      <c r="H38" s="26">
        <f t="shared" si="17"/>
        <v>10884.129152471993</v>
      </c>
      <c r="I38" s="26">
        <f t="shared" si="17"/>
        <v>11271.393841983194</v>
      </c>
      <c r="J38" s="26">
        <f t="shared" si="17"/>
        <v>11665.450795641442</v>
      </c>
      <c r="K38" s="26" t="e">
        <f t="shared" si="18"/>
        <v>#N/A</v>
      </c>
      <c r="L38" s="26" t="e">
        <f t="shared" si="18"/>
        <v>#N/A</v>
      </c>
      <c r="M38" s="26" t="e">
        <f t="shared" si="18"/>
        <v>#N/A</v>
      </c>
      <c r="N38" s="26" t="e">
        <f t="shared" si="18"/>
        <v>#N/A</v>
      </c>
      <c r="O38" s="26" t="e">
        <f t="shared" si="18"/>
        <v>#N/A</v>
      </c>
      <c r="P38" s="26" t="e">
        <f t="shared" si="18"/>
        <v>#N/A</v>
      </c>
      <c r="Q38" s="26" t="e">
        <f t="shared" si="18"/>
        <v>#N/A</v>
      </c>
      <c r="R38" s="26" t="e">
        <f t="shared" si="18"/>
        <v>#N/A</v>
      </c>
      <c r="T38" t="str">
        <f t="shared" si="5"/>
        <v>DE_GEO_ELC</v>
      </c>
      <c r="U38" t="str">
        <f t="shared" si="20"/>
        <v>DE0</v>
      </c>
      <c r="W38" t="s">
        <v>65</v>
      </c>
      <c r="X38" s="149">
        <v>24</v>
      </c>
      <c r="Y38" s="149">
        <v>170.262264109867</v>
      </c>
      <c r="Z38" s="149">
        <v>170.262264109867</v>
      </c>
      <c r="AA38" s="149">
        <v>170.262264109867</v>
      </c>
      <c r="AB38" s="149">
        <v>170.262264109867</v>
      </c>
      <c r="AC38" s="149">
        <v>170.262264109867</v>
      </c>
      <c r="AD38" s="149">
        <v>170.262264109867</v>
      </c>
      <c r="AE38" s="149">
        <v>170.262264109867</v>
      </c>
      <c r="AF38" s="149">
        <v>1215.8358487690689</v>
      </c>
      <c r="AG38" t="str">
        <f t="shared" si="19"/>
        <v>AT_OIL_LIN</v>
      </c>
      <c r="AH38" t="str">
        <f>AH37</f>
        <v>AT0</v>
      </c>
      <c r="AJ38" t="s">
        <v>100</v>
      </c>
      <c r="AK38" s="149">
        <v>2931692.3497069618</v>
      </c>
      <c r="AL38" s="149">
        <v>2461794.8475055401</v>
      </c>
      <c r="AM38" s="149">
        <v>1458588.0798601932</v>
      </c>
      <c r="AN38" s="149">
        <v>1277564.3464976684</v>
      </c>
      <c r="AO38" s="149">
        <v>1162252.6829079229</v>
      </c>
      <c r="AP38" s="149">
        <v>25486.473058713847</v>
      </c>
      <c r="AQ38" s="149">
        <v>9727.673001598534</v>
      </c>
      <c r="AR38" s="149">
        <v>0</v>
      </c>
      <c r="AS38" s="149"/>
    </row>
    <row r="39" spans="1:45">
      <c r="A39" t="s">
        <v>4</v>
      </c>
      <c r="B39" t="s">
        <v>84</v>
      </c>
      <c r="C39" s="26">
        <f t="shared" si="17"/>
        <v>5228.0961778530418</v>
      </c>
      <c r="D39" s="26">
        <f t="shared" si="17"/>
        <v>5311.7741878489278</v>
      </c>
      <c r="E39" s="26">
        <f t="shared" si="17"/>
        <v>5311.7741878489278</v>
      </c>
      <c r="F39" s="26">
        <f t="shared" si="17"/>
        <v>5348.6329321956609</v>
      </c>
      <c r="G39" s="26">
        <f t="shared" si="17"/>
        <v>5423.7180119674185</v>
      </c>
      <c r="H39" s="26">
        <f t="shared" si="17"/>
        <v>5483.9599771668736</v>
      </c>
      <c r="I39" s="26">
        <f t="shared" si="17"/>
        <v>5513.9411734747673</v>
      </c>
      <c r="J39" s="26">
        <f t="shared" si="17"/>
        <v>5531.9545189318396</v>
      </c>
      <c r="K39" s="26" t="e">
        <f t="shared" si="18"/>
        <v>#N/A</v>
      </c>
      <c r="L39" s="26" t="e">
        <f t="shared" si="18"/>
        <v>#N/A</v>
      </c>
      <c r="M39" s="26" t="e">
        <f t="shared" si="18"/>
        <v>#N/A</v>
      </c>
      <c r="N39" s="26" t="e">
        <f t="shared" si="18"/>
        <v>#N/A</v>
      </c>
      <c r="O39" s="26" t="e">
        <f t="shared" si="18"/>
        <v>#N/A</v>
      </c>
      <c r="P39" s="26" t="e">
        <f t="shared" si="18"/>
        <v>#N/A</v>
      </c>
      <c r="Q39" s="26" t="e">
        <f t="shared" si="18"/>
        <v>#N/A</v>
      </c>
      <c r="R39" s="26" t="e">
        <f t="shared" si="18"/>
        <v>#N/A</v>
      </c>
      <c r="T39" t="str">
        <f t="shared" si="5"/>
        <v>DE_HCO_LIN</v>
      </c>
      <c r="U39" t="str">
        <f t="shared" si="20"/>
        <v>DE0</v>
      </c>
      <c r="W39" t="s">
        <v>70</v>
      </c>
      <c r="X39" s="149">
        <v>24612.6</v>
      </c>
      <c r="Y39" s="149">
        <v>23397.811875606982</v>
      </c>
      <c r="Z39" s="149">
        <v>21563.676952016125</v>
      </c>
      <c r="AA39" s="149">
        <v>18742.41659256093</v>
      </c>
      <c r="AB39" s="149">
        <v>12593.859233645098</v>
      </c>
      <c r="AC39" s="149">
        <v>11362.487577206884</v>
      </c>
      <c r="AD39" s="149">
        <v>10210.232972481657</v>
      </c>
      <c r="AE39" s="149">
        <v>10210.232972481657</v>
      </c>
      <c r="AF39" s="149">
        <v>132693.31817599933</v>
      </c>
      <c r="AG39" t="str">
        <f t="shared" si="19"/>
        <v>CH_GAS_LIN</v>
      </c>
      <c r="AH39" t="str">
        <f>AI39</f>
        <v>CH0</v>
      </c>
      <c r="AI39" t="s">
        <v>14</v>
      </c>
      <c r="AJ39" t="s">
        <v>60</v>
      </c>
      <c r="AK39" s="149">
        <v>570972.81107925263</v>
      </c>
      <c r="AL39" s="149">
        <v>571446.25453785842</v>
      </c>
      <c r="AM39" s="149">
        <v>266436.81617827696</v>
      </c>
      <c r="AN39" s="149">
        <v>152147.56527070494</v>
      </c>
      <c r="AO39" s="149">
        <v>151909.46266464752</v>
      </c>
      <c r="AP39" s="149">
        <v>0</v>
      </c>
      <c r="AQ39" s="149">
        <v>0</v>
      </c>
      <c r="AR39" s="149">
        <v>0</v>
      </c>
      <c r="AS39" s="149"/>
    </row>
    <row r="40" spans="1:45">
      <c r="C40" s="26"/>
      <c r="D40" s="26"/>
      <c r="E40" s="26"/>
      <c r="F40" s="26"/>
      <c r="G40" s="26"/>
      <c r="H40" s="26"/>
      <c r="I40" s="26"/>
      <c r="J40" s="26"/>
      <c r="T40" t="str">
        <f t="shared" si="5"/>
        <v>DE_HYD_RES</v>
      </c>
      <c r="U40" t="str">
        <f t="shared" si="20"/>
        <v>DE0</v>
      </c>
      <c r="W40" t="s">
        <v>75</v>
      </c>
      <c r="X40" s="149">
        <v>1602.0508011957593</v>
      </c>
      <c r="Y40" s="149">
        <v>1602.5085385237162</v>
      </c>
      <c r="Z40" s="149">
        <v>1633.0112234749124</v>
      </c>
      <c r="AA40" s="149">
        <v>1678.7048966988525</v>
      </c>
      <c r="AB40" s="149">
        <v>1787.3808857495876</v>
      </c>
      <c r="AC40" s="149">
        <v>1879.3423816011366</v>
      </c>
      <c r="AD40" s="149">
        <v>1992.0264803271289</v>
      </c>
      <c r="AE40" s="149">
        <v>2054.8867025987906</v>
      </c>
      <c r="AF40" s="149">
        <v>14229.911910169883</v>
      </c>
      <c r="AG40" t="str">
        <f t="shared" si="19"/>
        <v>CH_GAS_NEW</v>
      </c>
      <c r="AH40" t="str">
        <f>AH39</f>
        <v>CH0</v>
      </c>
      <c r="AJ40" t="s">
        <v>441</v>
      </c>
      <c r="AK40" s="149">
        <v>930600</v>
      </c>
      <c r="AL40" s="149">
        <v>1633500</v>
      </c>
      <c r="AM40" s="149">
        <v>2445300</v>
      </c>
      <c r="AN40" s="149">
        <v>3009600</v>
      </c>
      <c r="AO40" s="149">
        <v>3227400</v>
      </c>
      <c r="AP40" s="149">
        <v>3405600</v>
      </c>
      <c r="AQ40" s="149">
        <v>3415500</v>
      </c>
      <c r="AR40" s="149">
        <v>3415500</v>
      </c>
      <c r="AS40" s="149"/>
    </row>
    <row r="41" spans="1:45">
      <c r="A41" t="s">
        <v>4</v>
      </c>
      <c r="B41" t="s">
        <v>86</v>
      </c>
      <c r="C41" s="26">
        <f t="shared" ref="C41:J45" si="21">INDEX($X$5:$AE$79,MATCH($B41,$T$5:$T$79,0),MATCH(C$2,$X$4:$AE$4,0))</f>
        <v>3853.9889409544758</v>
      </c>
      <c r="D41" s="26">
        <f t="shared" si="21"/>
        <v>4030.4359211396304</v>
      </c>
      <c r="E41" s="26">
        <f t="shared" si="21"/>
        <v>4030.4359211396304</v>
      </c>
      <c r="F41" s="26">
        <f t="shared" si="21"/>
        <v>4031.7800012659977</v>
      </c>
      <c r="G41" s="26">
        <f t="shared" si="21"/>
        <v>4059.1689387934462</v>
      </c>
      <c r="H41" s="26">
        <f t="shared" si="21"/>
        <v>4068.5763449487199</v>
      </c>
      <c r="I41" s="26">
        <f t="shared" si="21"/>
        <v>4068.5763449487199</v>
      </c>
      <c r="J41" s="26">
        <f t="shared" si="21"/>
        <v>4115.8641641986005</v>
      </c>
      <c r="K41" s="26" t="e">
        <f t="shared" ref="K41:R45" si="22">INDEX($AK$35:$AR$54,MATCH($B41,$AG$35:$AG$54,0),MATCH(K$2,$AK$34:$AR$34,0))</f>
        <v>#N/A</v>
      </c>
      <c r="L41" s="26" t="e">
        <f t="shared" si="22"/>
        <v>#N/A</v>
      </c>
      <c r="M41" s="26" t="e">
        <f t="shared" si="22"/>
        <v>#N/A</v>
      </c>
      <c r="N41" s="26" t="e">
        <f t="shared" si="22"/>
        <v>#N/A</v>
      </c>
      <c r="O41" s="26" t="e">
        <f t="shared" si="22"/>
        <v>#N/A</v>
      </c>
      <c r="P41" s="26" t="e">
        <f t="shared" si="22"/>
        <v>#N/A</v>
      </c>
      <c r="Q41" s="26" t="e">
        <f t="shared" si="22"/>
        <v>#N/A</v>
      </c>
      <c r="R41" s="26" t="e">
        <f t="shared" si="22"/>
        <v>#N/A</v>
      </c>
      <c r="T41" t="str">
        <f t="shared" si="5"/>
        <v>DE_HYD_ROR</v>
      </c>
      <c r="U41" t="str">
        <f t="shared" si="20"/>
        <v>DE0</v>
      </c>
      <c r="W41" t="s">
        <v>80</v>
      </c>
      <c r="X41" s="149">
        <v>3987.949198804241</v>
      </c>
      <c r="Y41" s="149">
        <v>3989.0886340886436</v>
      </c>
      <c r="Z41" s="149">
        <v>4065.0182849597072</v>
      </c>
      <c r="AA41" s="149">
        <v>4178.7625229001178</v>
      </c>
      <c r="AB41" s="149">
        <v>4449.2872298199318</v>
      </c>
      <c r="AC41" s="149">
        <v>4678.204922959434</v>
      </c>
      <c r="AD41" s="149">
        <v>4958.7069275755712</v>
      </c>
      <c r="AE41" s="149">
        <v>5115.1834718011487</v>
      </c>
      <c r="AF41" s="149">
        <v>35422.201192908797</v>
      </c>
      <c r="AG41" t="str">
        <f t="shared" si="19"/>
        <v>CH_OIL_LIN</v>
      </c>
      <c r="AH41" t="str">
        <f>AH40</f>
        <v>CH0</v>
      </c>
      <c r="AJ41" t="s">
        <v>100</v>
      </c>
      <c r="AK41" s="149">
        <v>17918.02580493749</v>
      </c>
      <c r="AL41" s="149">
        <v>17932.88320610243</v>
      </c>
      <c r="AM41" s="149">
        <v>8361.2067948452732</v>
      </c>
      <c r="AN41" s="149">
        <v>4774.6301536247756</v>
      </c>
      <c r="AO41" s="149">
        <v>4767.1581189555682</v>
      </c>
      <c r="AP41" s="149">
        <v>0</v>
      </c>
      <c r="AQ41" s="149">
        <v>0</v>
      </c>
      <c r="AR41" s="149">
        <v>0</v>
      </c>
      <c r="AS41" s="149"/>
    </row>
    <row r="42" spans="1:45">
      <c r="A42" t="s">
        <v>4</v>
      </c>
      <c r="B42" t="s">
        <v>87</v>
      </c>
      <c r="C42" s="26">
        <f t="shared" si="21"/>
        <v>1917.516406842997</v>
      </c>
      <c r="D42" s="26">
        <f t="shared" si="21"/>
        <v>2435.4924432949165</v>
      </c>
      <c r="E42" s="26">
        <f t="shared" si="21"/>
        <v>2457.0727560836058</v>
      </c>
      <c r="F42" s="26">
        <f t="shared" si="21"/>
        <v>2469.4043633914275</v>
      </c>
      <c r="G42" s="26">
        <f t="shared" si="21"/>
        <v>2491.0039443165351</v>
      </c>
      <c r="H42" s="26">
        <f t="shared" si="21"/>
        <v>2512.5649889688052</v>
      </c>
      <c r="I42" s="26">
        <f t="shared" si="21"/>
        <v>2546.4769090653176</v>
      </c>
      <c r="J42" s="26">
        <f t="shared" si="21"/>
        <v>2580.38882916183</v>
      </c>
      <c r="K42" s="26" t="e">
        <f t="shared" si="22"/>
        <v>#N/A</v>
      </c>
      <c r="L42" s="26" t="e">
        <f t="shared" si="22"/>
        <v>#N/A</v>
      </c>
      <c r="M42" s="26" t="e">
        <f t="shared" si="22"/>
        <v>#N/A</v>
      </c>
      <c r="N42" s="26" t="e">
        <f t="shared" si="22"/>
        <v>#N/A</v>
      </c>
      <c r="O42" s="26" t="e">
        <f t="shared" si="22"/>
        <v>#N/A</v>
      </c>
      <c r="P42" s="26" t="e">
        <f t="shared" si="22"/>
        <v>#N/A</v>
      </c>
      <c r="Q42" s="26" t="e">
        <f t="shared" si="22"/>
        <v>#N/A</v>
      </c>
      <c r="R42" s="26" t="e">
        <f t="shared" si="22"/>
        <v>#N/A</v>
      </c>
      <c r="T42" t="str">
        <f t="shared" si="5"/>
        <v>DE_HYD_STO</v>
      </c>
      <c r="U42" t="str">
        <f t="shared" si="20"/>
        <v>DE0</v>
      </c>
      <c r="W42" t="s">
        <v>85</v>
      </c>
      <c r="X42" s="149">
        <v>8149.2</v>
      </c>
      <c r="Y42" s="149">
        <v>8149.2</v>
      </c>
      <c r="Z42" s="149">
        <v>8149.2</v>
      </c>
      <c r="AA42" s="149">
        <v>8149.2</v>
      </c>
      <c r="AB42" s="149">
        <v>8149.2</v>
      </c>
      <c r="AC42" s="149">
        <v>8149.2</v>
      </c>
      <c r="AD42" s="149">
        <v>8149.2</v>
      </c>
      <c r="AE42" s="149">
        <v>8149.2</v>
      </c>
      <c r="AF42" s="149">
        <v>65193.599999999991</v>
      </c>
      <c r="AG42" t="str">
        <f t="shared" si="19"/>
        <v>DE_GAS_LIN</v>
      </c>
      <c r="AH42" t="str">
        <f>AI42</f>
        <v>DE0</v>
      </c>
      <c r="AI42" t="s">
        <v>15</v>
      </c>
      <c r="AJ42" t="s">
        <v>60</v>
      </c>
      <c r="AK42" s="149">
        <v>54623937.413507238</v>
      </c>
      <c r="AL42" s="149">
        <v>47493698.958447933</v>
      </c>
      <c r="AM42" s="149">
        <v>47493698.958447933</v>
      </c>
      <c r="AN42" s="149">
        <v>47493698.958447933</v>
      </c>
      <c r="AO42" s="149">
        <v>47493698.958447933</v>
      </c>
      <c r="AP42" s="149">
        <v>47493698.958447933</v>
      </c>
      <c r="AQ42" s="149">
        <v>47493698.958447933</v>
      </c>
      <c r="AR42" s="149">
        <v>43442469.389737695</v>
      </c>
      <c r="AS42" s="149"/>
    </row>
    <row r="43" spans="1:45">
      <c r="A43" t="s">
        <v>4</v>
      </c>
      <c r="B43" t="s">
        <v>88</v>
      </c>
      <c r="C43" s="26">
        <f t="shared" si="21"/>
        <v>8149.2</v>
      </c>
      <c r="D43" s="26">
        <f t="shared" si="21"/>
        <v>8149.2</v>
      </c>
      <c r="E43" s="26">
        <f t="shared" si="21"/>
        <v>8149.2</v>
      </c>
      <c r="F43" s="26">
        <f t="shared" si="21"/>
        <v>8149.2</v>
      </c>
      <c r="G43" s="26">
        <f t="shared" si="21"/>
        <v>8149.2</v>
      </c>
      <c r="H43" s="26">
        <f t="shared" si="21"/>
        <v>8149.2</v>
      </c>
      <c r="I43" s="26">
        <f t="shared" si="21"/>
        <v>8149.2</v>
      </c>
      <c r="J43" s="26">
        <f t="shared" si="21"/>
        <v>8149.2</v>
      </c>
      <c r="K43" s="26" t="e">
        <f t="shared" si="22"/>
        <v>#N/A</v>
      </c>
      <c r="L43" s="26" t="e">
        <f t="shared" si="22"/>
        <v>#N/A</v>
      </c>
      <c r="M43" s="26" t="e">
        <f t="shared" si="22"/>
        <v>#N/A</v>
      </c>
      <c r="N43" s="26" t="e">
        <f t="shared" si="22"/>
        <v>#N/A</v>
      </c>
      <c r="O43" s="26" t="e">
        <f t="shared" si="22"/>
        <v>#N/A</v>
      </c>
      <c r="P43" s="26" t="e">
        <f t="shared" si="22"/>
        <v>#N/A</v>
      </c>
      <c r="Q43" s="26" t="e">
        <f t="shared" si="22"/>
        <v>#N/A</v>
      </c>
      <c r="R43" s="26" t="e">
        <f t="shared" si="22"/>
        <v>#N/A</v>
      </c>
      <c r="T43" t="str">
        <f t="shared" si="5"/>
        <v>DE_LIG_LIN</v>
      </c>
      <c r="U43" t="str">
        <f t="shared" si="20"/>
        <v>DE0</v>
      </c>
      <c r="W43" t="s">
        <v>91</v>
      </c>
      <c r="X43" s="149">
        <v>20679</v>
      </c>
      <c r="Y43" s="149">
        <v>19020.280999178278</v>
      </c>
      <c r="Z43" s="149">
        <v>16812.187431267441</v>
      </c>
      <c r="AA43" s="149">
        <v>13987.423020108299</v>
      </c>
      <c r="AB43" s="149">
        <v>11775.924582341577</v>
      </c>
      <c r="AC43" s="149">
        <v>10501.691860395493</v>
      </c>
      <c r="AD43" s="149">
        <v>9309.330063145042</v>
      </c>
      <c r="AE43" s="149">
        <v>9309.330063145042</v>
      </c>
      <c r="AF43" s="149">
        <v>111395.16801958116</v>
      </c>
      <c r="AG43" t="str">
        <f t="shared" si="19"/>
        <v>DE_GAS_NEW</v>
      </c>
      <c r="AH43" t="str">
        <f>AH42</f>
        <v>DE0</v>
      </c>
      <c r="AJ43" t="s">
        <v>441</v>
      </c>
      <c r="AK43" s="149">
        <v>0</v>
      </c>
      <c r="AL43" s="149">
        <v>0</v>
      </c>
      <c r="AM43" s="149">
        <v>2574890.1432049572</v>
      </c>
      <c r="AN43" s="149">
        <v>11035862.615673466</v>
      </c>
      <c r="AO43" s="149">
        <v>37305248.770254046</v>
      </c>
      <c r="AP43" s="149">
        <v>43670035.002410769</v>
      </c>
      <c r="AQ43" s="149">
        <v>46432510.394070193</v>
      </c>
      <c r="AR43" s="149">
        <v>46432510.394070193</v>
      </c>
      <c r="AS43" s="149"/>
    </row>
    <row r="44" spans="1:45">
      <c r="A44" t="s">
        <v>4</v>
      </c>
      <c r="B44" t="s">
        <v>89</v>
      </c>
      <c r="C44" s="26">
        <f t="shared" si="21"/>
        <v>4993.239036153881</v>
      </c>
      <c r="D44" s="26">
        <f t="shared" si="21"/>
        <v>4993.2437028690974</v>
      </c>
      <c r="E44" s="26">
        <f t="shared" si="21"/>
        <v>4993.2437028690974</v>
      </c>
      <c r="F44" s="26">
        <f t="shared" si="21"/>
        <v>4993.2437028690974</v>
      </c>
      <c r="G44" s="26">
        <f t="shared" si="21"/>
        <v>5059.1630026127978</v>
      </c>
      <c r="H44" s="26">
        <f t="shared" si="21"/>
        <v>5235.2214851714898</v>
      </c>
      <c r="I44" s="26">
        <f t="shared" si="21"/>
        <v>5421.494212605714</v>
      </c>
      <c r="J44" s="26">
        <f t="shared" si="21"/>
        <v>5611.0339912387471</v>
      </c>
      <c r="K44" s="26" t="e">
        <f t="shared" si="22"/>
        <v>#N/A</v>
      </c>
      <c r="L44" s="26" t="e">
        <f t="shared" si="22"/>
        <v>#N/A</v>
      </c>
      <c r="M44" s="26" t="e">
        <f t="shared" si="22"/>
        <v>#N/A</v>
      </c>
      <c r="N44" s="26" t="e">
        <f t="shared" si="22"/>
        <v>#N/A</v>
      </c>
      <c r="O44" s="26" t="e">
        <f t="shared" si="22"/>
        <v>#N/A</v>
      </c>
      <c r="P44" s="26" t="e">
        <f t="shared" si="22"/>
        <v>#N/A</v>
      </c>
      <c r="Q44" s="26" t="e">
        <f t="shared" si="22"/>
        <v>#N/A</v>
      </c>
      <c r="R44" s="26" t="e">
        <f t="shared" si="22"/>
        <v>#N/A</v>
      </c>
      <c r="T44" t="str">
        <f t="shared" si="5"/>
        <v>DE_NUC_ELC</v>
      </c>
      <c r="U44" t="str">
        <f t="shared" si="20"/>
        <v>DE0</v>
      </c>
      <c r="W44" t="s">
        <v>95</v>
      </c>
      <c r="X44" s="149">
        <v>10800</v>
      </c>
      <c r="Y44" s="149">
        <v>6907.2</v>
      </c>
      <c r="Z44" s="149">
        <v>0</v>
      </c>
      <c r="AA44" s="149">
        <v>0</v>
      </c>
      <c r="AB44" s="149">
        <v>0</v>
      </c>
      <c r="AC44" s="149">
        <v>0</v>
      </c>
      <c r="AD44" s="149">
        <v>0</v>
      </c>
      <c r="AE44" s="149">
        <v>0</v>
      </c>
      <c r="AF44" s="149">
        <v>17707.2</v>
      </c>
      <c r="AG44" t="str">
        <f t="shared" si="19"/>
        <v>DE_HCO_LIN</v>
      </c>
      <c r="AH44" t="str">
        <f>AH43</f>
        <v>DE0</v>
      </c>
      <c r="AJ44" t="s">
        <v>70</v>
      </c>
      <c r="AK44" s="149">
        <v>8143575.3637002986</v>
      </c>
      <c r="AL44" s="149">
        <v>7741638.1997305164</v>
      </c>
      <c r="AM44" s="149">
        <v>7134777.6495465925</v>
      </c>
      <c r="AN44" s="149">
        <v>6201306.7298614085</v>
      </c>
      <c r="AO44" s="149">
        <v>4166932.4569131974</v>
      </c>
      <c r="AP44" s="149">
        <v>3759508.2967298329</v>
      </c>
      <c r="AQ44" s="149">
        <v>3378261.6095959833</v>
      </c>
      <c r="AR44" s="149">
        <v>3378261.6095959833</v>
      </c>
      <c r="AS44" s="149"/>
    </row>
    <row r="45" spans="1:45">
      <c r="A45" t="s">
        <v>4</v>
      </c>
      <c r="B45" t="s">
        <v>90</v>
      </c>
      <c r="C45" s="26">
        <f t="shared" si="21"/>
        <v>3795.9</v>
      </c>
      <c r="D45" s="26">
        <f t="shared" si="21"/>
        <v>3795.9</v>
      </c>
      <c r="E45" s="26">
        <f t="shared" si="21"/>
        <v>3795.9</v>
      </c>
      <c r="F45" s="26">
        <f t="shared" si="21"/>
        <v>3795.9</v>
      </c>
      <c r="G45" s="26">
        <f t="shared" si="21"/>
        <v>3795.9</v>
      </c>
      <c r="H45" s="26">
        <f t="shared" si="21"/>
        <v>3795.9</v>
      </c>
      <c r="I45" s="26">
        <f t="shared" si="21"/>
        <v>3795.9</v>
      </c>
      <c r="J45" s="26">
        <f t="shared" si="21"/>
        <v>3795.9</v>
      </c>
      <c r="K45" s="26" t="e">
        <f t="shared" si="22"/>
        <v>#N/A</v>
      </c>
      <c r="L45" s="26" t="e">
        <f t="shared" si="22"/>
        <v>#N/A</v>
      </c>
      <c r="M45" s="26" t="e">
        <f t="shared" si="22"/>
        <v>#N/A</v>
      </c>
      <c r="N45" s="26" t="e">
        <f t="shared" si="22"/>
        <v>#N/A</v>
      </c>
      <c r="O45" s="26" t="e">
        <f t="shared" si="22"/>
        <v>#N/A</v>
      </c>
      <c r="P45" s="26" t="e">
        <f t="shared" si="22"/>
        <v>#N/A</v>
      </c>
      <c r="Q45" s="26" t="e">
        <f t="shared" si="22"/>
        <v>#N/A</v>
      </c>
      <c r="R45" s="26" t="e">
        <f t="shared" si="22"/>
        <v>#N/A</v>
      </c>
      <c r="T45" t="str">
        <f t="shared" si="5"/>
        <v>DE_OIL_LIN</v>
      </c>
      <c r="U45" t="str">
        <f t="shared" si="20"/>
        <v>DE0</v>
      </c>
      <c r="W45" t="s">
        <v>100</v>
      </c>
      <c r="X45" s="149">
        <v>5028.3810199999998</v>
      </c>
      <c r="Y45" s="149">
        <v>1673.8347000000001</v>
      </c>
      <c r="Z45" s="149">
        <v>1458.1605423920601</v>
      </c>
      <c r="AA45" s="149">
        <v>1248.1130423920599</v>
      </c>
      <c r="AB45" s="149">
        <v>1060.97281239206</v>
      </c>
      <c r="AC45" s="149">
        <v>862.853412392064</v>
      </c>
      <c r="AD45" s="149">
        <v>833.37662239206395</v>
      </c>
      <c r="AE45" s="149">
        <v>674.14537239206402</v>
      </c>
      <c r="AF45" s="149">
        <v>12839.837524352371</v>
      </c>
      <c r="AG45" t="str">
        <f t="shared" si="19"/>
        <v>DE_LIG_LIN</v>
      </c>
      <c r="AH45" t="str">
        <f>AH44</f>
        <v>DE0</v>
      </c>
      <c r="AJ45" t="s">
        <v>91</v>
      </c>
      <c r="AK45" s="149">
        <v>4337783.8620715216</v>
      </c>
      <c r="AL45" s="149">
        <v>3989838.3853330011</v>
      </c>
      <c r="AM45" s="149">
        <v>3526651.9331434579</v>
      </c>
      <c r="AN45" s="149">
        <v>2934107.9282650747</v>
      </c>
      <c r="AO45" s="149">
        <v>2470207.2447532574</v>
      </c>
      <c r="AP45" s="149">
        <v>2202914.5256768423</v>
      </c>
      <c r="AQ45" s="149">
        <v>1952795.672644123</v>
      </c>
      <c r="AR45" s="149">
        <v>1952795.672644123</v>
      </c>
      <c r="AS45" s="149"/>
    </row>
    <row r="46" spans="1:45">
      <c r="C46" s="26"/>
      <c r="D46" s="26"/>
      <c r="E46" s="26"/>
      <c r="F46" s="26"/>
      <c r="G46" s="26"/>
      <c r="H46" s="26"/>
      <c r="I46" s="26"/>
      <c r="J46" s="26"/>
      <c r="T46" t="str">
        <f t="shared" si="5"/>
        <v>DE_SOL_PHO</v>
      </c>
      <c r="U46" t="str">
        <f t="shared" si="20"/>
        <v>DE0</v>
      </c>
      <c r="W46" t="s">
        <v>105</v>
      </c>
      <c r="X46" s="149">
        <v>39756.639999999999</v>
      </c>
      <c r="Y46" s="149">
        <v>52802.867668028601</v>
      </c>
      <c r="Z46" s="149">
        <v>55900.764651489801</v>
      </c>
      <c r="AA46" s="149">
        <v>63959.325331165601</v>
      </c>
      <c r="AB46" s="149">
        <v>63959.325331165601</v>
      </c>
      <c r="AC46" s="149">
        <v>65956.280250018506</v>
      </c>
      <c r="AD46" s="149">
        <v>70530.792539669201</v>
      </c>
      <c r="AE46" s="149">
        <v>86140.792539669201</v>
      </c>
      <c r="AF46" s="149">
        <v>499006.78831120656</v>
      </c>
      <c r="AG46" t="str">
        <f t="shared" si="19"/>
        <v>DE_OIL_LIN</v>
      </c>
      <c r="AH46" t="str">
        <f>AH45</f>
        <v>DE0</v>
      </c>
      <c r="AJ46" t="s">
        <v>100</v>
      </c>
      <c r="AK46" s="149">
        <v>2633553.1995638474</v>
      </c>
      <c r="AL46" s="149">
        <v>876650.49887687166</v>
      </c>
      <c r="AM46" s="149">
        <v>763693.79062972544</v>
      </c>
      <c r="AN46" s="149">
        <v>653683.97564450628</v>
      </c>
      <c r="AO46" s="149">
        <v>555671.56379199028</v>
      </c>
      <c r="AP46" s="149">
        <v>451908.94562713633</v>
      </c>
      <c r="AQ46" s="149">
        <v>436470.83656010072</v>
      </c>
      <c r="AR46" s="149">
        <v>353075.41241858434</v>
      </c>
      <c r="AS46" s="149"/>
    </row>
    <row r="47" spans="1:45">
      <c r="A47" t="s">
        <v>4</v>
      </c>
      <c r="B47" t="s">
        <v>92</v>
      </c>
      <c r="C47" s="26">
        <f t="shared" ref="C47:J47" si="23">INDEX($X$5:$AE$79,MATCH($B47,$T$5:$T$79,0),MATCH(C$2,$X$4:$AE$4,0))</f>
        <v>20679</v>
      </c>
      <c r="D47" s="26">
        <f t="shared" si="23"/>
        <v>19020.280999178278</v>
      </c>
      <c r="E47" s="26">
        <f t="shared" si="23"/>
        <v>16812.187431267441</v>
      </c>
      <c r="F47" s="26">
        <f t="shared" si="23"/>
        <v>13987.423020108299</v>
      </c>
      <c r="G47" s="26">
        <f t="shared" si="23"/>
        <v>11775.924582341577</v>
      </c>
      <c r="H47" s="26">
        <f t="shared" si="23"/>
        <v>10501.691860395493</v>
      </c>
      <c r="I47" s="26">
        <f t="shared" si="23"/>
        <v>9309.330063145042</v>
      </c>
      <c r="J47" s="26">
        <f t="shared" si="23"/>
        <v>9309.330063145042</v>
      </c>
      <c r="K47" s="26">
        <f t="shared" ref="K47:R47" si="24">INDEX($AK$35:$AR$54,MATCH($B47,$AG$35:$AG$54,0),MATCH(K$2,$AK$34:$AR$34,0))</f>
        <v>4337783.8620715216</v>
      </c>
      <c r="L47" s="26">
        <f t="shared" si="24"/>
        <v>3989838.3853330011</v>
      </c>
      <c r="M47" s="26">
        <f t="shared" si="24"/>
        <v>3526651.9331434579</v>
      </c>
      <c r="N47" s="26">
        <f t="shared" si="24"/>
        <v>2934107.9282650747</v>
      </c>
      <c r="O47" s="26">
        <f t="shared" si="24"/>
        <v>2470207.2447532574</v>
      </c>
      <c r="P47" s="26">
        <f t="shared" si="24"/>
        <v>2202914.5256768423</v>
      </c>
      <c r="Q47" s="26">
        <f t="shared" si="24"/>
        <v>1952795.672644123</v>
      </c>
      <c r="R47" s="26">
        <f t="shared" si="24"/>
        <v>1952795.672644123</v>
      </c>
      <c r="T47" t="str">
        <f t="shared" si="5"/>
        <v>DE_WAS_ELC</v>
      </c>
      <c r="U47" t="str">
        <f t="shared" si="20"/>
        <v>DE0</v>
      </c>
      <c r="W47" t="s">
        <v>110</v>
      </c>
      <c r="X47" s="149">
        <v>1924</v>
      </c>
      <c r="Y47" s="149">
        <v>1924</v>
      </c>
      <c r="Z47" s="149">
        <v>1924</v>
      </c>
      <c r="AA47" s="149">
        <v>1924</v>
      </c>
      <c r="AB47" s="149">
        <v>1924</v>
      </c>
      <c r="AC47" s="149">
        <v>1924</v>
      </c>
      <c r="AD47" s="149">
        <v>1924</v>
      </c>
      <c r="AE47" s="149">
        <v>1924</v>
      </c>
      <c r="AF47" s="149">
        <v>15392</v>
      </c>
      <c r="AG47" t="str">
        <f t="shared" si="19"/>
        <v>FR_GAS_LIN</v>
      </c>
      <c r="AH47" t="str">
        <f>AI47</f>
        <v>FR0</v>
      </c>
      <c r="AI47" t="s">
        <v>16</v>
      </c>
      <c r="AJ47" t="s">
        <v>60</v>
      </c>
      <c r="AK47" s="149">
        <v>6010635.9905090518</v>
      </c>
      <c r="AL47" s="149">
        <v>5720717.3571756687</v>
      </c>
      <c r="AM47" s="149">
        <v>5547109.4070525318</v>
      </c>
      <c r="AN47" s="149">
        <v>5199013.4026419213</v>
      </c>
      <c r="AO47" s="149">
        <v>5199013.4026419213</v>
      </c>
      <c r="AP47" s="149">
        <v>5199013.4026419213</v>
      </c>
      <c r="AQ47" s="149">
        <v>5199013.4026419213</v>
      </c>
      <c r="AR47" s="149">
        <v>5199013.4026419213</v>
      </c>
      <c r="AS47" s="149"/>
    </row>
    <row r="48" spans="1:45">
      <c r="C48" s="26"/>
      <c r="D48" s="26"/>
      <c r="E48" s="26"/>
      <c r="F48" s="26"/>
      <c r="G48" s="26"/>
      <c r="H48" s="26"/>
      <c r="I48" s="26"/>
      <c r="J48" s="26"/>
      <c r="T48" t="str">
        <f t="shared" si="5"/>
        <v>DE_WIN_OFF</v>
      </c>
      <c r="U48" t="str">
        <f t="shared" si="20"/>
        <v>DE0</v>
      </c>
      <c r="W48" t="s">
        <v>115</v>
      </c>
      <c r="X48" s="149">
        <v>3663.6067594433389</v>
      </c>
      <c r="Y48" s="149">
        <v>6736.0132875753279</v>
      </c>
      <c r="Z48" s="149">
        <v>8881.0852275439665</v>
      </c>
      <c r="AA48" s="149">
        <v>11931.470763108709</v>
      </c>
      <c r="AB48" s="149">
        <v>13761.477234318272</v>
      </c>
      <c r="AC48" s="149">
        <v>14209.950655273055</v>
      </c>
      <c r="AD48" s="149">
        <v>16633.528340732239</v>
      </c>
      <c r="AE48" s="149">
        <v>17720.148155198676</v>
      </c>
      <c r="AF48" s="149">
        <v>93537.280423193588</v>
      </c>
      <c r="AG48" t="str">
        <f t="shared" si="19"/>
        <v>FR_GAS_NEW</v>
      </c>
      <c r="AH48" t="str">
        <f>AH47</f>
        <v>FR0</v>
      </c>
      <c r="AJ48" t="s">
        <v>441</v>
      </c>
      <c r="AK48" s="149">
        <v>0</v>
      </c>
      <c r="AL48" s="149">
        <v>0</v>
      </c>
      <c r="AM48" s="149">
        <v>0</v>
      </c>
      <c r="AN48" s="149">
        <v>0</v>
      </c>
      <c r="AO48" s="149">
        <v>3067950.4145910488</v>
      </c>
      <c r="AP48" s="149">
        <v>9252984.4602650832</v>
      </c>
      <c r="AQ48" s="149">
        <v>11786801.271041185</v>
      </c>
      <c r="AR48" s="149">
        <v>16562707.472795993</v>
      </c>
      <c r="AS48" s="149"/>
    </row>
    <row r="49" spans="1:45">
      <c r="A49" t="s">
        <v>4</v>
      </c>
      <c r="B49" t="s">
        <v>93</v>
      </c>
      <c r="C49" s="26">
        <f t="shared" ref="C49:J51" si="25">INDEX($X$5:$AE$79,MATCH($B49,$T$5:$T$79,0),MATCH(C$2,$X$4:$AE$4,0))</f>
        <v>3333</v>
      </c>
      <c r="D49" s="26">
        <f t="shared" si="25"/>
        <v>2874.5163073521298</v>
      </c>
      <c r="E49" s="26">
        <f t="shared" si="25"/>
        <v>2166.9430624654501</v>
      </c>
      <c r="F49" s="26">
        <f t="shared" si="25"/>
        <v>1194.0298507462701</v>
      </c>
      <c r="G49" s="26">
        <f t="shared" si="25"/>
        <v>0</v>
      </c>
      <c r="H49" s="26">
        <f t="shared" si="25"/>
        <v>0</v>
      </c>
      <c r="I49" s="26">
        <f t="shared" si="25"/>
        <v>0</v>
      </c>
      <c r="J49" s="26">
        <f t="shared" si="25"/>
        <v>0</v>
      </c>
      <c r="K49" s="26" t="e">
        <f t="shared" ref="K49:R51" si="26">INDEX($AK$35:$AR$54,MATCH($B49,$AG$35:$AG$54,0),MATCH(K$2,$AK$34:$AR$34,0))</f>
        <v>#N/A</v>
      </c>
      <c r="L49" s="26" t="e">
        <f t="shared" si="26"/>
        <v>#N/A</v>
      </c>
      <c r="M49" s="26" t="e">
        <f t="shared" si="26"/>
        <v>#N/A</v>
      </c>
      <c r="N49" s="26" t="e">
        <f t="shared" si="26"/>
        <v>#N/A</v>
      </c>
      <c r="O49" s="26" t="e">
        <f t="shared" si="26"/>
        <v>#N/A</v>
      </c>
      <c r="P49" s="26" t="e">
        <f t="shared" si="26"/>
        <v>#N/A</v>
      </c>
      <c r="Q49" s="26" t="e">
        <f t="shared" si="26"/>
        <v>#N/A</v>
      </c>
      <c r="R49" s="26" t="e">
        <f t="shared" si="26"/>
        <v>#N/A</v>
      </c>
      <c r="T49" t="str">
        <f t="shared" si="5"/>
        <v>DE_WIN_ONS</v>
      </c>
      <c r="U49" t="str">
        <f t="shared" si="20"/>
        <v>DE0</v>
      </c>
      <c r="W49" t="s">
        <v>120</v>
      </c>
      <c r="X49" s="149">
        <v>41282.593240556656</v>
      </c>
      <c r="Y49" s="149">
        <v>55095.964664733372</v>
      </c>
      <c r="Z49" s="149">
        <v>53125.67178826443</v>
      </c>
      <c r="AA49" s="149">
        <v>55282.481202403687</v>
      </c>
      <c r="AB49" s="149">
        <v>53452.474731194125</v>
      </c>
      <c r="AC49" s="149">
        <v>55194.439913639544</v>
      </c>
      <c r="AD49" s="149">
        <v>64608.12587084416</v>
      </c>
      <c r="AE49" s="149">
        <v>68828.785992298013</v>
      </c>
      <c r="AF49" s="149">
        <v>446870.53740393405</v>
      </c>
      <c r="AG49" t="str">
        <f t="shared" si="19"/>
        <v>FR_HCO_LIN</v>
      </c>
      <c r="AH49" t="str">
        <f>AH48</f>
        <v>FR0</v>
      </c>
      <c r="AJ49" t="s">
        <v>70</v>
      </c>
      <c r="AK49" s="149">
        <v>1356129.5658272894</v>
      </c>
      <c r="AL49" s="149">
        <v>970984.19819558959</v>
      </c>
      <c r="AM49" s="149">
        <v>965445.55761888565</v>
      </c>
      <c r="AN49" s="149">
        <v>951856.15006999671</v>
      </c>
      <c r="AO49" s="149">
        <v>876385.82893585635</v>
      </c>
      <c r="AP49" s="149">
        <v>728216.96241781802</v>
      </c>
      <c r="AQ49" s="149">
        <v>728216.96241781802</v>
      </c>
      <c r="AR49" s="149">
        <v>728216.96241781802</v>
      </c>
      <c r="AS49" s="149"/>
    </row>
    <row r="50" spans="1:45">
      <c r="A50" t="s">
        <v>4</v>
      </c>
      <c r="B50" t="s">
        <v>94</v>
      </c>
      <c r="C50" s="26">
        <f t="shared" si="25"/>
        <v>10800</v>
      </c>
      <c r="D50" s="26">
        <f t="shared" si="25"/>
        <v>6907.2</v>
      </c>
      <c r="E50" s="26">
        <f t="shared" si="25"/>
        <v>0</v>
      </c>
      <c r="F50" s="26">
        <f t="shared" si="25"/>
        <v>0</v>
      </c>
      <c r="G50" s="26">
        <f t="shared" si="25"/>
        <v>0</v>
      </c>
      <c r="H50" s="26">
        <f t="shared" si="25"/>
        <v>0</v>
      </c>
      <c r="I50" s="26">
        <f t="shared" si="25"/>
        <v>0</v>
      </c>
      <c r="J50" s="26">
        <f t="shared" si="25"/>
        <v>0</v>
      </c>
      <c r="K50" s="26" t="e">
        <f t="shared" si="26"/>
        <v>#N/A</v>
      </c>
      <c r="L50" s="26" t="e">
        <f t="shared" si="26"/>
        <v>#N/A</v>
      </c>
      <c r="M50" s="26" t="e">
        <f t="shared" si="26"/>
        <v>#N/A</v>
      </c>
      <c r="N50" s="26" t="e">
        <f t="shared" si="26"/>
        <v>#N/A</v>
      </c>
      <c r="O50" s="26" t="e">
        <f t="shared" si="26"/>
        <v>#N/A</v>
      </c>
      <c r="P50" s="26" t="e">
        <f t="shared" si="26"/>
        <v>#N/A</v>
      </c>
      <c r="Q50" s="26" t="e">
        <f t="shared" si="26"/>
        <v>#N/A</v>
      </c>
      <c r="R50" s="26" t="e">
        <f t="shared" si="26"/>
        <v>#N/A</v>
      </c>
      <c r="T50" t="str">
        <f t="shared" si="5"/>
        <v>FR_BAL_ELC</v>
      </c>
      <c r="U50" t="str">
        <f>V50</f>
        <v>FR0</v>
      </c>
      <c r="V50" t="s">
        <v>16</v>
      </c>
      <c r="W50" t="s">
        <v>55</v>
      </c>
      <c r="X50" s="149">
        <v>922.97180000000003</v>
      </c>
      <c r="Y50" s="149">
        <v>1568.4584305942778</v>
      </c>
      <c r="Z50" s="149">
        <v>1786.5361861474291</v>
      </c>
      <c r="AA50" s="149">
        <v>1859.7369178300278</v>
      </c>
      <c r="AB50" s="149">
        <v>1875.663472685434</v>
      </c>
      <c r="AC50" s="149">
        <v>1901.4454886440619</v>
      </c>
      <c r="AD50" s="149">
        <v>1950.1638160508269</v>
      </c>
      <c r="AE50" s="149">
        <v>1970.6151429698432</v>
      </c>
      <c r="AF50" s="149">
        <v>13835.591254921901</v>
      </c>
      <c r="AG50" t="str">
        <f t="shared" si="19"/>
        <v>FR_OIL_LIN</v>
      </c>
      <c r="AH50" t="str">
        <f>AH49</f>
        <v>FR0</v>
      </c>
      <c r="AJ50" t="s">
        <v>100</v>
      </c>
      <c r="AK50" s="149">
        <v>512974.53654106433</v>
      </c>
      <c r="AL50" s="149">
        <v>333967.73826372402</v>
      </c>
      <c r="AM50" s="149">
        <v>123313.40561517904</v>
      </c>
      <c r="AN50" s="149">
        <v>111935.8971776453</v>
      </c>
      <c r="AO50" s="149">
        <v>53293.237261179253</v>
      </c>
      <c r="AP50" s="149">
        <v>47229.399522299493</v>
      </c>
      <c r="AQ50" s="149">
        <v>46260.917626199458</v>
      </c>
      <c r="AR50" s="149">
        <v>41677.969378828748</v>
      </c>
      <c r="AS50" s="149"/>
    </row>
    <row r="51" spans="1:45">
      <c r="A51" t="s">
        <v>4</v>
      </c>
      <c r="B51" t="s">
        <v>96</v>
      </c>
      <c r="C51" s="26">
        <f t="shared" si="25"/>
        <v>63246.720000000001</v>
      </c>
      <c r="D51" s="26">
        <f t="shared" si="25"/>
        <v>61326.720000000001</v>
      </c>
      <c r="E51" s="26">
        <f t="shared" si="25"/>
        <v>59493.120000000003</v>
      </c>
      <c r="F51" s="26">
        <f t="shared" si="25"/>
        <v>59493.120000000003</v>
      </c>
      <c r="G51" s="26">
        <f t="shared" si="25"/>
        <v>56330.16</v>
      </c>
      <c r="H51" s="26">
        <f t="shared" si="25"/>
        <v>42452.160000000003</v>
      </c>
      <c r="I51" s="26">
        <f t="shared" si="25"/>
        <v>39118.559999999998</v>
      </c>
      <c r="J51" s="26">
        <f t="shared" si="25"/>
        <v>32276.400000000001</v>
      </c>
      <c r="K51" s="26" t="e">
        <f t="shared" si="26"/>
        <v>#N/A</v>
      </c>
      <c r="L51" s="26" t="e">
        <f t="shared" si="26"/>
        <v>#N/A</v>
      </c>
      <c r="M51" s="26" t="e">
        <f t="shared" si="26"/>
        <v>#N/A</v>
      </c>
      <c r="N51" s="26" t="e">
        <f t="shared" si="26"/>
        <v>#N/A</v>
      </c>
      <c r="O51" s="26" t="e">
        <f t="shared" si="26"/>
        <v>#N/A</v>
      </c>
      <c r="P51" s="26" t="e">
        <f t="shared" si="26"/>
        <v>#N/A</v>
      </c>
      <c r="Q51" s="26" t="e">
        <f t="shared" si="26"/>
        <v>#N/A</v>
      </c>
      <c r="R51" s="26" t="e">
        <f t="shared" si="26"/>
        <v>#N/A</v>
      </c>
      <c r="T51" t="str">
        <f t="shared" si="5"/>
        <v>FR_GAS_LIN</v>
      </c>
      <c r="U51" t="str">
        <f>U50</f>
        <v>FR0</v>
      </c>
      <c r="W51" t="s">
        <v>60</v>
      </c>
      <c r="X51" s="149">
        <v>9646.1954399999995</v>
      </c>
      <c r="Y51" s="149">
        <v>9180.9182541502105</v>
      </c>
      <c r="Z51" s="149">
        <v>8902.3027766084197</v>
      </c>
      <c r="AA51" s="149">
        <v>8343.6593825100408</v>
      </c>
      <c r="AB51" s="149">
        <v>8343.6593825100408</v>
      </c>
      <c r="AC51" s="149">
        <v>8343.6593825100408</v>
      </c>
      <c r="AD51" s="149">
        <v>8343.6593825100408</v>
      </c>
      <c r="AE51" s="149">
        <v>8343.6593825100408</v>
      </c>
      <c r="AF51" s="149">
        <v>69447.713383308845</v>
      </c>
      <c r="AG51" t="str">
        <f t="shared" si="19"/>
        <v>IT_GAS_LIN</v>
      </c>
      <c r="AH51" t="str">
        <f>AI51</f>
        <v>IT0</v>
      </c>
      <c r="AI51" t="s">
        <v>17</v>
      </c>
      <c r="AJ51" t="s">
        <v>60</v>
      </c>
      <c r="AK51" s="149">
        <v>85513395.346999824</v>
      </c>
      <c r="AL51" s="149">
        <v>84376473.757252678</v>
      </c>
      <c r="AM51" s="149">
        <v>78248630.268193528</v>
      </c>
      <c r="AN51" s="149">
        <v>68581312.308109388</v>
      </c>
      <c r="AO51" s="149">
        <v>58924403.762748942</v>
      </c>
      <c r="AP51" s="149">
        <v>58924403.762748942</v>
      </c>
      <c r="AQ51" s="149">
        <v>58924403.762748942</v>
      </c>
      <c r="AR51" s="149">
        <v>58924403.762748942</v>
      </c>
      <c r="AS51" s="149"/>
    </row>
    <row r="52" spans="1:45">
      <c r="C52" s="26"/>
      <c r="D52" s="26"/>
      <c r="E52" s="26"/>
      <c r="F52" s="26"/>
      <c r="G52" s="26"/>
      <c r="H52" s="26"/>
      <c r="I52" s="26"/>
      <c r="J52" s="26"/>
      <c r="T52" t="str">
        <f t="shared" si="5"/>
        <v>FR_GAS_NEW</v>
      </c>
      <c r="U52" t="str">
        <f t="shared" ref="U52:U64" si="27">U51</f>
        <v>FR0</v>
      </c>
      <c r="W52" t="s">
        <v>441</v>
      </c>
      <c r="X52" s="149">
        <v>0</v>
      </c>
      <c r="Y52" s="149">
        <v>0</v>
      </c>
      <c r="Z52" s="149">
        <v>0</v>
      </c>
      <c r="AA52" s="149">
        <v>0</v>
      </c>
      <c r="AB52" s="149">
        <v>4923.6136319191592</v>
      </c>
      <c r="AC52" s="149">
        <v>14849.69255299066</v>
      </c>
      <c r="AD52" s="149">
        <v>18916.099536294561</v>
      </c>
      <c r="AE52" s="149">
        <v>26580.733478190159</v>
      </c>
      <c r="AF52" s="149">
        <v>65270.139199394544</v>
      </c>
      <c r="AG52" t="str">
        <f t="shared" si="19"/>
        <v>IT_GAS_NEW</v>
      </c>
      <c r="AH52" t="str">
        <f>AH51</f>
        <v>IT0</v>
      </c>
      <c r="AJ52" t="s">
        <v>441</v>
      </c>
      <c r="AK52" s="149">
        <v>0</v>
      </c>
      <c r="AL52" s="149">
        <v>0</v>
      </c>
      <c r="AM52" s="149">
        <v>0</v>
      </c>
      <c r="AN52" s="149">
        <v>0</v>
      </c>
      <c r="AO52" s="149">
        <v>0</v>
      </c>
      <c r="AP52" s="149">
        <v>15364375.030248389</v>
      </c>
      <c r="AQ52" s="149">
        <v>15148180.580595141</v>
      </c>
      <c r="AR52" s="149">
        <v>15115535.284946727</v>
      </c>
      <c r="AS52" s="149"/>
    </row>
    <row r="53" spans="1:45">
      <c r="A53" t="s">
        <v>4</v>
      </c>
      <c r="B53" t="s">
        <v>97</v>
      </c>
      <c r="C53" s="26">
        <f t="shared" ref="C53:J57" si="28">INDEX($X$5:$AE$79,MATCH($B53,$T$5:$T$79,0),MATCH(C$2,$X$4:$AE$4,0))</f>
        <v>970.58312000000001</v>
      </c>
      <c r="D53" s="26">
        <f t="shared" si="28"/>
        <v>815.01612</v>
      </c>
      <c r="E53" s="26">
        <f t="shared" si="28"/>
        <v>482.888652858483</v>
      </c>
      <c r="F53" s="26">
        <f t="shared" si="28"/>
        <v>422.957882858483</v>
      </c>
      <c r="G53" s="26">
        <f t="shared" si="28"/>
        <v>384.78213285848301</v>
      </c>
      <c r="H53" s="26">
        <f t="shared" si="28"/>
        <v>8.4376999999999995</v>
      </c>
      <c r="I53" s="26">
        <f t="shared" si="28"/>
        <v>3.2204999999999999</v>
      </c>
      <c r="J53" s="26">
        <f t="shared" si="28"/>
        <v>0</v>
      </c>
      <c r="K53" s="26">
        <f t="shared" ref="K53:R53" si="29">INDEX($AK$35:$AR$54,MATCH($B53,$AG$35:$AG$54,0),MATCH(K$2,$AK$34:$AR$34,0))</f>
        <v>2931692.3497069618</v>
      </c>
      <c r="L53" s="26">
        <f t="shared" si="29"/>
        <v>2461794.8475055401</v>
      </c>
      <c r="M53" s="26">
        <f t="shared" si="29"/>
        <v>1458588.0798601932</v>
      </c>
      <c r="N53" s="26">
        <f t="shared" si="29"/>
        <v>1277564.3464976684</v>
      </c>
      <c r="O53" s="26">
        <f t="shared" si="29"/>
        <v>1162252.6829079229</v>
      </c>
      <c r="P53" s="26">
        <f t="shared" si="29"/>
        <v>25486.473058713847</v>
      </c>
      <c r="Q53" s="26">
        <f t="shared" si="29"/>
        <v>9727.673001598534</v>
      </c>
      <c r="R53" s="26">
        <f t="shared" si="29"/>
        <v>0</v>
      </c>
      <c r="T53" t="str">
        <f t="shared" si="5"/>
        <v>FR_GEO_ELC</v>
      </c>
      <c r="U53" t="str">
        <f t="shared" si="27"/>
        <v>FR0</v>
      </c>
      <c r="W53" t="s">
        <v>65</v>
      </c>
      <c r="X53" s="149">
        <v>2</v>
      </c>
      <c r="Y53" s="149">
        <v>3.1213716085118901</v>
      </c>
      <c r="Z53" s="149">
        <v>3.1213716085118901</v>
      </c>
      <c r="AA53" s="149">
        <v>3.1213716085118901</v>
      </c>
      <c r="AB53" s="149">
        <v>3.1213716085118901</v>
      </c>
      <c r="AC53" s="149">
        <v>3.1213716085118901</v>
      </c>
      <c r="AD53" s="149">
        <v>3.1213716085118901</v>
      </c>
      <c r="AE53" s="149">
        <v>3.1213716085118901</v>
      </c>
      <c r="AF53" s="149">
        <v>23.849601259583228</v>
      </c>
      <c r="AG53" t="str">
        <f t="shared" si="19"/>
        <v>IT_HCO_LIN</v>
      </c>
      <c r="AH53" t="str">
        <f>AH52</f>
        <v>IT0</v>
      </c>
      <c r="AJ53" t="s">
        <v>70</v>
      </c>
      <c r="AK53" s="149">
        <v>122639.64468747843</v>
      </c>
      <c r="AL53" s="149">
        <v>114213.89167470827</v>
      </c>
      <c r="AM53" s="149">
        <v>65803.705807716702</v>
      </c>
      <c r="AN53" s="149">
        <v>65737.560400714559</v>
      </c>
      <c r="AO53" s="149">
        <v>61929.751122766938</v>
      </c>
      <c r="AP53" s="149">
        <v>28703.353030769049</v>
      </c>
      <c r="AQ53" s="149">
        <v>28549.142686179268</v>
      </c>
      <c r="AR53" s="149">
        <v>24515.949058446578</v>
      </c>
      <c r="AS53" s="149"/>
    </row>
    <row r="54" spans="1:45">
      <c r="A54" t="s">
        <v>4</v>
      </c>
      <c r="B54" t="s">
        <v>98</v>
      </c>
      <c r="C54" s="26">
        <f t="shared" si="28"/>
        <v>64.416256129340994</v>
      </c>
      <c r="D54" s="26">
        <f t="shared" si="28"/>
        <v>64.469669277043536</v>
      </c>
      <c r="E54" s="26">
        <f t="shared" si="28"/>
        <v>30.058983300421602</v>
      </c>
      <c r="F54" s="26">
        <f t="shared" si="28"/>
        <v>17.165049445012855</v>
      </c>
      <c r="G54" s="26">
        <f t="shared" si="28"/>
        <v>17.138187082814092</v>
      </c>
      <c r="H54" s="26">
        <f t="shared" si="28"/>
        <v>0</v>
      </c>
      <c r="I54" s="26">
        <f t="shared" si="28"/>
        <v>0</v>
      </c>
      <c r="J54" s="26">
        <f t="shared" si="28"/>
        <v>0</v>
      </c>
      <c r="K54" s="26">
        <f t="shared" ref="K54:R54" si="30">INDEX($AK$35:$AR$54,MATCH($B54,$AG$35:$AG$54,0),MATCH(K$2,$AK$34:$AR$34,0))</f>
        <v>17918.02580493749</v>
      </c>
      <c r="L54" s="26">
        <f t="shared" si="30"/>
        <v>17932.88320610243</v>
      </c>
      <c r="M54" s="26">
        <f t="shared" si="30"/>
        <v>8361.2067948452732</v>
      </c>
      <c r="N54" s="26">
        <f t="shared" si="30"/>
        <v>4774.6301536247756</v>
      </c>
      <c r="O54" s="26">
        <f t="shared" si="30"/>
        <v>4767.1581189555682</v>
      </c>
      <c r="P54" s="26">
        <f t="shared" si="30"/>
        <v>0</v>
      </c>
      <c r="Q54" s="26">
        <f t="shared" si="30"/>
        <v>0</v>
      </c>
      <c r="R54" s="26">
        <f t="shared" si="30"/>
        <v>0</v>
      </c>
      <c r="T54" t="str">
        <f t="shared" si="5"/>
        <v>FR_HCO_LIN</v>
      </c>
      <c r="U54" t="str">
        <f t="shared" si="27"/>
        <v>FR0</v>
      </c>
      <c r="W54" t="s">
        <v>70</v>
      </c>
      <c r="X54" s="149">
        <v>5384.8374999999996</v>
      </c>
      <c r="Y54" s="149">
        <v>3855.5255000000002</v>
      </c>
      <c r="Z54" s="149">
        <v>3833.5329999999999</v>
      </c>
      <c r="AA54" s="149">
        <v>3779.5729999999999</v>
      </c>
      <c r="AB54" s="149">
        <v>3479.9</v>
      </c>
      <c r="AC54" s="149">
        <v>2891.56</v>
      </c>
      <c r="AD54" s="149">
        <v>2891.56</v>
      </c>
      <c r="AE54" s="149">
        <v>2891.56</v>
      </c>
      <c r="AF54" s="149">
        <v>29008.049000000003</v>
      </c>
      <c r="AG54" t="str">
        <f t="shared" si="19"/>
        <v>IT_OIL_LIN</v>
      </c>
      <c r="AH54" t="str">
        <f>AH53</f>
        <v>IT0</v>
      </c>
      <c r="AJ54" t="s">
        <v>100</v>
      </c>
      <c r="AK54" s="149">
        <v>9049483.3720709719</v>
      </c>
      <c r="AL54" s="149">
        <v>5606685.8234863412</v>
      </c>
      <c r="AM54" s="149">
        <v>3924186.0526425983</v>
      </c>
      <c r="AN54" s="149">
        <v>1515156.5290892923</v>
      </c>
      <c r="AO54" s="149">
        <v>518342.106167135</v>
      </c>
      <c r="AP54" s="149">
        <v>392054.82605040178</v>
      </c>
      <c r="AQ54" s="149">
        <v>314079.87883293052</v>
      </c>
      <c r="AR54" s="149">
        <v>83244.887761365404</v>
      </c>
      <c r="AS54" s="149"/>
    </row>
    <row r="55" spans="1:45">
      <c r="A55" t="s">
        <v>4</v>
      </c>
      <c r="B55" t="s">
        <v>99</v>
      </c>
      <c r="C55" s="26">
        <f t="shared" si="28"/>
        <v>5028.3810199999998</v>
      </c>
      <c r="D55" s="26">
        <f t="shared" si="28"/>
        <v>1673.8347000000001</v>
      </c>
      <c r="E55" s="26">
        <f t="shared" si="28"/>
        <v>1458.1605423920601</v>
      </c>
      <c r="F55" s="26">
        <f t="shared" si="28"/>
        <v>1248.1130423920599</v>
      </c>
      <c r="G55" s="26">
        <f t="shared" si="28"/>
        <v>1060.97281239206</v>
      </c>
      <c r="H55" s="26">
        <f t="shared" si="28"/>
        <v>862.853412392064</v>
      </c>
      <c r="I55" s="26">
        <f t="shared" si="28"/>
        <v>833.37662239206395</v>
      </c>
      <c r="J55" s="26">
        <f t="shared" si="28"/>
        <v>674.14537239206402</v>
      </c>
      <c r="K55" s="26">
        <f t="shared" ref="K55:R55" si="31">INDEX($AK$35:$AR$54,MATCH($B55,$AG$35:$AG$54,0),MATCH(K$2,$AK$34:$AR$34,0))</f>
        <v>2633553.1995638474</v>
      </c>
      <c r="L55" s="26">
        <f t="shared" si="31"/>
        <v>876650.49887687166</v>
      </c>
      <c r="M55" s="26">
        <f t="shared" si="31"/>
        <v>763693.79062972544</v>
      </c>
      <c r="N55" s="26">
        <f t="shared" si="31"/>
        <v>653683.97564450628</v>
      </c>
      <c r="O55" s="26">
        <f t="shared" si="31"/>
        <v>555671.56379199028</v>
      </c>
      <c r="P55" s="26">
        <f t="shared" si="31"/>
        <v>451908.94562713633</v>
      </c>
      <c r="Q55" s="26">
        <f t="shared" si="31"/>
        <v>436470.83656010072</v>
      </c>
      <c r="R55" s="26">
        <f t="shared" si="31"/>
        <v>353075.41241858434</v>
      </c>
      <c r="T55" t="str">
        <f t="shared" si="5"/>
        <v>FR_HYD_RES</v>
      </c>
      <c r="U55" t="str">
        <f t="shared" si="27"/>
        <v>FR0</v>
      </c>
      <c r="W55" t="s">
        <v>75</v>
      </c>
      <c r="X55" s="149">
        <v>8260.7181154014052</v>
      </c>
      <c r="Y55" s="149">
        <v>8260.7258359248281</v>
      </c>
      <c r="Z55" s="149">
        <v>8260.7258359248281</v>
      </c>
      <c r="AA55" s="149">
        <v>8260.7258359248281</v>
      </c>
      <c r="AB55" s="149">
        <v>8369.7814508482425</v>
      </c>
      <c r="AC55" s="149">
        <v>8661.0492002414139</v>
      </c>
      <c r="AD55" s="149">
        <v>8969.2151988606929</v>
      </c>
      <c r="AE55" s="149">
        <v>9282.7861438137097</v>
      </c>
      <c r="AF55" s="149">
        <v>68325.727616939941</v>
      </c>
      <c r="AI55" t="s">
        <v>433</v>
      </c>
      <c r="AJ55" t="s">
        <v>433</v>
      </c>
      <c r="AK55" s="149"/>
      <c r="AL55" s="149"/>
      <c r="AM55" s="149"/>
      <c r="AN55" s="149"/>
      <c r="AO55" s="149"/>
      <c r="AP55" s="149"/>
      <c r="AQ55" s="149"/>
      <c r="AR55" s="149"/>
      <c r="AS55" s="149"/>
    </row>
    <row r="56" spans="1:45">
      <c r="A56" t="s">
        <v>4</v>
      </c>
      <c r="B56" t="s">
        <v>101</v>
      </c>
      <c r="C56" s="26">
        <f t="shared" si="28"/>
        <v>7692.8021099999996</v>
      </c>
      <c r="D56" s="26">
        <f t="shared" si="28"/>
        <v>5008.3338227870099</v>
      </c>
      <c r="E56" s="26">
        <f t="shared" si="28"/>
        <v>1849.26455278701</v>
      </c>
      <c r="F56" s="26">
        <f t="shared" si="28"/>
        <v>1678.6422027870001</v>
      </c>
      <c r="G56" s="26">
        <f t="shared" si="28"/>
        <v>799.20989999999995</v>
      </c>
      <c r="H56" s="26">
        <f t="shared" si="28"/>
        <v>708.27380000000005</v>
      </c>
      <c r="I56" s="26">
        <f t="shared" si="28"/>
        <v>693.75</v>
      </c>
      <c r="J56" s="26">
        <f t="shared" si="28"/>
        <v>625.02200000000005</v>
      </c>
      <c r="K56" s="26">
        <f t="shared" ref="K56:R56" si="32">INDEX($AK$35:$AR$54,MATCH($B56,$AG$35:$AG$54,0),MATCH(K$2,$AK$34:$AR$34,0))</f>
        <v>512974.53654106433</v>
      </c>
      <c r="L56" s="26">
        <f t="shared" si="32"/>
        <v>333967.73826372402</v>
      </c>
      <c r="M56" s="26">
        <f t="shared" si="32"/>
        <v>123313.40561517904</v>
      </c>
      <c r="N56" s="26">
        <f t="shared" si="32"/>
        <v>111935.8971776453</v>
      </c>
      <c r="O56" s="26">
        <f t="shared" si="32"/>
        <v>53293.237261179253</v>
      </c>
      <c r="P56" s="26">
        <f t="shared" si="32"/>
        <v>47229.399522299493</v>
      </c>
      <c r="Q56" s="26">
        <f t="shared" si="32"/>
        <v>46260.917626199458</v>
      </c>
      <c r="R56" s="26">
        <f t="shared" si="32"/>
        <v>41677.969378828748</v>
      </c>
      <c r="T56" t="str">
        <f t="shared" si="5"/>
        <v>FR_HYD_ROR</v>
      </c>
      <c r="U56" t="str">
        <f t="shared" si="27"/>
        <v>FR0</v>
      </c>
      <c r="W56" t="s">
        <v>80</v>
      </c>
      <c r="X56" s="149">
        <v>10381.042848444713</v>
      </c>
      <c r="Y56" s="149">
        <v>10381.052550638075</v>
      </c>
      <c r="Z56" s="149">
        <v>10381.052550638075</v>
      </c>
      <c r="AA56" s="149">
        <v>10381.052550638075</v>
      </c>
      <c r="AB56" s="149">
        <v>10518.100080352559</v>
      </c>
      <c r="AC56" s="149">
        <v>10884.129152471993</v>
      </c>
      <c r="AD56" s="149">
        <v>11271.393841983194</v>
      </c>
      <c r="AE56" s="149">
        <v>11665.450795641442</v>
      </c>
      <c r="AF56" s="149">
        <v>85863.274370808125</v>
      </c>
    </row>
    <row r="57" spans="1:45">
      <c r="A57" t="s">
        <v>4</v>
      </c>
      <c r="B57" t="s">
        <v>102</v>
      </c>
      <c r="C57" s="26">
        <f t="shared" si="28"/>
        <v>13927.99768</v>
      </c>
      <c r="D57" s="26">
        <f t="shared" si="28"/>
        <v>8629.2116280374794</v>
      </c>
      <c r="E57" s="26">
        <f t="shared" si="28"/>
        <v>6039.6877909933601</v>
      </c>
      <c r="F57" s="26">
        <f t="shared" si="28"/>
        <v>2331.9670034559199</v>
      </c>
      <c r="G57" s="26">
        <f t="shared" si="28"/>
        <v>797.77677413312904</v>
      </c>
      <c r="H57" s="26">
        <f t="shared" si="28"/>
        <v>603.40888901077199</v>
      </c>
      <c r="I57" s="26">
        <f t="shared" si="28"/>
        <v>483.39818350521301</v>
      </c>
      <c r="J57" s="26">
        <f t="shared" si="28"/>
        <v>128.12163478751401</v>
      </c>
      <c r="K57" s="26">
        <f t="shared" ref="K57:R57" si="33">INDEX($AK$35:$AR$54,MATCH($B57,$AG$35:$AG$54,0),MATCH(K$2,$AK$34:$AR$34,0))</f>
        <v>9049483.3720709719</v>
      </c>
      <c r="L57" s="26">
        <f t="shared" si="33"/>
        <v>5606685.8234863412</v>
      </c>
      <c r="M57" s="26">
        <f t="shared" si="33"/>
        <v>3924186.0526425983</v>
      </c>
      <c r="N57" s="26">
        <f t="shared" si="33"/>
        <v>1515156.5290892923</v>
      </c>
      <c r="O57" s="26">
        <f t="shared" si="33"/>
        <v>518342.106167135</v>
      </c>
      <c r="P57" s="26">
        <f t="shared" si="33"/>
        <v>392054.82605040178</v>
      </c>
      <c r="Q57" s="26">
        <f t="shared" si="33"/>
        <v>314079.87883293052</v>
      </c>
      <c r="R57" s="26">
        <f t="shared" si="33"/>
        <v>83244.887761365404</v>
      </c>
      <c r="T57" t="str">
        <f t="shared" si="5"/>
        <v>FR_HYD_STO</v>
      </c>
      <c r="U57" t="str">
        <f t="shared" si="27"/>
        <v>FR0</v>
      </c>
      <c r="W57" t="s">
        <v>85</v>
      </c>
      <c r="X57" s="149">
        <v>4993.239036153881</v>
      </c>
      <c r="Y57" s="149">
        <v>4993.2437028690974</v>
      </c>
      <c r="Z57" s="149">
        <v>4993.2437028690974</v>
      </c>
      <c r="AA57" s="149">
        <v>4993.2437028690974</v>
      </c>
      <c r="AB57" s="149">
        <v>5059.1630026127978</v>
      </c>
      <c r="AC57" s="149">
        <v>5235.2214851714898</v>
      </c>
      <c r="AD57" s="149">
        <v>5421.494212605714</v>
      </c>
      <c r="AE57" s="149">
        <v>5611.0339912387471</v>
      </c>
      <c r="AF57" s="149">
        <v>41299.882836389923</v>
      </c>
    </row>
    <row r="58" spans="1:45">
      <c r="C58" s="26"/>
      <c r="D58" s="26"/>
      <c r="E58" s="26"/>
      <c r="F58" s="26"/>
      <c r="G58" s="26"/>
      <c r="H58" s="26"/>
      <c r="I58" s="26"/>
      <c r="J58" s="26"/>
      <c r="T58" t="str">
        <f t="shared" si="5"/>
        <v>FR_LIG_LIN</v>
      </c>
      <c r="U58" t="str">
        <f t="shared" si="27"/>
        <v>FR0</v>
      </c>
      <c r="W58" t="s">
        <v>91</v>
      </c>
      <c r="X58" s="149">
        <v>0</v>
      </c>
      <c r="Y58" s="149">
        <v>0</v>
      </c>
      <c r="Z58" s="149">
        <v>0</v>
      </c>
      <c r="AA58" s="149">
        <v>0</v>
      </c>
      <c r="AB58" s="149">
        <v>0</v>
      </c>
      <c r="AC58" s="149">
        <v>0</v>
      </c>
      <c r="AD58" s="149">
        <v>0</v>
      </c>
      <c r="AE58" s="149">
        <v>0</v>
      </c>
      <c r="AF58" s="149">
        <v>0</v>
      </c>
    </row>
    <row r="59" spans="1:45">
      <c r="A59" t="s">
        <v>4</v>
      </c>
      <c r="B59" t="s">
        <v>103</v>
      </c>
      <c r="C59" s="26">
        <f t="shared" ref="C59:J63" si="34">INDEX($X$5:$AE$79,MATCH($B59,$T$5:$T$79,0),MATCH(C$2,$X$4:$AE$4,0))</f>
        <v>876</v>
      </c>
      <c r="D59" s="26">
        <f t="shared" si="34"/>
        <v>1089.65065061156</v>
      </c>
      <c r="E59" s="26">
        <f t="shared" si="34"/>
        <v>2692.0255474526298</v>
      </c>
      <c r="F59" s="26">
        <f t="shared" si="34"/>
        <v>2821.0255474526298</v>
      </c>
      <c r="G59" s="26">
        <f t="shared" si="34"/>
        <v>2888.0255474526298</v>
      </c>
      <c r="H59" s="26">
        <f t="shared" si="34"/>
        <v>2930.0255474526298</v>
      </c>
      <c r="I59" s="26">
        <f t="shared" si="34"/>
        <v>3196.7875074344702</v>
      </c>
      <c r="J59" s="26">
        <f t="shared" si="34"/>
        <v>4008.7875074344702</v>
      </c>
      <c r="K59" s="26" t="e">
        <f t="shared" ref="K59:R74" si="35">INDEX($AK$35:$AR$54,MATCH($B59,$AG$35:$AG$54,0),MATCH(K$2,$AK$34:$AR$34,0))</f>
        <v>#N/A</v>
      </c>
      <c r="L59" s="26" t="e">
        <f t="shared" si="35"/>
        <v>#N/A</v>
      </c>
      <c r="M59" s="26" t="e">
        <f t="shared" si="35"/>
        <v>#N/A</v>
      </c>
      <c r="N59" s="26" t="e">
        <f t="shared" si="35"/>
        <v>#N/A</v>
      </c>
      <c r="O59" s="26" t="e">
        <f t="shared" si="35"/>
        <v>#N/A</v>
      </c>
      <c r="P59" s="26" t="e">
        <f t="shared" si="35"/>
        <v>#N/A</v>
      </c>
      <c r="Q59" s="26" t="e">
        <f t="shared" si="35"/>
        <v>#N/A</v>
      </c>
      <c r="R59" s="26" t="e">
        <f t="shared" si="35"/>
        <v>#N/A</v>
      </c>
      <c r="T59" t="str">
        <f t="shared" si="5"/>
        <v>FR_NUC_ELC</v>
      </c>
      <c r="U59" t="str">
        <f t="shared" si="27"/>
        <v>FR0</v>
      </c>
      <c r="W59" t="s">
        <v>95</v>
      </c>
      <c r="X59" s="149">
        <v>63246.720000000001</v>
      </c>
      <c r="Y59" s="149">
        <v>61326.720000000001</v>
      </c>
      <c r="Z59" s="149">
        <v>59493.120000000003</v>
      </c>
      <c r="AA59" s="149">
        <v>59493.120000000003</v>
      </c>
      <c r="AB59" s="149">
        <v>56330.16</v>
      </c>
      <c r="AC59" s="149">
        <v>42452.160000000003</v>
      </c>
      <c r="AD59" s="149">
        <v>39118.559999999998</v>
      </c>
      <c r="AE59" s="149">
        <v>32276.400000000001</v>
      </c>
      <c r="AF59" s="149">
        <v>413736.96000000002</v>
      </c>
    </row>
    <row r="60" spans="1:45">
      <c r="A60" t="s">
        <v>4</v>
      </c>
      <c r="B60" t="s">
        <v>104</v>
      </c>
      <c r="C60" s="26">
        <f t="shared" si="34"/>
        <v>1390.1</v>
      </c>
      <c r="D60" s="26">
        <f t="shared" si="34"/>
        <v>1665.2918506448</v>
      </c>
      <c r="E60" s="26">
        <f t="shared" si="34"/>
        <v>2192.7428977140098</v>
      </c>
      <c r="F60" s="26">
        <f t="shared" si="34"/>
        <v>3259.1113189626299</v>
      </c>
      <c r="G60" s="26">
        <f t="shared" si="34"/>
        <v>6160.0920778432701</v>
      </c>
      <c r="H60" s="26">
        <f t="shared" si="34"/>
        <v>8797.3473131893006</v>
      </c>
      <c r="I60" s="26">
        <f t="shared" si="34"/>
        <v>11652.462763629101</v>
      </c>
      <c r="J60" s="26">
        <f t="shared" si="34"/>
        <v>13819.598587457</v>
      </c>
      <c r="K60" s="26" t="e">
        <f t="shared" si="35"/>
        <v>#N/A</v>
      </c>
      <c r="L60" s="26" t="e">
        <f t="shared" si="35"/>
        <v>#N/A</v>
      </c>
      <c r="M60" s="26" t="e">
        <f t="shared" si="35"/>
        <v>#N/A</v>
      </c>
      <c r="N60" s="26" t="e">
        <f t="shared" si="35"/>
        <v>#N/A</v>
      </c>
      <c r="O60" s="26" t="e">
        <f t="shared" si="35"/>
        <v>#N/A</v>
      </c>
      <c r="P60" s="26" t="e">
        <f t="shared" si="35"/>
        <v>#N/A</v>
      </c>
      <c r="Q60" s="26" t="e">
        <f t="shared" si="35"/>
        <v>#N/A</v>
      </c>
      <c r="R60" s="26" t="e">
        <f t="shared" si="35"/>
        <v>#N/A</v>
      </c>
      <c r="T60" t="str">
        <f t="shared" si="5"/>
        <v>FR_OIL_LIN</v>
      </c>
      <c r="U60" t="str">
        <f t="shared" si="27"/>
        <v>FR0</v>
      </c>
      <c r="W60" t="s">
        <v>100</v>
      </c>
      <c r="X60" s="149">
        <v>7692.8021099999996</v>
      </c>
      <c r="Y60" s="149">
        <v>5008.3338227870099</v>
      </c>
      <c r="Z60" s="149">
        <v>1849.26455278701</v>
      </c>
      <c r="AA60" s="149">
        <v>1678.6422027870001</v>
      </c>
      <c r="AB60" s="149">
        <v>799.20989999999995</v>
      </c>
      <c r="AC60" s="149">
        <v>708.27380000000005</v>
      </c>
      <c r="AD60" s="149">
        <v>693.75</v>
      </c>
      <c r="AE60" s="149">
        <v>625.02200000000005</v>
      </c>
      <c r="AF60" s="149">
        <v>19055.298388361018</v>
      </c>
    </row>
    <row r="61" spans="1:45">
      <c r="A61" t="s">
        <v>4</v>
      </c>
      <c r="B61" t="s">
        <v>106</v>
      </c>
      <c r="C61" s="26">
        <f t="shared" si="34"/>
        <v>39756.639999999999</v>
      </c>
      <c r="D61" s="26">
        <f t="shared" si="34"/>
        <v>52802.867668028601</v>
      </c>
      <c r="E61" s="26">
        <f t="shared" si="34"/>
        <v>55900.764651489801</v>
      </c>
      <c r="F61" s="26">
        <f t="shared" si="34"/>
        <v>63959.325331165601</v>
      </c>
      <c r="G61" s="26">
        <f t="shared" si="34"/>
        <v>63959.325331165601</v>
      </c>
      <c r="H61" s="26">
        <f t="shared" si="34"/>
        <v>65956.280250018506</v>
      </c>
      <c r="I61" s="26">
        <f t="shared" si="34"/>
        <v>70530.792539669201</v>
      </c>
      <c r="J61" s="26">
        <f t="shared" si="34"/>
        <v>86140.792539669201</v>
      </c>
      <c r="K61" s="26" t="e">
        <f t="shared" si="35"/>
        <v>#N/A</v>
      </c>
      <c r="L61" s="26" t="e">
        <f t="shared" si="35"/>
        <v>#N/A</v>
      </c>
      <c r="M61" s="26" t="e">
        <f t="shared" si="35"/>
        <v>#N/A</v>
      </c>
      <c r="N61" s="26" t="e">
        <f t="shared" si="35"/>
        <v>#N/A</v>
      </c>
      <c r="O61" s="26" t="e">
        <f t="shared" si="35"/>
        <v>#N/A</v>
      </c>
      <c r="P61" s="26" t="e">
        <f t="shared" si="35"/>
        <v>#N/A</v>
      </c>
      <c r="Q61" s="26" t="e">
        <f t="shared" si="35"/>
        <v>#N/A</v>
      </c>
      <c r="R61" s="26" t="e">
        <f t="shared" si="35"/>
        <v>#N/A</v>
      </c>
      <c r="T61" t="str">
        <f t="shared" si="5"/>
        <v>FR_SOL_PHO</v>
      </c>
      <c r="U61" t="str">
        <f t="shared" si="27"/>
        <v>FR0</v>
      </c>
      <c r="W61" t="s">
        <v>105</v>
      </c>
      <c r="X61" s="149">
        <v>6100.17</v>
      </c>
      <c r="Y61" s="149">
        <v>20535.284350296701</v>
      </c>
      <c r="Z61" s="149">
        <v>24531.672330268499</v>
      </c>
      <c r="AA61" s="149">
        <v>25381.672330268499</v>
      </c>
      <c r="AB61" s="149">
        <v>25731.672330268499</v>
      </c>
      <c r="AC61" s="149">
        <v>31850.081245220499</v>
      </c>
      <c r="AD61" s="149">
        <v>35312.334179876503</v>
      </c>
      <c r="AE61" s="149">
        <v>45200.004896947001</v>
      </c>
      <c r="AF61" s="149">
        <v>214642.89166314621</v>
      </c>
    </row>
    <row r="62" spans="1:45">
      <c r="A62" t="s">
        <v>4</v>
      </c>
      <c r="B62" t="s">
        <v>107</v>
      </c>
      <c r="C62" s="26">
        <f t="shared" si="34"/>
        <v>6100.17</v>
      </c>
      <c r="D62" s="26">
        <f t="shared" si="34"/>
        <v>20535.284350296701</v>
      </c>
      <c r="E62" s="26">
        <f t="shared" si="34"/>
        <v>24531.672330268499</v>
      </c>
      <c r="F62" s="26">
        <f t="shared" si="34"/>
        <v>25381.672330268499</v>
      </c>
      <c r="G62" s="26">
        <f t="shared" si="34"/>
        <v>25731.672330268499</v>
      </c>
      <c r="H62" s="26">
        <f t="shared" si="34"/>
        <v>31850.081245220499</v>
      </c>
      <c r="I62" s="26">
        <f t="shared" si="34"/>
        <v>35312.334179876503</v>
      </c>
      <c r="J62" s="26">
        <f t="shared" si="34"/>
        <v>45200.004896947001</v>
      </c>
      <c r="K62" s="26" t="e">
        <f t="shared" si="35"/>
        <v>#N/A</v>
      </c>
      <c r="L62" s="26" t="e">
        <f t="shared" si="35"/>
        <v>#N/A</v>
      </c>
      <c r="M62" s="26" t="e">
        <f t="shared" si="35"/>
        <v>#N/A</v>
      </c>
      <c r="N62" s="26" t="e">
        <f t="shared" si="35"/>
        <v>#N/A</v>
      </c>
      <c r="O62" s="26" t="e">
        <f t="shared" si="35"/>
        <v>#N/A</v>
      </c>
      <c r="P62" s="26" t="e">
        <f t="shared" si="35"/>
        <v>#N/A</v>
      </c>
      <c r="Q62" s="26" t="e">
        <f t="shared" si="35"/>
        <v>#N/A</v>
      </c>
      <c r="R62" s="26" t="e">
        <f t="shared" si="35"/>
        <v>#N/A</v>
      </c>
      <c r="T62" t="str">
        <f t="shared" si="5"/>
        <v>FR_WAS_ELC</v>
      </c>
      <c r="U62" t="str">
        <f t="shared" si="27"/>
        <v>FR0</v>
      </c>
      <c r="W62" t="s">
        <v>110</v>
      </c>
      <c r="X62" s="149">
        <v>779.92819999999995</v>
      </c>
      <c r="Y62" s="149">
        <v>1325.3763121995923</v>
      </c>
      <c r="Z62" s="149">
        <v>1509.656039216831</v>
      </c>
      <c r="AA62" s="149">
        <v>1571.5120080556321</v>
      </c>
      <c r="AB62" s="149">
        <v>1584.9702407563259</v>
      </c>
      <c r="AC62" s="149">
        <v>1606.7565199243179</v>
      </c>
      <c r="AD62" s="149">
        <v>1647.9244054451633</v>
      </c>
      <c r="AE62" s="149">
        <v>1665.206154022487</v>
      </c>
      <c r="AF62" s="149">
        <v>11691.329879620349</v>
      </c>
    </row>
    <row r="63" spans="1:45">
      <c r="A63" t="s">
        <v>4</v>
      </c>
      <c r="B63" t="s">
        <v>108</v>
      </c>
      <c r="C63" s="26">
        <f t="shared" si="34"/>
        <v>18904.953000000001</v>
      </c>
      <c r="D63" s="26">
        <f t="shared" si="34"/>
        <v>20056.8173441047</v>
      </c>
      <c r="E63" s="26">
        <f t="shared" si="34"/>
        <v>23014.953000000001</v>
      </c>
      <c r="F63" s="26">
        <f t="shared" si="34"/>
        <v>24562.015301829899</v>
      </c>
      <c r="G63" s="26">
        <f t="shared" si="34"/>
        <v>25711.015301829899</v>
      </c>
      <c r="H63" s="26">
        <f t="shared" si="34"/>
        <v>27050.465516039501</v>
      </c>
      <c r="I63" s="26">
        <f t="shared" si="34"/>
        <v>49227.450865438797</v>
      </c>
      <c r="J63" s="26">
        <f t="shared" si="34"/>
        <v>56764.634816520003</v>
      </c>
      <c r="K63" s="26" t="e">
        <f t="shared" si="35"/>
        <v>#N/A</v>
      </c>
      <c r="L63" s="26" t="e">
        <f t="shared" si="35"/>
        <v>#N/A</v>
      </c>
      <c r="M63" s="26" t="e">
        <f t="shared" si="35"/>
        <v>#N/A</v>
      </c>
      <c r="N63" s="26" t="e">
        <f t="shared" si="35"/>
        <v>#N/A</v>
      </c>
      <c r="O63" s="26" t="e">
        <f t="shared" si="35"/>
        <v>#N/A</v>
      </c>
      <c r="P63" s="26" t="e">
        <f t="shared" si="35"/>
        <v>#N/A</v>
      </c>
      <c r="Q63" s="26" t="e">
        <f t="shared" si="35"/>
        <v>#N/A</v>
      </c>
      <c r="R63" s="26" t="e">
        <f t="shared" si="35"/>
        <v>#N/A</v>
      </c>
      <c r="T63" t="str">
        <f t="shared" si="5"/>
        <v>FR_WIN_OFF</v>
      </c>
      <c r="U63" t="str">
        <f t="shared" si="27"/>
        <v>FR0</v>
      </c>
      <c r="W63" t="s">
        <v>115</v>
      </c>
      <c r="X63" s="149">
        <v>0</v>
      </c>
      <c r="Y63" s="149">
        <v>1659.7267559155648</v>
      </c>
      <c r="Z63" s="149">
        <v>4150.4089199417222</v>
      </c>
      <c r="AA63" s="149">
        <v>7856.5412190754469</v>
      </c>
      <c r="AB63" s="149">
        <v>7856.5412190754469</v>
      </c>
      <c r="AC63" s="149">
        <v>9416.0721782968085</v>
      </c>
      <c r="AD63" s="149">
        <v>10938.213369812502</v>
      </c>
      <c r="AE63" s="149">
        <v>14698.430882287914</v>
      </c>
      <c r="AF63" s="149">
        <v>56575.934544405405</v>
      </c>
    </row>
    <row r="64" spans="1:4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T64" t="str">
        <f t="shared" si="5"/>
        <v>FR_WIN_ONS</v>
      </c>
      <c r="U64" t="str">
        <f t="shared" si="27"/>
        <v>FR0</v>
      </c>
      <c r="W64" t="s">
        <v>120</v>
      </c>
      <c r="X64" s="149">
        <v>10358.200000000001</v>
      </c>
      <c r="Y64" s="149">
        <v>20469.963322958636</v>
      </c>
      <c r="Z64" s="149">
        <v>20979.281158932474</v>
      </c>
      <c r="AA64" s="149">
        <v>22914.911888970058</v>
      </c>
      <c r="AB64" s="149">
        <v>22914.911888970058</v>
      </c>
      <c r="AC64" s="149">
        <v>27463.543853365696</v>
      </c>
      <c r="AD64" s="149">
        <v>31903.122328619804</v>
      </c>
      <c r="AE64" s="149">
        <v>42870.423406673093</v>
      </c>
      <c r="AF64" s="149">
        <v>199874.35784848983</v>
      </c>
    </row>
    <row r="65" spans="1:32">
      <c r="A65" t="s">
        <v>4</v>
      </c>
      <c r="B65" t="s">
        <v>109</v>
      </c>
      <c r="C65" s="26">
        <f t="shared" ref="C65:J69" si="36">INDEX($X$5:$AE$79,MATCH($B65,$T$5:$T$79,0),MATCH(C$2,$X$4:$AE$4,0))</f>
        <v>237.13802433115077</v>
      </c>
      <c r="D65" s="26">
        <f t="shared" si="36"/>
        <v>291.1422053664491</v>
      </c>
      <c r="E65" s="26">
        <f t="shared" si="36"/>
        <v>286.23989228573964</v>
      </c>
      <c r="F65" s="26">
        <f t="shared" si="36"/>
        <v>304.51096743199309</v>
      </c>
      <c r="G65" s="26">
        <f t="shared" si="36"/>
        <v>301.93411311439871</v>
      </c>
      <c r="H65" s="26">
        <f t="shared" si="36"/>
        <v>386.7850316077446</v>
      </c>
      <c r="I65" s="26">
        <f t="shared" si="36"/>
        <v>371.20320588293902</v>
      </c>
      <c r="J65" s="26">
        <f t="shared" si="36"/>
        <v>316.77643131193724</v>
      </c>
      <c r="K65" s="26" t="e">
        <f t="shared" si="35"/>
        <v>#N/A</v>
      </c>
      <c r="L65" s="26" t="e">
        <f t="shared" si="35"/>
        <v>#N/A</v>
      </c>
      <c r="M65" s="26" t="e">
        <f t="shared" si="35"/>
        <v>#N/A</v>
      </c>
      <c r="N65" s="26" t="e">
        <f t="shared" si="35"/>
        <v>#N/A</v>
      </c>
      <c r="O65" s="26" t="e">
        <f t="shared" si="35"/>
        <v>#N/A</v>
      </c>
      <c r="P65" s="26" t="e">
        <f t="shared" si="35"/>
        <v>#N/A</v>
      </c>
      <c r="Q65" s="26" t="e">
        <f t="shared" si="35"/>
        <v>#N/A</v>
      </c>
      <c r="R65" s="26" t="e">
        <f t="shared" si="35"/>
        <v>#N/A</v>
      </c>
      <c r="T65" t="str">
        <f t="shared" si="5"/>
        <v>IT_BAL_ELC</v>
      </c>
      <c r="U65" t="str">
        <f>V65</f>
        <v>IT0</v>
      </c>
      <c r="V65" t="s">
        <v>17</v>
      </c>
      <c r="W65" t="s">
        <v>55</v>
      </c>
      <c r="X65" s="149">
        <v>2984.4095869118501</v>
      </c>
      <c r="Y65" s="149">
        <v>3734.3996342659284</v>
      </c>
      <c r="Z65" s="149">
        <v>3805.945295235153</v>
      </c>
      <c r="AA65" s="149">
        <v>3762.1678645948364</v>
      </c>
      <c r="AB65" s="149">
        <v>3860.927558151986</v>
      </c>
      <c r="AC65" s="149">
        <v>4724.8927970343557</v>
      </c>
      <c r="AD65" s="149">
        <v>4733.2848507149974</v>
      </c>
      <c r="AE65" s="149">
        <v>4676.9421972070086</v>
      </c>
      <c r="AF65" s="149">
        <v>32282.969784116114</v>
      </c>
    </row>
    <row r="66" spans="1:32">
      <c r="A66" t="s">
        <v>4</v>
      </c>
      <c r="B66" t="s">
        <v>111</v>
      </c>
      <c r="C66" s="26">
        <f t="shared" si="36"/>
        <v>439.268492108766</v>
      </c>
      <c r="D66" s="26">
        <f t="shared" si="36"/>
        <v>470.22880300472502</v>
      </c>
      <c r="E66" s="26">
        <f t="shared" si="36"/>
        <v>506.81826133631301</v>
      </c>
      <c r="F66" s="26">
        <f t="shared" si="36"/>
        <v>532.14942479664398</v>
      </c>
      <c r="G66" s="26">
        <f t="shared" si="36"/>
        <v>532.14942479664398</v>
      </c>
      <c r="H66" s="26">
        <f t="shared" si="36"/>
        <v>534.96399851445801</v>
      </c>
      <c r="I66" s="26">
        <f t="shared" si="36"/>
        <v>534.96399851445801</v>
      </c>
      <c r="J66" s="26">
        <f t="shared" si="36"/>
        <v>534.96399851445801</v>
      </c>
      <c r="K66" s="26" t="e">
        <f t="shared" si="35"/>
        <v>#N/A</v>
      </c>
      <c r="L66" s="26" t="e">
        <f t="shared" si="35"/>
        <v>#N/A</v>
      </c>
      <c r="M66" s="26" t="e">
        <f t="shared" si="35"/>
        <v>#N/A</v>
      </c>
      <c r="N66" s="26" t="e">
        <f t="shared" si="35"/>
        <v>#N/A</v>
      </c>
      <c r="O66" s="26" t="e">
        <f t="shared" si="35"/>
        <v>#N/A</v>
      </c>
      <c r="P66" s="26" t="e">
        <f t="shared" si="35"/>
        <v>#N/A</v>
      </c>
      <c r="Q66" s="26" t="e">
        <f t="shared" si="35"/>
        <v>#N/A</v>
      </c>
      <c r="R66" s="26" t="e">
        <f t="shared" si="35"/>
        <v>#N/A</v>
      </c>
      <c r="T66" t="str">
        <f t="shared" si="5"/>
        <v>IT_GAS_LIN</v>
      </c>
      <c r="U66" t="str">
        <f>U65</f>
        <v>IT0</v>
      </c>
      <c r="W66" t="s">
        <v>60</v>
      </c>
      <c r="X66" s="149">
        <v>52044.520140000001</v>
      </c>
      <c r="Y66" s="149">
        <v>51352.575464723202</v>
      </c>
      <c r="Z66" s="149">
        <v>47623.093404199499</v>
      </c>
      <c r="AA66" s="149">
        <v>41739.442986253198</v>
      </c>
      <c r="AB66" s="149">
        <v>35862.127868081101</v>
      </c>
      <c r="AC66" s="149">
        <v>35862.127868081101</v>
      </c>
      <c r="AD66" s="149">
        <v>35862.127868081101</v>
      </c>
      <c r="AE66" s="149">
        <v>35862.127868081101</v>
      </c>
      <c r="AF66" s="149">
        <v>336208.14346750028</v>
      </c>
    </row>
    <row r="67" spans="1:32">
      <c r="A67" t="s">
        <v>4</v>
      </c>
      <c r="B67" t="s">
        <v>112</v>
      </c>
      <c r="C67" s="26">
        <f t="shared" si="36"/>
        <v>1924</v>
      </c>
      <c r="D67" s="26">
        <f t="shared" si="36"/>
        <v>1924</v>
      </c>
      <c r="E67" s="26">
        <f t="shared" si="36"/>
        <v>1924</v>
      </c>
      <c r="F67" s="26">
        <f t="shared" si="36"/>
        <v>1924</v>
      </c>
      <c r="G67" s="26">
        <f t="shared" si="36"/>
        <v>1924</v>
      </c>
      <c r="H67" s="26">
        <f t="shared" si="36"/>
        <v>1924</v>
      </c>
      <c r="I67" s="26">
        <f t="shared" si="36"/>
        <v>1924</v>
      </c>
      <c r="J67" s="26">
        <f t="shared" si="36"/>
        <v>1924</v>
      </c>
      <c r="K67" s="26" t="e">
        <f t="shared" si="35"/>
        <v>#N/A</v>
      </c>
      <c r="L67" s="26" t="e">
        <f t="shared" si="35"/>
        <v>#N/A</v>
      </c>
      <c r="M67" s="26" t="e">
        <f t="shared" si="35"/>
        <v>#N/A</v>
      </c>
      <c r="N67" s="26" t="e">
        <f t="shared" si="35"/>
        <v>#N/A</v>
      </c>
      <c r="O67" s="26" t="e">
        <f t="shared" si="35"/>
        <v>#N/A</v>
      </c>
      <c r="P67" s="26" t="e">
        <f t="shared" si="35"/>
        <v>#N/A</v>
      </c>
      <c r="Q67" s="26" t="e">
        <f t="shared" si="35"/>
        <v>#N/A</v>
      </c>
      <c r="R67" s="26" t="e">
        <f t="shared" si="35"/>
        <v>#N/A</v>
      </c>
      <c r="T67" t="str">
        <f t="shared" si="5"/>
        <v>IT_GAS_NEW</v>
      </c>
      <c r="U67" t="str">
        <f t="shared" ref="U67:U79" si="37">U66</f>
        <v>IT0</v>
      </c>
      <c r="W67" t="s">
        <v>441</v>
      </c>
      <c r="X67" s="149">
        <v>0</v>
      </c>
      <c r="Y67" s="149">
        <v>0</v>
      </c>
      <c r="Z67" s="149">
        <v>0</v>
      </c>
      <c r="AA67" s="149">
        <v>0</v>
      </c>
      <c r="AB67" s="149">
        <v>0</v>
      </c>
      <c r="AC67" s="149">
        <v>9350.9504850730955</v>
      </c>
      <c r="AD67" s="149">
        <v>9219.3718435810006</v>
      </c>
      <c r="AE67" s="149">
        <v>9199.5035090357997</v>
      </c>
      <c r="AF67" s="149">
        <v>27769.825837689896</v>
      </c>
    </row>
    <row r="68" spans="1:32">
      <c r="A68" t="s">
        <v>4</v>
      </c>
      <c r="B68" t="s">
        <v>113</v>
      </c>
      <c r="C68" s="26">
        <f t="shared" si="36"/>
        <v>779.92819999999995</v>
      </c>
      <c r="D68" s="26">
        <f t="shared" si="36"/>
        <v>1325.3763121995923</v>
      </c>
      <c r="E68" s="26">
        <f t="shared" si="36"/>
        <v>1509.656039216831</v>
      </c>
      <c r="F68" s="26">
        <f t="shared" si="36"/>
        <v>1571.5120080556321</v>
      </c>
      <c r="G68" s="26">
        <f t="shared" si="36"/>
        <v>1584.9702407563259</v>
      </c>
      <c r="H68" s="26">
        <f t="shared" si="36"/>
        <v>1606.7565199243179</v>
      </c>
      <c r="I68" s="26">
        <f t="shared" si="36"/>
        <v>1647.9244054451633</v>
      </c>
      <c r="J68" s="26">
        <f t="shared" si="36"/>
        <v>1665.206154022487</v>
      </c>
      <c r="K68" s="26" t="e">
        <f t="shared" si="35"/>
        <v>#N/A</v>
      </c>
      <c r="L68" s="26" t="e">
        <f t="shared" si="35"/>
        <v>#N/A</v>
      </c>
      <c r="M68" s="26" t="e">
        <f t="shared" si="35"/>
        <v>#N/A</v>
      </c>
      <c r="N68" s="26" t="e">
        <f t="shared" si="35"/>
        <v>#N/A</v>
      </c>
      <c r="O68" s="26" t="e">
        <f t="shared" si="35"/>
        <v>#N/A</v>
      </c>
      <c r="P68" s="26" t="e">
        <f t="shared" si="35"/>
        <v>#N/A</v>
      </c>
      <c r="Q68" s="26" t="e">
        <f t="shared" si="35"/>
        <v>#N/A</v>
      </c>
      <c r="R68" s="26" t="e">
        <f t="shared" si="35"/>
        <v>#N/A</v>
      </c>
      <c r="T68" t="str">
        <f t="shared" si="5"/>
        <v>IT_GEO_ELC</v>
      </c>
      <c r="U68" t="str">
        <f t="shared" si="37"/>
        <v>IT0</v>
      </c>
      <c r="W68" t="s">
        <v>65</v>
      </c>
      <c r="X68" s="149">
        <v>773</v>
      </c>
      <c r="Y68" s="149">
        <v>773</v>
      </c>
      <c r="Z68" s="149">
        <v>773</v>
      </c>
      <c r="AA68" s="149">
        <v>773</v>
      </c>
      <c r="AB68" s="149">
        <v>773</v>
      </c>
      <c r="AC68" s="149">
        <v>773</v>
      </c>
      <c r="AD68" s="149">
        <v>692</v>
      </c>
      <c r="AE68" s="149">
        <v>692</v>
      </c>
      <c r="AF68" s="149">
        <v>6022</v>
      </c>
    </row>
    <row r="69" spans="1:32">
      <c r="A69" t="s">
        <v>4</v>
      </c>
      <c r="B69" t="s">
        <v>114</v>
      </c>
      <c r="C69" s="26">
        <f t="shared" si="36"/>
        <v>916.759056476757</v>
      </c>
      <c r="D69" s="26">
        <f t="shared" si="36"/>
        <v>1147.1430396922588</v>
      </c>
      <c r="E69" s="26">
        <f t="shared" si="36"/>
        <v>1169.1206304803327</v>
      </c>
      <c r="F69" s="26">
        <f t="shared" si="36"/>
        <v>1155.6729602326564</v>
      </c>
      <c r="G69" s="26">
        <f t="shared" si="36"/>
        <v>1186.0102315912679</v>
      </c>
      <c r="H69" s="26">
        <f t="shared" si="36"/>
        <v>1451.4054242283808</v>
      </c>
      <c r="I69" s="26">
        <f t="shared" si="36"/>
        <v>1453.9833181099407</v>
      </c>
      <c r="J69" s="26">
        <f t="shared" si="36"/>
        <v>1436.6758285160511</v>
      </c>
      <c r="K69" s="26" t="e">
        <f t="shared" si="35"/>
        <v>#N/A</v>
      </c>
      <c r="L69" s="26" t="e">
        <f t="shared" si="35"/>
        <v>#N/A</v>
      </c>
      <c r="M69" s="26" t="e">
        <f t="shared" si="35"/>
        <v>#N/A</v>
      </c>
      <c r="N69" s="26" t="e">
        <f t="shared" si="35"/>
        <v>#N/A</v>
      </c>
      <c r="O69" s="26" t="e">
        <f t="shared" si="35"/>
        <v>#N/A</v>
      </c>
      <c r="P69" s="26" t="e">
        <f t="shared" si="35"/>
        <v>#N/A</v>
      </c>
      <c r="Q69" s="26" t="e">
        <f t="shared" si="35"/>
        <v>#N/A</v>
      </c>
      <c r="R69" s="26" t="e">
        <f t="shared" si="35"/>
        <v>#N/A</v>
      </c>
      <c r="T69" t="str">
        <f t="shared" si="5"/>
        <v>IT_HCO_LIN</v>
      </c>
      <c r="U69" t="str">
        <f t="shared" si="37"/>
        <v>IT0</v>
      </c>
      <c r="W69" t="s">
        <v>70</v>
      </c>
      <c r="X69" s="149">
        <v>9511.49</v>
      </c>
      <c r="Y69" s="149">
        <v>8858.0188836439702</v>
      </c>
      <c r="Z69" s="149">
        <v>5103.4988836439697</v>
      </c>
      <c r="AA69" s="149">
        <v>5098.3688836439696</v>
      </c>
      <c r="AB69" s="149">
        <v>4803.0488836439699</v>
      </c>
      <c r="AC69" s="149">
        <v>2226.1288836439699</v>
      </c>
      <c r="AD69" s="149">
        <v>2214.1688836439698</v>
      </c>
      <c r="AE69" s="149">
        <v>1901.3688836439701</v>
      </c>
      <c r="AF69" s="149">
        <v>39716.09218550779</v>
      </c>
    </row>
    <row r="70" spans="1:32">
      <c r="C70" s="26"/>
      <c r="D70" s="26"/>
      <c r="E70" s="26"/>
      <c r="F70" s="26"/>
      <c r="G70" s="26"/>
      <c r="H70" s="26"/>
      <c r="I70" s="26"/>
      <c r="J70" s="26"/>
      <c r="T70" t="str">
        <f t="shared" ref="T70:T79" si="38">LEFT(U70,2)&amp;"_"&amp;W70</f>
        <v>IT_HYD_RES</v>
      </c>
      <c r="U70" t="str">
        <f t="shared" si="37"/>
        <v>IT0</v>
      </c>
      <c r="W70" t="s">
        <v>75</v>
      </c>
      <c r="X70" s="149">
        <v>13283.903822146958</v>
      </c>
      <c r="Y70" s="149">
        <v>13496.518624744273</v>
      </c>
      <c r="Z70" s="149">
        <v>13496.518624744273</v>
      </c>
      <c r="AA70" s="149">
        <v>13590.171839652838</v>
      </c>
      <c r="AB70" s="149">
        <v>13780.953138281482</v>
      </c>
      <c r="AC70" s="149">
        <v>13934.020037692526</v>
      </c>
      <c r="AD70" s="149">
        <v>14010.198308841032</v>
      </c>
      <c r="AE70" s="149">
        <v>14055.967847201959</v>
      </c>
      <c r="AF70" s="149">
        <v>109648.25224330534</v>
      </c>
    </row>
    <row r="71" spans="1:32">
      <c r="A71" t="s">
        <v>4</v>
      </c>
      <c r="B71" t="s">
        <v>116</v>
      </c>
      <c r="C71" s="26">
        <f t="shared" ref="C71:J72" si="39">INDEX($X$5:$AE$79,MATCH($B71,$T$5:$T$79,0),MATCH(C$2,$X$4:$AE$4,0))</f>
        <v>3663.6067594433389</v>
      </c>
      <c r="D71" s="26">
        <f t="shared" si="39"/>
        <v>6736.0132875753279</v>
      </c>
      <c r="E71" s="26">
        <f t="shared" si="39"/>
        <v>8881.0852275439665</v>
      </c>
      <c r="F71" s="26">
        <f t="shared" si="39"/>
        <v>11931.470763108709</v>
      </c>
      <c r="G71" s="26">
        <f t="shared" si="39"/>
        <v>13761.477234318272</v>
      </c>
      <c r="H71" s="26">
        <f t="shared" si="39"/>
        <v>14209.950655273055</v>
      </c>
      <c r="I71" s="26">
        <f t="shared" si="39"/>
        <v>16633.528340732239</v>
      </c>
      <c r="J71" s="26">
        <f t="shared" si="39"/>
        <v>17720.148155198676</v>
      </c>
      <c r="K71" s="26" t="e">
        <f t="shared" si="35"/>
        <v>#N/A</v>
      </c>
      <c r="L71" s="26" t="e">
        <f t="shared" si="35"/>
        <v>#N/A</v>
      </c>
      <c r="M71" s="26" t="e">
        <f t="shared" si="35"/>
        <v>#N/A</v>
      </c>
      <c r="N71" s="26" t="e">
        <f t="shared" si="35"/>
        <v>#N/A</v>
      </c>
      <c r="O71" s="26" t="e">
        <f t="shared" si="35"/>
        <v>#N/A</v>
      </c>
      <c r="P71" s="26" t="e">
        <f t="shared" si="35"/>
        <v>#N/A</v>
      </c>
      <c r="Q71" s="26" t="e">
        <f t="shared" si="35"/>
        <v>#N/A</v>
      </c>
      <c r="R71" s="26" t="e">
        <f t="shared" si="35"/>
        <v>#N/A</v>
      </c>
      <c r="T71" t="str">
        <f t="shared" si="38"/>
        <v>IT_HYD_ROR</v>
      </c>
      <c r="U71" t="str">
        <f t="shared" si="37"/>
        <v>IT0</v>
      </c>
      <c r="W71" t="s">
        <v>80</v>
      </c>
      <c r="X71" s="149">
        <v>5228.0961778530418</v>
      </c>
      <c r="Y71" s="149">
        <v>5311.7741878489278</v>
      </c>
      <c r="Z71" s="149">
        <v>5311.7741878489278</v>
      </c>
      <c r="AA71" s="149">
        <v>5348.6329321956609</v>
      </c>
      <c r="AB71" s="149">
        <v>5423.7180119674185</v>
      </c>
      <c r="AC71" s="149">
        <v>5483.9599771668736</v>
      </c>
      <c r="AD71" s="149">
        <v>5513.9411734747673</v>
      </c>
      <c r="AE71" s="149">
        <v>5531.9545189318396</v>
      </c>
      <c r="AF71" s="149">
        <v>43153.851167287459</v>
      </c>
    </row>
    <row r="72" spans="1:32">
      <c r="A72" t="s">
        <v>4</v>
      </c>
      <c r="B72" t="s">
        <v>117</v>
      </c>
      <c r="C72" s="26">
        <f t="shared" si="39"/>
        <v>0</v>
      </c>
      <c r="D72" s="26">
        <f t="shared" si="39"/>
        <v>1659.7267559155648</v>
      </c>
      <c r="E72" s="26">
        <f t="shared" si="39"/>
        <v>4150.4089199417222</v>
      </c>
      <c r="F72" s="26">
        <f t="shared" si="39"/>
        <v>7856.5412190754469</v>
      </c>
      <c r="G72" s="26">
        <f t="shared" si="39"/>
        <v>7856.5412190754469</v>
      </c>
      <c r="H72" s="26">
        <f t="shared" si="39"/>
        <v>9416.0721782968085</v>
      </c>
      <c r="I72" s="26">
        <f t="shared" si="39"/>
        <v>10938.213369812502</v>
      </c>
      <c r="J72" s="26">
        <f t="shared" si="39"/>
        <v>14698.430882287914</v>
      </c>
      <c r="K72" s="26" t="e">
        <f t="shared" si="35"/>
        <v>#N/A</v>
      </c>
      <c r="L72" s="26" t="e">
        <f t="shared" si="35"/>
        <v>#N/A</v>
      </c>
      <c r="M72" s="26" t="e">
        <f t="shared" si="35"/>
        <v>#N/A</v>
      </c>
      <c r="N72" s="26" t="e">
        <f t="shared" si="35"/>
        <v>#N/A</v>
      </c>
      <c r="O72" s="26" t="e">
        <f t="shared" si="35"/>
        <v>#N/A</v>
      </c>
      <c r="P72" s="26" t="e">
        <f t="shared" si="35"/>
        <v>#N/A</v>
      </c>
      <c r="Q72" s="26" t="e">
        <f t="shared" si="35"/>
        <v>#N/A</v>
      </c>
      <c r="R72" s="26" t="e">
        <f t="shared" si="35"/>
        <v>#N/A</v>
      </c>
      <c r="T72" t="str">
        <f t="shared" si="38"/>
        <v>IT_HYD_STO</v>
      </c>
      <c r="U72" t="str">
        <f t="shared" si="37"/>
        <v>IT0</v>
      </c>
      <c r="W72" t="s">
        <v>85</v>
      </c>
      <c r="X72" s="149">
        <v>3795.9</v>
      </c>
      <c r="Y72" s="149">
        <v>3795.9</v>
      </c>
      <c r="Z72" s="149">
        <v>3795.9</v>
      </c>
      <c r="AA72" s="149">
        <v>3795.9</v>
      </c>
      <c r="AB72" s="149">
        <v>3795.9</v>
      </c>
      <c r="AC72" s="149">
        <v>3795.9</v>
      </c>
      <c r="AD72" s="149">
        <v>3795.9</v>
      </c>
      <c r="AE72" s="149">
        <v>3795.9</v>
      </c>
      <c r="AF72" s="149">
        <v>30367.200000000004</v>
      </c>
    </row>
    <row r="73" spans="1:32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T73" t="str">
        <f t="shared" si="38"/>
        <v>IT_LIG_LIN</v>
      </c>
      <c r="U73" t="str">
        <f t="shared" si="37"/>
        <v>IT0</v>
      </c>
      <c r="W73" t="s">
        <v>91</v>
      </c>
      <c r="X73" s="149">
        <v>0</v>
      </c>
      <c r="Y73" s="149">
        <v>0</v>
      </c>
      <c r="Z73" s="149">
        <v>0</v>
      </c>
      <c r="AA73" s="149">
        <v>0</v>
      </c>
      <c r="AB73" s="149">
        <v>0</v>
      </c>
      <c r="AC73" s="149">
        <v>0</v>
      </c>
      <c r="AD73" s="149">
        <v>0</v>
      </c>
      <c r="AE73" s="149">
        <v>0</v>
      </c>
      <c r="AF73" s="149">
        <v>0</v>
      </c>
    </row>
    <row r="74" spans="1:32">
      <c r="A74" t="s">
        <v>4</v>
      </c>
      <c r="B74" t="s">
        <v>118</v>
      </c>
      <c r="C74" s="26">
        <f t="shared" ref="C74:J78" si="40">INDEX($X$5:$AE$79,MATCH($B74,$T$5:$T$79,0),MATCH(C$2,$X$4:$AE$4,0))</f>
        <v>2411.5</v>
      </c>
      <c r="D74" s="26">
        <f t="shared" si="40"/>
        <v>2582.7889976764</v>
      </c>
      <c r="E74" s="26">
        <f t="shared" si="40"/>
        <v>3663.84</v>
      </c>
      <c r="F74" s="26">
        <f t="shared" si="40"/>
        <v>4544.5888077801101</v>
      </c>
      <c r="G74" s="26">
        <f t="shared" si="40"/>
        <v>4544.5888077801101</v>
      </c>
      <c r="H74" s="26">
        <f t="shared" si="40"/>
        <v>5025.6844286095502</v>
      </c>
      <c r="I74" s="26">
        <f t="shared" si="40"/>
        <v>5986.2263881033696</v>
      </c>
      <c r="J74" s="26">
        <f t="shared" si="40"/>
        <v>6802.6646620974898</v>
      </c>
      <c r="K74" s="26" t="e">
        <f t="shared" si="35"/>
        <v>#N/A</v>
      </c>
      <c r="L74" s="26" t="e">
        <f t="shared" si="35"/>
        <v>#N/A</v>
      </c>
      <c r="M74" s="26" t="e">
        <f t="shared" si="35"/>
        <v>#N/A</v>
      </c>
      <c r="N74" s="26" t="e">
        <f t="shared" si="35"/>
        <v>#N/A</v>
      </c>
      <c r="O74" s="26" t="e">
        <f t="shared" si="35"/>
        <v>#N/A</v>
      </c>
      <c r="P74" s="26" t="e">
        <f t="shared" si="35"/>
        <v>#N/A</v>
      </c>
      <c r="Q74" s="26" t="e">
        <f t="shared" si="35"/>
        <v>#N/A</v>
      </c>
      <c r="R74" s="26" t="e">
        <f t="shared" si="35"/>
        <v>#N/A</v>
      </c>
      <c r="T74" t="str">
        <f t="shared" si="38"/>
        <v>IT_NUC_ELC</v>
      </c>
      <c r="U74" t="str">
        <f t="shared" si="37"/>
        <v>IT0</v>
      </c>
      <c r="W74" t="s">
        <v>95</v>
      </c>
      <c r="X74" s="149">
        <v>0</v>
      </c>
      <c r="Y74" s="149">
        <v>0</v>
      </c>
      <c r="Z74" s="149">
        <v>0</v>
      </c>
      <c r="AA74" s="149">
        <v>0</v>
      </c>
      <c r="AB74" s="149">
        <v>0</v>
      </c>
      <c r="AC74" s="149">
        <v>0</v>
      </c>
      <c r="AD74" s="149">
        <v>0</v>
      </c>
      <c r="AE74" s="149">
        <v>0</v>
      </c>
      <c r="AF74" s="149">
        <v>0</v>
      </c>
    </row>
    <row r="75" spans="1:32">
      <c r="A75" t="s">
        <v>4</v>
      </c>
      <c r="B75" t="s">
        <v>119</v>
      </c>
      <c r="C75" s="26">
        <f t="shared" si="40"/>
        <v>60.287999999999997</v>
      </c>
      <c r="D75" s="26">
        <f t="shared" si="40"/>
        <v>240.568875087078</v>
      </c>
      <c r="E75" s="26">
        <f t="shared" si="40"/>
        <v>432.48077437332302</v>
      </c>
      <c r="F75" s="26">
        <f t="shared" si="40"/>
        <v>705.80984305373204</v>
      </c>
      <c r="G75" s="26">
        <f t="shared" si="40"/>
        <v>880.27520604122697</v>
      </c>
      <c r="H75" s="26">
        <f t="shared" si="40"/>
        <v>1362.96271030663</v>
      </c>
      <c r="I75" s="26">
        <f t="shared" si="40"/>
        <v>1851.4657266716199</v>
      </c>
      <c r="J75" s="26">
        <f t="shared" si="40"/>
        <v>2334.15323093702</v>
      </c>
      <c r="K75" s="26" t="e">
        <f t="shared" ref="K75:R75" si="41">INDEX($AK$35:$AR$54,MATCH($B75,$AG$35:$AG$54,0),MATCH(K$2,$AK$34:$AR$34,0))</f>
        <v>#N/A</v>
      </c>
      <c r="L75" s="26" t="e">
        <f t="shared" si="41"/>
        <v>#N/A</v>
      </c>
      <c r="M75" s="26" t="e">
        <f t="shared" si="41"/>
        <v>#N/A</v>
      </c>
      <c r="N75" s="26" t="e">
        <f t="shared" si="41"/>
        <v>#N/A</v>
      </c>
      <c r="O75" s="26" t="e">
        <f t="shared" si="41"/>
        <v>#N/A</v>
      </c>
      <c r="P75" s="26" t="e">
        <f t="shared" si="41"/>
        <v>#N/A</v>
      </c>
      <c r="Q75" s="26" t="e">
        <f t="shared" si="41"/>
        <v>#N/A</v>
      </c>
      <c r="R75" s="26" t="e">
        <f t="shared" si="41"/>
        <v>#N/A</v>
      </c>
      <c r="T75" t="str">
        <f t="shared" si="38"/>
        <v>IT_OIL_LIN</v>
      </c>
      <c r="U75" t="str">
        <f t="shared" si="37"/>
        <v>IT0</v>
      </c>
      <c r="W75" t="s">
        <v>100</v>
      </c>
      <c r="X75" s="149">
        <v>13927.99768</v>
      </c>
      <c r="Y75" s="149">
        <v>8629.2116280374794</v>
      </c>
      <c r="Z75" s="149">
        <v>6039.6877909933601</v>
      </c>
      <c r="AA75" s="149">
        <v>2331.9670034559199</v>
      </c>
      <c r="AB75" s="149">
        <v>797.77677413312904</v>
      </c>
      <c r="AC75" s="149">
        <v>603.40888901077199</v>
      </c>
      <c r="AD75" s="149">
        <v>483.39818350521301</v>
      </c>
      <c r="AE75" s="149">
        <v>128.12163478751401</v>
      </c>
      <c r="AF75" s="149">
        <v>32941.569583923389</v>
      </c>
    </row>
    <row r="76" spans="1:32">
      <c r="A76" t="s">
        <v>4</v>
      </c>
      <c r="B76" t="s">
        <v>121</v>
      </c>
      <c r="C76" s="26">
        <f t="shared" si="40"/>
        <v>41282.593240556656</v>
      </c>
      <c r="D76" s="26">
        <f t="shared" si="40"/>
        <v>55095.964664733372</v>
      </c>
      <c r="E76" s="26">
        <f t="shared" si="40"/>
        <v>53125.67178826443</v>
      </c>
      <c r="F76" s="26">
        <f t="shared" si="40"/>
        <v>55282.481202403687</v>
      </c>
      <c r="G76" s="26">
        <f t="shared" si="40"/>
        <v>53452.474731194125</v>
      </c>
      <c r="H76" s="26">
        <f t="shared" si="40"/>
        <v>55194.439913639544</v>
      </c>
      <c r="I76" s="26">
        <f t="shared" si="40"/>
        <v>64608.12587084416</v>
      </c>
      <c r="J76" s="26">
        <f t="shared" si="40"/>
        <v>68828.785992298013</v>
      </c>
      <c r="K76" s="26" t="e">
        <f t="shared" ref="K76:R78" si="42">INDEX($AK$35:$AR$54,MATCH($B76,$AG$35:$AG$54,0),MATCH(K$2,$AK$34:$AR$34,0))</f>
        <v>#N/A</v>
      </c>
      <c r="L76" s="26" t="e">
        <f t="shared" si="42"/>
        <v>#N/A</v>
      </c>
      <c r="M76" s="26" t="e">
        <f t="shared" si="42"/>
        <v>#N/A</v>
      </c>
      <c r="N76" s="26" t="e">
        <f t="shared" si="42"/>
        <v>#N/A</v>
      </c>
      <c r="O76" s="26" t="e">
        <f t="shared" si="42"/>
        <v>#N/A</v>
      </c>
      <c r="P76" s="26" t="e">
        <f t="shared" si="42"/>
        <v>#N/A</v>
      </c>
      <c r="Q76" s="26" t="e">
        <f t="shared" si="42"/>
        <v>#N/A</v>
      </c>
      <c r="R76" s="26" t="e">
        <f t="shared" si="42"/>
        <v>#N/A</v>
      </c>
      <c r="T76" t="str">
        <f t="shared" si="38"/>
        <v>IT_SOL_PHO</v>
      </c>
      <c r="U76" t="str">
        <f t="shared" si="37"/>
        <v>IT0</v>
      </c>
      <c r="W76" t="s">
        <v>105</v>
      </c>
      <c r="X76" s="149">
        <v>18904.953000000001</v>
      </c>
      <c r="Y76" s="149">
        <v>20056.8173441047</v>
      </c>
      <c r="Z76" s="149">
        <v>23014.953000000001</v>
      </c>
      <c r="AA76" s="149">
        <v>24562.015301829899</v>
      </c>
      <c r="AB76" s="149">
        <v>25711.015301829899</v>
      </c>
      <c r="AC76" s="149">
        <v>27050.465516039501</v>
      </c>
      <c r="AD76" s="149">
        <v>49227.450865438797</v>
      </c>
      <c r="AE76" s="149">
        <v>56764.634816520003</v>
      </c>
      <c r="AF76" s="149">
        <v>245292.3051457628</v>
      </c>
    </row>
    <row r="77" spans="1:32">
      <c r="A77" t="s">
        <v>4</v>
      </c>
      <c r="B77" t="s">
        <v>122</v>
      </c>
      <c r="C77" s="26">
        <f t="shared" si="40"/>
        <v>10358.200000000001</v>
      </c>
      <c r="D77" s="26">
        <f t="shared" si="40"/>
        <v>20469.963322958636</v>
      </c>
      <c r="E77" s="26">
        <f t="shared" si="40"/>
        <v>20979.281158932474</v>
      </c>
      <c r="F77" s="26">
        <f t="shared" si="40"/>
        <v>22914.911888970058</v>
      </c>
      <c r="G77" s="26">
        <f t="shared" si="40"/>
        <v>22914.911888970058</v>
      </c>
      <c r="H77" s="26">
        <f t="shared" si="40"/>
        <v>27463.543853365696</v>
      </c>
      <c r="I77" s="26">
        <f t="shared" si="40"/>
        <v>31903.122328619804</v>
      </c>
      <c r="J77" s="26">
        <f t="shared" si="40"/>
        <v>42870.423406673093</v>
      </c>
      <c r="K77" s="26" t="e">
        <f t="shared" si="42"/>
        <v>#N/A</v>
      </c>
      <c r="L77" s="26" t="e">
        <f t="shared" si="42"/>
        <v>#N/A</v>
      </c>
      <c r="M77" s="26" t="e">
        <f t="shared" si="42"/>
        <v>#N/A</v>
      </c>
      <c r="N77" s="26" t="e">
        <f t="shared" si="42"/>
        <v>#N/A</v>
      </c>
      <c r="O77" s="26" t="e">
        <f t="shared" si="42"/>
        <v>#N/A</v>
      </c>
      <c r="P77" s="26" t="e">
        <f t="shared" si="42"/>
        <v>#N/A</v>
      </c>
      <c r="Q77" s="26" t="e">
        <f t="shared" si="42"/>
        <v>#N/A</v>
      </c>
      <c r="R77" s="26" t="e">
        <f t="shared" si="42"/>
        <v>#N/A</v>
      </c>
      <c r="T77" t="str">
        <f t="shared" si="38"/>
        <v>IT_WAS_ELC</v>
      </c>
      <c r="U77" t="str">
        <f t="shared" si="37"/>
        <v>IT0</v>
      </c>
      <c r="W77" t="s">
        <v>110</v>
      </c>
      <c r="X77" s="149">
        <v>916.759056476757</v>
      </c>
      <c r="Y77" s="149">
        <v>1147.1430396922588</v>
      </c>
      <c r="Z77" s="149">
        <v>1169.1206304803327</v>
      </c>
      <c r="AA77" s="149">
        <v>1155.6729602326564</v>
      </c>
      <c r="AB77" s="149">
        <v>1186.0102315912679</v>
      </c>
      <c r="AC77" s="149">
        <v>1451.4054242283808</v>
      </c>
      <c r="AD77" s="149">
        <v>1453.9833181099407</v>
      </c>
      <c r="AE77" s="149">
        <v>1436.6758285160511</v>
      </c>
      <c r="AF77" s="149">
        <v>9916.7704893276459</v>
      </c>
    </row>
    <row r="78" spans="1:32">
      <c r="A78" t="s">
        <v>4</v>
      </c>
      <c r="B78" t="s">
        <v>123</v>
      </c>
      <c r="C78" s="26">
        <f t="shared" si="40"/>
        <v>8957.7999999999993</v>
      </c>
      <c r="D78" s="26">
        <f t="shared" si="40"/>
        <v>8963.4827562516202</v>
      </c>
      <c r="E78" s="26">
        <f t="shared" si="40"/>
        <v>12569.6664818425</v>
      </c>
      <c r="F78" s="26">
        <f t="shared" si="40"/>
        <v>15577.442076106499</v>
      </c>
      <c r="G78" s="26">
        <f t="shared" si="40"/>
        <v>15846.2694302456</v>
      </c>
      <c r="H78" s="26">
        <f t="shared" si="40"/>
        <v>17735.692239690401</v>
      </c>
      <c r="I78" s="26">
        <f t="shared" si="40"/>
        <v>19793.164398544501</v>
      </c>
      <c r="J78" s="26">
        <f t="shared" si="40"/>
        <v>25957.2787707973</v>
      </c>
      <c r="K78" s="26" t="e">
        <f t="shared" si="42"/>
        <v>#N/A</v>
      </c>
      <c r="L78" s="26" t="e">
        <f t="shared" si="42"/>
        <v>#N/A</v>
      </c>
      <c r="M78" s="26" t="e">
        <f t="shared" si="42"/>
        <v>#N/A</v>
      </c>
      <c r="N78" s="26" t="e">
        <f t="shared" si="42"/>
        <v>#N/A</v>
      </c>
      <c r="O78" s="26" t="e">
        <f t="shared" si="42"/>
        <v>#N/A</v>
      </c>
      <c r="P78" s="26" t="e">
        <f t="shared" si="42"/>
        <v>#N/A</v>
      </c>
      <c r="Q78" s="26" t="e">
        <f t="shared" si="42"/>
        <v>#N/A</v>
      </c>
      <c r="R78" s="26" t="e">
        <f t="shared" si="42"/>
        <v>#N/A</v>
      </c>
      <c r="T78" t="str">
        <f t="shared" si="38"/>
        <v>IT_WIN_OFF</v>
      </c>
      <c r="U78" t="str">
        <f t="shared" si="37"/>
        <v>IT0</v>
      </c>
      <c r="W78" t="s">
        <v>115</v>
      </c>
      <c r="X78" s="149">
        <v>0</v>
      </c>
      <c r="Y78" s="149">
        <v>0</v>
      </c>
      <c r="Z78" s="149">
        <v>0</v>
      </c>
      <c r="AA78" s="149">
        <v>0</v>
      </c>
      <c r="AB78" s="149">
        <v>0</v>
      </c>
      <c r="AC78" s="149">
        <v>0</v>
      </c>
      <c r="AD78" s="149">
        <v>0</v>
      </c>
      <c r="AE78" s="149">
        <v>0</v>
      </c>
      <c r="AF78" s="149">
        <v>0</v>
      </c>
    </row>
    <row r="79" spans="1:32">
      <c r="T79" t="str">
        <f t="shared" si="38"/>
        <v>IT_WIN_ONS</v>
      </c>
      <c r="U79" t="str">
        <f t="shared" si="37"/>
        <v>IT0</v>
      </c>
      <c r="W79" t="s">
        <v>120</v>
      </c>
      <c r="X79" s="149">
        <v>8957.7999999999993</v>
      </c>
      <c r="Y79" s="149">
        <v>8963.4827562516202</v>
      </c>
      <c r="Z79" s="149">
        <v>12569.6664818425</v>
      </c>
      <c r="AA79" s="149">
        <v>15577.442076106499</v>
      </c>
      <c r="AB79" s="149">
        <v>15846.2694302456</v>
      </c>
      <c r="AC79" s="149">
        <v>17735.692239690401</v>
      </c>
      <c r="AD79" s="149">
        <v>19793.164398544501</v>
      </c>
      <c r="AE79" s="149">
        <v>25957.2787707973</v>
      </c>
      <c r="AF79" s="149">
        <v>125400.79615347841</v>
      </c>
    </row>
    <row r="80" spans="1:32">
      <c r="V80" t="s">
        <v>434</v>
      </c>
      <c r="X80" s="149">
        <v>494747.31444500847</v>
      </c>
      <c r="Y80" s="149">
        <v>532448.09434540861</v>
      </c>
      <c r="Z80" s="149">
        <v>527493.49541609443</v>
      </c>
      <c r="AA80" s="149">
        <v>541832.8534578305</v>
      </c>
      <c r="AB80" s="149">
        <v>544636.60904060747</v>
      </c>
      <c r="AC80" s="149">
        <v>572801.6901547045</v>
      </c>
      <c r="AD80" s="149">
        <v>628547.52586323197</v>
      </c>
      <c r="AE80" s="149">
        <v>691340.56880538817</v>
      </c>
      <c r="AF80" s="149">
        <v>4533848.1515282746</v>
      </c>
    </row>
    <row r="82" spans="1:26">
      <c r="C82">
        <v>2015</v>
      </c>
      <c r="D82">
        <v>2020</v>
      </c>
      <c r="E82">
        <v>2025</v>
      </c>
      <c r="F82">
        <v>2030</v>
      </c>
      <c r="G82">
        <v>2035</v>
      </c>
      <c r="H82">
        <v>2040</v>
      </c>
      <c r="I82">
        <v>2045</v>
      </c>
      <c r="J82">
        <v>2050</v>
      </c>
      <c r="K82" t="s">
        <v>27</v>
      </c>
      <c r="O82" s="157" t="s">
        <v>443</v>
      </c>
      <c r="R82" s="157" t="s">
        <v>130</v>
      </c>
    </row>
    <row r="83" spans="1:26">
      <c r="B83" t="s">
        <v>50</v>
      </c>
      <c r="C83" t="s">
        <v>51</v>
      </c>
      <c r="D83" t="str">
        <f t="shared" ref="D83:J83" si="43">$C83&amp;"_"&amp;D82</f>
        <v>cap_pwr_leg_2020</v>
      </c>
      <c r="E83" t="str">
        <f t="shared" si="43"/>
        <v>cap_pwr_leg_2025</v>
      </c>
      <c r="F83" t="str">
        <f t="shared" si="43"/>
        <v>cap_pwr_leg_2030</v>
      </c>
      <c r="G83" t="str">
        <f t="shared" si="43"/>
        <v>cap_pwr_leg_2035</v>
      </c>
      <c r="H83" t="str">
        <f t="shared" si="43"/>
        <v>cap_pwr_leg_2040</v>
      </c>
      <c r="I83" t="str">
        <f t="shared" si="43"/>
        <v>cap_pwr_leg_2045</v>
      </c>
      <c r="J83" t="str">
        <f t="shared" si="43"/>
        <v>cap_pwr_leg_2050</v>
      </c>
      <c r="O83" s="157" t="s">
        <v>27</v>
      </c>
      <c r="P83" s="157" t="s">
        <v>6</v>
      </c>
      <c r="Q83" s="157" t="s">
        <v>53</v>
      </c>
      <c r="R83">
        <v>2015</v>
      </c>
      <c r="S83">
        <v>2020</v>
      </c>
      <c r="T83">
        <v>2025</v>
      </c>
      <c r="U83">
        <v>2030</v>
      </c>
      <c r="V83">
        <v>2035</v>
      </c>
      <c r="W83">
        <v>2040</v>
      </c>
      <c r="X83">
        <v>2045</v>
      </c>
      <c r="Y83">
        <v>2050</v>
      </c>
      <c r="Z83" t="s">
        <v>434</v>
      </c>
    </row>
    <row r="84" spans="1:26">
      <c r="A84" t="s">
        <v>28</v>
      </c>
      <c r="B84" t="str">
        <f t="shared" ref="B84:B93" si="44">L84</f>
        <v>CH_BAL_ELC</v>
      </c>
      <c r="C84" s="26">
        <f t="shared" ref="C84:C93" si="45">R84</f>
        <v>46.2</v>
      </c>
      <c r="D84" s="26">
        <f t="shared" ref="D84:D93" si="46">S84</f>
        <v>191.26334532998399</v>
      </c>
      <c r="E84" s="26">
        <f t="shared" ref="E84:E93" si="47">T84</f>
        <v>407.58587783961002</v>
      </c>
      <c r="F84" s="26">
        <f t="shared" ref="F84:F93" si="48">U84</f>
        <v>585.73384578871298</v>
      </c>
      <c r="G84" s="26">
        <f t="shared" ref="G84:G93" si="49">V84</f>
        <v>639.17823617344402</v>
      </c>
      <c r="H84" s="26">
        <f t="shared" ref="H84:H93" si="50">W84</f>
        <v>662.08297490975701</v>
      </c>
      <c r="I84" s="26">
        <f t="shared" ref="I84:I93" si="51">X84</f>
        <v>672.26285879256295</v>
      </c>
      <c r="J84" s="26">
        <f t="shared" ref="J84:J93" si="52">Y84</f>
        <v>674.80782976326498</v>
      </c>
      <c r="K84" t="str">
        <f t="shared" ref="K84:K93" si="53">M84</f>
        <v>hi_gas</v>
      </c>
      <c r="L84" t="str">
        <f>LEFT(N84,2)&amp;"_"&amp;Q84</f>
        <v>CH_BAL_ELC</v>
      </c>
      <c r="M84" t="str">
        <f>O84</f>
        <v>hi_gas</v>
      </c>
      <c r="N84" t="str">
        <f>P84</f>
        <v>CH0</v>
      </c>
      <c r="O84" t="s">
        <v>124</v>
      </c>
      <c r="P84" t="s">
        <v>14</v>
      </c>
      <c r="Q84" t="s">
        <v>55</v>
      </c>
      <c r="R84" s="149">
        <v>46.2</v>
      </c>
      <c r="S84" s="149">
        <v>191.26334532998399</v>
      </c>
      <c r="T84" s="149">
        <v>407.58587783961002</v>
      </c>
      <c r="U84" s="149">
        <v>585.73384578871298</v>
      </c>
      <c r="V84" s="149">
        <v>639.17823617344402</v>
      </c>
      <c r="W84" s="149">
        <v>662.08297490975701</v>
      </c>
      <c r="X84" s="149">
        <v>672.26285879256295</v>
      </c>
      <c r="Y84" s="149">
        <v>674.80782976326498</v>
      </c>
      <c r="Z84" s="149">
        <v>3879.114968597336</v>
      </c>
    </row>
    <row r="85" spans="1:26">
      <c r="A85" t="s">
        <v>28</v>
      </c>
      <c r="B85" t="str">
        <f t="shared" si="44"/>
        <v>CH_GAS_NEW</v>
      </c>
      <c r="C85" s="26">
        <f t="shared" si="45"/>
        <v>154.96267625103701</v>
      </c>
      <c r="D85" s="26">
        <f t="shared" si="46"/>
        <v>309.78711639480201</v>
      </c>
      <c r="E85" s="26">
        <f t="shared" si="47"/>
        <v>486.59109759469197</v>
      </c>
      <c r="F85" s="26">
        <f t="shared" si="48"/>
        <v>552.94442908487702</v>
      </c>
      <c r="G85" s="26">
        <f t="shared" si="49"/>
        <v>552.94442908487702</v>
      </c>
      <c r="H85" s="26">
        <f t="shared" si="50"/>
        <v>619.43599668233401</v>
      </c>
      <c r="I85" s="26">
        <f t="shared" si="51"/>
        <v>707.76886922864298</v>
      </c>
      <c r="J85" s="26">
        <f t="shared" si="52"/>
        <v>730.024882499309</v>
      </c>
      <c r="K85" t="str">
        <f t="shared" si="53"/>
        <v>hi_gas</v>
      </c>
      <c r="L85" t="str">
        <f t="shared" ref="L85:L93" si="54">LEFT(N85,2)&amp;"_"&amp;Q85</f>
        <v>CH_GAS_NEW</v>
      </c>
      <c r="M85" t="str">
        <f>M84</f>
        <v>hi_gas</v>
      </c>
      <c r="N85" t="str">
        <f t="shared" ref="N85:N88" si="55">N84</f>
        <v>CH0</v>
      </c>
      <c r="Q85" t="s">
        <v>441</v>
      </c>
      <c r="R85" s="149">
        <v>154.96267625103701</v>
      </c>
      <c r="S85" s="149">
        <v>309.78711639480201</v>
      </c>
      <c r="T85" s="149">
        <v>486.59109759469197</v>
      </c>
      <c r="U85" s="149">
        <v>552.94442908487702</v>
      </c>
      <c r="V85" s="149">
        <v>552.94442908487702</v>
      </c>
      <c r="W85" s="149">
        <v>619.43599668233401</v>
      </c>
      <c r="X85" s="149">
        <v>707.76886922864298</v>
      </c>
      <c r="Y85" s="149">
        <v>730.024882499309</v>
      </c>
      <c r="Z85" s="149">
        <v>4114.4594968205711</v>
      </c>
    </row>
    <row r="86" spans="1:26">
      <c r="A86" t="s">
        <v>28</v>
      </c>
      <c r="B86" t="str">
        <f t="shared" si="44"/>
        <v>CH_GEO_ELC</v>
      </c>
      <c r="C86" s="26">
        <f t="shared" si="45"/>
        <v>0</v>
      </c>
      <c r="D86" s="26">
        <f t="shared" si="46"/>
        <v>12.9795791896249</v>
      </c>
      <c r="E86" s="26">
        <f t="shared" si="47"/>
        <v>37.640779649912098</v>
      </c>
      <c r="F86" s="26">
        <f t="shared" si="48"/>
        <v>88.261138489448996</v>
      </c>
      <c r="G86" s="26">
        <f t="shared" si="49"/>
        <v>172.628403222011</v>
      </c>
      <c r="H86" s="26">
        <f t="shared" si="50"/>
        <v>299.82827928033402</v>
      </c>
      <c r="I86" s="26">
        <f t="shared" si="51"/>
        <v>438.70977660931999</v>
      </c>
      <c r="J86" s="26">
        <f t="shared" si="52"/>
        <v>556.82394723490597</v>
      </c>
      <c r="K86" t="str">
        <f t="shared" si="53"/>
        <v>hi_gas</v>
      </c>
      <c r="L86" t="str">
        <f t="shared" si="54"/>
        <v>CH_GEO_ELC</v>
      </c>
      <c r="M86" t="str">
        <f>M85</f>
        <v>hi_gas</v>
      </c>
      <c r="N86" t="str">
        <f t="shared" si="55"/>
        <v>CH0</v>
      </c>
      <c r="Q86" t="s">
        <v>65</v>
      </c>
      <c r="R86" s="149">
        <v>0</v>
      </c>
      <c r="S86" s="149">
        <v>12.9795791896249</v>
      </c>
      <c r="T86" s="149">
        <v>37.640779649912098</v>
      </c>
      <c r="U86" s="149">
        <v>88.261138489448996</v>
      </c>
      <c r="V86" s="149">
        <v>172.628403222011</v>
      </c>
      <c r="W86" s="149">
        <v>299.82827928033402</v>
      </c>
      <c r="X86" s="149">
        <v>438.70977660931999</v>
      </c>
      <c r="Y86" s="149">
        <v>556.82394723490597</v>
      </c>
      <c r="Z86" s="149">
        <v>1606.871903675557</v>
      </c>
    </row>
    <row r="87" spans="1:26">
      <c r="A87" t="s">
        <v>28</v>
      </c>
      <c r="B87" t="str">
        <f t="shared" si="44"/>
        <v>CH_SOL_PHO</v>
      </c>
      <c r="C87" s="26">
        <f t="shared" si="45"/>
        <v>1390.1</v>
      </c>
      <c r="D87" s="26">
        <f t="shared" si="46"/>
        <v>1665.2918506448</v>
      </c>
      <c r="E87" s="26">
        <f t="shared" si="47"/>
        <v>2192.7428977140098</v>
      </c>
      <c r="F87" s="26">
        <f t="shared" si="48"/>
        <v>3259.1113189626299</v>
      </c>
      <c r="G87" s="26">
        <f t="shared" si="49"/>
        <v>6160.0920778432701</v>
      </c>
      <c r="H87" s="26">
        <f t="shared" si="50"/>
        <v>8797.3473131893006</v>
      </c>
      <c r="I87" s="26">
        <f t="shared" si="51"/>
        <v>11652.462763629101</v>
      </c>
      <c r="J87" s="26">
        <f t="shared" si="52"/>
        <v>13819.598587457</v>
      </c>
      <c r="K87" t="str">
        <f t="shared" si="53"/>
        <v>hi_gas</v>
      </c>
      <c r="L87" t="str">
        <f t="shared" si="54"/>
        <v>CH_SOL_PHO</v>
      </c>
      <c r="M87" t="str">
        <f>M86</f>
        <v>hi_gas</v>
      </c>
      <c r="N87" t="str">
        <f t="shared" si="55"/>
        <v>CH0</v>
      </c>
      <c r="Q87" t="s">
        <v>105</v>
      </c>
      <c r="R87" s="149">
        <v>1390.1</v>
      </c>
      <c r="S87" s="149">
        <v>1665.2918506448</v>
      </c>
      <c r="T87" s="149">
        <v>2192.7428977140098</v>
      </c>
      <c r="U87" s="149">
        <v>3259.1113189626299</v>
      </c>
      <c r="V87" s="149">
        <v>6160.0920778432701</v>
      </c>
      <c r="W87" s="149">
        <v>8797.3473131893006</v>
      </c>
      <c r="X87" s="149">
        <v>11652.462763629101</v>
      </c>
      <c r="Y87" s="149">
        <v>13819.598587457</v>
      </c>
      <c r="Z87" s="149">
        <v>48936.746809440112</v>
      </c>
    </row>
    <row r="88" spans="1:26">
      <c r="A88" t="s">
        <v>28</v>
      </c>
      <c r="B88" t="str">
        <f t="shared" si="44"/>
        <v>CH_WIN_ONS</v>
      </c>
      <c r="C88" s="26">
        <f t="shared" si="45"/>
        <v>60.287999999999997</v>
      </c>
      <c r="D88" s="26">
        <f t="shared" si="46"/>
        <v>240.568875087078</v>
      </c>
      <c r="E88" s="26">
        <f t="shared" si="47"/>
        <v>432.48077437332302</v>
      </c>
      <c r="F88" s="26">
        <f t="shared" si="48"/>
        <v>705.80984305373204</v>
      </c>
      <c r="G88" s="26">
        <f t="shared" si="49"/>
        <v>880.27520604122697</v>
      </c>
      <c r="H88" s="26">
        <f t="shared" si="50"/>
        <v>1362.96271030663</v>
      </c>
      <c r="I88" s="26">
        <f t="shared" si="51"/>
        <v>1851.4657266716199</v>
      </c>
      <c r="J88" s="26">
        <f t="shared" si="52"/>
        <v>2334.15323093702</v>
      </c>
      <c r="K88" t="str">
        <f t="shared" si="53"/>
        <v>hi_gas</v>
      </c>
      <c r="L88" t="str">
        <f t="shared" si="54"/>
        <v>CH_WIN_ONS</v>
      </c>
      <c r="M88" t="str">
        <f>M87</f>
        <v>hi_gas</v>
      </c>
      <c r="N88" t="str">
        <f t="shared" si="55"/>
        <v>CH0</v>
      </c>
      <c r="Q88" t="s">
        <v>120</v>
      </c>
      <c r="R88" s="149">
        <v>60.287999999999997</v>
      </c>
      <c r="S88" s="149">
        <v>240.568875087078</v>
      </c>
      <c r="T88" s="149">
        <v>432.48077437332302</v>
      </c>
      <c r="U88" s="149">
        <v>705.80984305373204</v>
      </c>
      <c r="V88" s="149">
        <v>880.27520604122697</v>
      </c>
      <c r="W88" s="149">
        <v>1362.96271030663</v>
      </c>
      <c r="X88" s="149">
        <v>1851.4657266716199</v>
      </c>
      <c r="Y88" s="149">
        <v>2334.15323093702</v>
      </c>
      <c r="Z88" s="149">
        <v>7868.00436647063</v>
      </c>
    </row>
    <row r="89" spans="1:26">
      <c r="A89" t="s">
        <v>28</v>
      </c>
      <c r="B89" t="str">
        <f t="shared" si="44"/>
        <v>CH_BAL_ELC</v>
      </c>
      <c r="C89" s="26">
        <f t="shared" si="45"/>
        <v>46.2</v>
      </c>
      <c r="D89" s="26">
        <f t="shared" si="46"/>
        <v>126.737463241436</v>
      </c>
      <c r="E89" s="26">
        <f t="shared" si="47"/>
        <v>225.17214053652401</v>
      </c>
      <c r="F89" s="26">
        <f t="shared" si="48"/>
        <v>305.70960377796001</v>
      </c>
      <c r="G89" s="26">
        <f t="shared" si="49"/>
        <v>308.69247278690199</v>
      </c>
      <c r="H89" s="26">
        <f t="shared" si="50"/>
        <v>317.64107981372803</v>
      </c>
      <c r="I89" s="26">
        <f t="shared" si="51"/>
        <v>326.58968684055401</v>
      </c>
      <c r="J89" s="26">
        <f t="shared" si="52"/>
        <v>326.58968684055401</v>
      </c>
      <c r="K89" t="str">
        <f t="shared" si="53"/>
        <v>hi_ren</v>
      </c>
      <c r="L89" t="str">
        <f t="shared" si="54"/>
        <v>CH_BAL_ELC</v>
      </c>
      <c r="M89" t="str">
        <f>O89</f>
        <v>hi_ren</v>
      </c>
      <c r="N89" t="str">
        <f>P89</f>
        <v>CH0</v>
      </c>
      <c r="O89" t="s">
        <v>125</v>
      </c>
      <c r="P89" t="s">
        <v>14</v>
      </c>
      <c r="Q89" t="s">
        <v>55</v>
      </c>
      <c r="R89" s="149">
        <v>46.2</v>
      </c>
      <c r="S89" s="149">
        <v>126.737463241436</v>
      </c>
      <c r="T89" s="149">
        <v>225.17214053652401</v>
      </c>
      <c r="U89" s="149">
        <v>305.70960377796001</v>
      </c>
      <c r="V89" s="149">
        <v>308.69247278690199</v>
      </c>
      <c r="W89" s="149">
        <v>317.64107981372803</v>
      </c>
      <c r="X89" s="149">
        <v>326.58968684055401</v>
      </c>
      <c r="Y89" s="149">
        <v>326.58968684055401</v>
      </c>
      <c r="Z89" s="149">
        <v>1983.3321338376581</v>
      </c>
    </row>
    <row r="90" spans="1:26">
      <c r="A90" t="s">
        <v>28</v>
      </c>
      <c r="B90" t="str">
        <f t="shared" si="44"/>
        <v>CH_GAS_NEW</v>
      </c>
      <c r="C90" s="26">
        <f t="shared" si="45"/>
        <v>154.919845218353</v>
      </c>
      <c r="D90" s="26">
        <f t="shared" si="46"/>
        <v>398.00995024875601</v>
      </c>
      <c r="E90" s="26">
        <f t="shared" si="47"/>
        <v>1614.2896627971231</v>
      </c>
      <c r="F90" s="26">
        <f t="shared" si="48"/>
        <v>2211.3045881702569</v>
      </c>
      <c r="G90" s="26">
        <f t="shared" si="49"/>
        <v>3980.2377003869578</v>
      </c>
      <c r="H90" s="26">
        <f t="shared" si="50"/>
        <v>4002.349364289666</v>
      </c>
      <c r="I90" s="26">
        <f t="shared" si="51"/>
        <v>4002.2111663902751</v>
      </c>
      <c r="J90" s="26">
        <f t="shared" si="52"/>
        <v>3979.9613045881661</v>
      </c>
      <c r="K90" t="str">
        <f t="shared" si="53"/>
        <v>hi_ren</v>
      </c>
      <c r="L90" t="str">
        <f t="shared" si="54"/>
        <v>CH_GAS_NEW</v>
      </c>
      <c r="M90" t="str">
        <f>M89</f>
        <v>hi_ren</v>
      </c>
      <c r="N90" t="str">
        <f t="shared" ref="N90:N93" si="56">N89</f>
        <v>CH0</v>
      </c>
      <c r="Q90" t="s">
        <v>441</v>
      </c>
      <c r="R90" s="149">
        <v>154.919845218353</v>
      </c>
      <c r="S90" s="149">
        <v>398.00995024875601</v>
      </c>
      <c r="T90" s="149">
        <v>1614.2896627971231</v>
      </c>
      <c r="U90" s="149">
        <v>2211.3045881702569</v>
      </c>
      <c r="V90" s="149">
        <v>3980.2377003869578</v>
      </c>
      <c r="W90" s="149">
        <v>4002.349364289666</v>
      </c>
      <c r="X90" s="149">
        <v>4002.2111663902751</v>
      </c>
      <c r="Y90" s="149">
        <v>3979.9613045881661</v>
      </c>
      <c r="Z90" s="149">
        <v>20343.283582089556</v>
      </c>
    </row>
    <row r="91" spans="1:26">
      <c r="A91" t="s">
        <v>28</v>
      </c>
      <c r="B91" t="str">
        <f t="shared" si="44"/>
        <v>CH_GEO_ELC</v>
      </c>
      <c r="C91" s="26">
        <f t="shared" si="45"/>
        <v>0</v>
      </c>
      <c r="D91" s="26">
        <f t="shared" si="46"/>
        <v>9.5617218904890091</v>
      </c>
      <c r="E91" s="26">
        <f t="shared" si="47"/>
        <v>23.221324591187599</v>
      </c>
      <c r="F91" s="26">
        <f t="shared" si="48"/>
        <v>40.978808102095797</v>
      </c>
      <c r="G91" s="26">
        <f t="shared" si="49"/>
        <v>49.174569722514903</v>
      </c>
      <c r="H91" s="26">
        <f t="shared" si="50"/>
        <v>49.174569722514903</v>
      </c>
      <c r="I91" s="26">
        <f t="shared" si="51"/>
        <v>53.272450532724498</v>
      </c>
      <c r="J91" s="26">
        <f t="shared" si="52"/>
        <v>53.272450532724498</v>
      </c>
      <c r="K91" t="str">
        <f t="shared" si="53"/>
        <v>hi_ren</v>
      </c>
      <c r="L91" t="str">
        <f t="shared" si="54"/>
        <v>CH_GEO_ELC</v>
      </c>
      <c r="M91" t="str">
        <f t="shared" ref="M91:M93" si="57">M90</f>
        <v>hi_ren</v>
      </c>
      <c r="N91" t="str">
        <f t="shared" si="56"/>
        <v>CH0</v>
      </c>
      <c r="Q91" t="s">
        <v>65</v>
      </c>
      <c r="R91" s="149">
        <v>0</v>
      </c>
      <c r="S91" s="149">
        <v>9.5617218904890091</v>
      </c>
      <c r="T91" s="149">
        <v>23.221324591187599</v>
      </c>
      <c r="U91" s="149">
        <v>40.978808102095797</v>
      </c>
      <c r="V91" s="149">
        <v>49.174569722514903</v>
      </c>
      <c r="W91" s="149">
        <v>49.174569722514903</v>
      </c>
      <c r="X91" s="149">
        <v>53.272450532724498</v>
      </c>
      <c r="Y91" s="149">
        <v>53.272450532724498</v>
      </c>
      <c r="Z91" s="149">
        <v>278.65589509425121</v>
      </c>
    </row>
    <row r="92" spans="1:26">
      <c r="A92" t="s">
        <v>28</v>
      </c>
      <c r="B92" t="str">
        <f t="shared" si="44"/>
        <v>CH_SOL_PHO</v>
      </c>
      <c r="C92" s="26">
        <f t="shared" si="45"/>
        <v>1390.1</v>
      </c>
      <c r="D92" s="26">
        <f t="shared" si="46"/>
        <v>1525.95333242366</v>
      </c>
      <c r="E92" s="26">
        <f t="shared" si="47"/>
        <v>1745.40871556958</v>
      </c>
      <c r="F92" s="26">
        <f t="shared" si="48"/>
        <v>2173.8692255211199</v>
      </c>
      <c r="G92" s="26">
        <f t="shared" si="49"/>
        <v>3804.1092146050701</v>
      </c>
      <c r="H92" s="26">
        <f t="shared" si="50"/>
        <v>4807.3338232721098</v>
      </c>
      <c r="I92" s="26">
        <f t="shared" si="51"/>
        <v>6113.61586580732</v>
      </c>
      <c r="J92" s="26">
        <f t="shared" si="52"/>
        <v>7357.1963703008296</v>
      </c>
      <c r="K92" t="str">
        <f t="shared" si="53"/>
        <v>hi_ren</v>
      </c>
      <c r="L92" t="str">
        <f t="shared" si="54"/>
        <v>CH_SOL_PHO</v>
      </c>
      <c r="M92" t="str">
        <f t="shared" si="57"/>
        <v>hi_ren</v>
      </c>
      <c r="N92" t="str">
        <f t="shared" si="56"/>
        <v>CH0</v>
      </c>
      <c r="Q92" t="s">
        <v>105</v>
      </c>
      <c r="R92" s="149">
        <v>1390.1</v>
      </c>
      <c r="S92" s="149">
        <v>1525.95333242366</v>
      </c>
      <c r="T92" s="149">
        <v>1745.40871556958</v>
      </c>
      <c r="U92" s="149">
        <v>2173.8692255211199</v>
      </c>
      <c r="V92" s="149">
        <v>3804.1092146050701</v>
      </c>
      <c r="W92" s="149">
        <v>4807.3338232721098</v>
      </c>
      <c r="X92" s="149">
        <v>6113.61586580732</v>
      </c>
      <c r="Y92" s="149">
        <v>7357.1963703008296</v>
      </c>
      <c r="Z92" s="149">
        <v>28917.58654749969</v>
      </c>
    </row>
    <row r="93" spans="1:26">
      <c r="A93" t="s">
        <v>28</v>
      </c>
      <c r="B93" t="str">
        <f t="shared" si="44"/>
        <v>CH_WIN_ONS</v>
      </c>
      <c r="C93" s="26">
        <f t="shared" si="45"/>
        <v>60.287999999999997</v>
      </c>
      <c r="D93" s="26">
        <f t="shared" si="46"/>
        <v>87.268448637974799</v>
      </c>
      <c r="E93" s="26">
        <f t="shared" si="47"/>
        <v>146.625435641519</v>
      </c>
      <c r="F93" s="26">
        <f t="shared" si="48"/>
        <v>319.30030692455801</v>
      </c>
      <c r="G93" s="26">
        <f t="shared" si="49"/>
        <v>427.222101476457</v>
      </c>
      <c r="H93" s="26">
        <f t="shared" si="50"/>
        <v>562.12434466633101</v>
      </c>
      <c r="I93" s="26">
        <f t="shared" si="51"/>
        <v>686.234408401015</v>
      </c>
      <c r="J93" s="26">
        <f t="shared" si="52"/>
        <v>772.57184404253496</v>
      </c>
      <c r="K93" t="str">
        <f t="shared" si="53"/>
        <v>hi_ren</v>
      </c>
      <c r="L93" t="str">
        <f t="shared" si="54"/>
        <v>CH_WIN_ONS</v>
      </c>
      <c r="M93" t="str">
        <f t="shared" si="57"/>
        <v>hi_ren</v>
      </c>
      <c r="N93" t="str">
        <f t="shared" si="56"/>
        <v>CH0</v>
      </c>
      <c r="Q93" t="s">
        <v>120</v>
      </c>
      <c r="R93" s="149">
        <v>60.287999999999997</v>
      </c>
      <c r="S93" s="149">
        <v>87.268448637974799</v>
      </c>
      <c r="T93" s="149">
        <v>146.625435641519</v>
      </c>
      <c r="U93" s="149">
        <v>319.30030692455801</v>
      </c>
      <c r="V93" s="149">
        <v>427.222101476457</v>
      </c>
      <c r="W93" s="149">
        <v>562.12434466633101</v>
      </c>
      <c r="X93" s="149">
        <v>686.234408401015</v>
      </c>
      <c r="Y93" s="149">
        <v>772.57184404253496</v>
      </c>
      <c r="Z93" s="149">
        <v>3061.6348897903899</v>
      </c>
    </row>
    <row r="94" spans="1:26">
      <c r="C94" s="26"/>
      <c r="O94" t="s">
        <v>434</v>
      </c>
      <c r="R94" s="149">
        <v>3303.0585214693897</v>
      </c>
      <c r="S94" s="149">
        <v>4567.4216830886053</v>
      </c>
      <c r="T94" s="149">
        <v>7311.7587063074816</v>
      </c>
      <c r="U94" s="149">
        <v>10243.023107875391</v>
      </c>
      <c r="V94" s="149">
        <v>16974.554411342731</v>
      </c>
      <c r="W94" s="149">
        <v>21480.280456132707</v>
      </c>
      <c r="X94" s="149">
        <v>26504.593572903137</v>
      </c>
      <c r="Y94" s="149">
        <v>30605.000134196307</v>
      </c>
      <c r="Z94" s="149">
        <v>120989.69059331577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716"/>
  <sheetViews>
    <sheetView topLeftCell="A42" zoomScale="55" zoomScaleNormal="55" workbookViewId="0">
      <selection activeCell="R45" sqref="R45"/>
    </sheetView>
  </sheetViews>
  <sheetFormatPr defaultRowHeight="14.25"/>
  <cols>
    <col min="1" max="1" width="10.625" customWidth="1"/>
    <col min="2" max="2" width="13.75" customWidth="1"/>
    <col min="3" max="3" width="10.625" customWidth="1"/>
    <col min="4" max="4" width="14" customWidth="1"/>
    <col min="5" max="7" width="10.625" customWidth="1"/>
    <col min="8" max="8" width="14" customWidth="1"/>
    <col min="9" max="14" width="10.625" customWidth="1"/>
    <col min="15" max="15" width="14" customWidth="1"/>
    <col min="16" max="35" width="10.625" customWidth="1"/>
  </cols>
  <sheetData>
    <row r="1" spans="2:35">
      <c r="F1" s="26"/>
      <c r="H1">
        <f>COUNTA(H2:H9)</f>
        <v>5</v>
      </c>
      <c r="I1">
        <f>COUNTA(I2:I9)</f>
        <v>8</v>
      </c>
      <c r="J1">
        <f>COUNTA(J2:J9)</f>
        <v>2</v>
      </c>
      <c r="K1">
        <f>COUNTA(K2:K9)</f>
        <v>1</v>
      </c>
      <c r="L1">
        <f>PRODUCT(H1:J1)</f>
        <v>80</v>
      </c>
    </row>
    <row r="2" spans="2:35">
      <c r="F2" s="26"/>
      <c r="H2" t="s">
        <v>105</v>
      </c>
      <c r="I2">
        <v>2015</v>
      </c>
      <c r="J2" t="s">
        <v>124</v>
      </c>
      <c r="K2" t="s">
        <v>14</v>
      </c>
      <c r="P2" s="26"/>
    </row>
    <row r="3" spans="2:35">
      <c r="F3" s="26"/>
      <c r="H3" t="s">
        <v>120</v>
      </c>
      <c r="I3">
        <v>2020</v>
      </c>
      <c r="J3" t="s">
        <v>125</v>
      </c>
      <c r="P3" s="26"/>
    </row>
    <row r="4" spans="2:35">
      <c r="F4" s="26"/>
      <c r="H4" t="s">
        <v>65</v>
      </c>
      <c r="I4">
        <v>2025</v>
      </c>
    </row>
    <row r="5" spans="2:35">
      <c r="F5" s="26"/>
      <c r="H5" t="s">
        <v>441</v>
      </c>
      <c r="I5">
        <v>2030</v>
      </c>
      <c r="P5" t="s">
        <v>126</v>
      </c>
      <c r="Q5">
        <v>2015</v>
      </c>
      <c r="R5">
        <v>2020</v>
      </c>
      <c r="S5">
        <v>2025</v>
      </c>
      <c r="T5">
        <v>2030</v>
      </c>
      <c r="U5">
        <v>2035</v>
      </c>
      <c r="V5">
        <v>2040</v>
      </c>
      <c r="W5">
        <v>2045</v>
      </c>
      <c r="X5">
        <v>2050</v>
      </c>
    </row>
    <row r="6" spans="2:35">
      <c r="F6" s="26"/>
      <c r="H6" t="s">
        <v>55</v>
      </c>
      <c r="I6">
        <v>2035</v>
      </c>
      <c r="M6" t="s">
        <v>15</v>
      </c>
      <c r="N6" t="s">
        <v>31</v>
      </c>
      <c r="O6" t="s">
        <v>95</v>
      </c>
      <c r="P6" s="26">
        <f t="shared" ref="P6:P20" si="0">SUMIFS($AH$8:$AH$73,$AD$8:$AD$73,O6,$AF$8:$AF$73,M6)</f>
        <v>10800</v>
      </c>
      <c r="Q6" s="26">
        <f>INDEX(DE!$C$2:$K$18,MATCH($O6,DE!$B$2:$B$18,0),MATCH(Q$5,DE!$C$1:$K$1,0))</f>
        <v>10800</v>
      </c>
      <c r="R6" s="26">
        <f>INDEX(DE!$C$2:$K$18,MATCH($O6,DE!$B$2:$B$18,0),MATCH(R$5,DE!$C$1:$K$1,0))</f>
        <v>6907.2</v>
      </c>
      <c r="S6" s="26">
        <f>INDEX(DE!$C$2:$K$18,MATCH($O6,DE!$B$2:$B$18,0),MATCH(S$5,DE!$C$1:$K$1,0))</f>
        <v>0</v>
      </c>
      <c r="T6" s="26">
        <f>INDEX(DE!$C$2:$K$18,MATCH($O6,DE!$B$2:$B$18,0),MATCH(T$5,DE!$C$1:$K$1,0))</f>
        <v>0</v>
      </c>
      <c r="U6" s="26">
        <f>INDEX(DE!$C$2:$K$18,MATCH($O6,DE!$B$2:$B$18,0),MATCH(U$5,DE!$C$1:$K$1,0))</f>
        <v>0</v>
      </c>
      <c r="V6" s="26">
        <f>INDEX(DE!$C$2:$K$18,MATCH($O6,DE!$B$2:$B$18,0),MATCH(V$5,DE!$C$1:$K$1,0))</f>
        <v>0</v>
      </c>
      <c r="W6" s="26">
        <f>INDEX(DE!$C$2:$K$18,MATCH($O6,DE!$B$2:$B$18,0),MATCH(W$5,DE!$C$1:$K$1,0))</f>
        <v>0</v>
      </c>
      <c r="X6" s="26">
        <f>INDEX(DE!$C$2:$K$18,MATCH($O6,DE!$B$2:$B$18,0),MATCH(X$5,DE!$C$1:$K$1,0))</f>
        <v>0</v>
      </c>
      <c r="Z6" t="str">
        <f t="shared" ref="Z6:Z20" si="1">M6&amp;"."&amp;O6</f>
        <v>DE0.NUC_ELC</v>
      </c>
      <c r="AA6" s="29">
        <f t="shared" ref="AA6:AA20" si="2">(Q6-P6)/P6</f>
        <v>0</v>
      </c>
      <c r="AB6" s="29"/>
    </row>
    <row r="7" spans="2:35">
      <c r="F7" s="26"/>
      <c r="I7">
        <v>2040</v>
      </c>
      <c r="M7" t="s">
        <v>15</v>
      </c>
      <c r="N7" t="s">
        <v>31</v>
      </c>
      <c r="O7" t="s">
        <v>105</v>
      </c>
      <c r="P7" s="26">
        <f t="shared" si="0"/>
        <v>39224</v>
      </c>
      <c r="Q7" s="26">
        <f>INDEX(DE!$C$2:$K$18,MATCH($O7,DE!$B$2:$B$18,0),MATCH(Q$5,DE!$C$1:$K$1,0))</f>
        <v>39756.639999999999</v>
      </c>
      <c r="R7" s="26">
        <f>INDEX(DE!$C$2:$K$18,MATCH($O7,DE!$B$2:$B$18,0),MATCH(R$5,DE!$C$1:$K$1,0))</f>
        <v>52802.867668028601</v>
      </c>
      <c r="S7" s="26">
        <f>INDEX(DE!$C$2:$K$18,MATCH($O7,DE!$B$2:$B$18,0),MATCH(S$5,DE!$C$1:$K$1,0))</f>
        <v>55900.764651489801</v>
      </c>
      <c r="T7" s="26">
        <f>INDEX(DE!$C$2:$K$18,MATCH($O7,DE!$B$2:$B$18,0),MATCH(T$5,DE!$C$1:$K$1,0))</f>
        <v>63959.325331165601</v>
      </c>
      <c r="U7" s="26">
        <f>INDEX(DE!$C$2:$K$18,MATCH($O7,DE!$B$2:$B$18,0),MATCH(U$5,DE!$C$1:$K$1,0))</f>
        <v>63959.325331165601</v>
      </c>
      <c r="V7" s="26">
        <f>INDEX(DE!$C$2:$K$18,MATCH($O7,DE!$B$2:$B$18,0),MATCH(V$5,DE!$C$1:$K$1,0))</f>
        <v>65956.280250018506</v>
      </c>
      <c r="W7" s="26">
        <f>INDEX(DE!$C$2:$K$18,MATCH($O7,DE!$B$2:$B$18,0),MATCH(W$5,DE!$C$1:$K$1,0))</f>
        <v>70530.792539669201</v>
      </c>
      <c r="X7" s="26">
        <f>INDEX(DE!$C$2:$K$18,MATCH($O7,DE!$B$2:$B$18,0),MATCH(X$5,DE!$C$1:$K$1,0))</f>
        <v>86140.792539669201</v>
      </c>
      <c r="Z7" t="str">
        <f t="shared" si="1"/>
        <v>DE0.SOL_PHO</v>
      </c>
      <c r="AA7" s="29">
        <f t="shared" si="2"/>
        <v>1.3579441158474389E-2</v>
      </c>
      <c r="AB7" s="29"/>
      <c r="AC7" t="s">
        <v>127</v>
      </c>
      <c r="AD7" t="s">
        <v>128</v>
      </c>
      <c r="AE7" t="s">
        <v>33</v>
      </c>
      <c r="AF7" t="s">
        <v>32</v>
      </c>
      <c r="AG7" t="s">
        <v>8</v>
      </c>
      <c r="AH7" t="s">
        <v>51</v>
      </c>
      <c r="AI7" t="s">
        <v>129</v>
      </c>
    </row>
    <row r="8" spans="2:35">
      <c r="F8" s="26"/>
      <c r="I8">
        <v>2045</v>
      </c>
      <c r="M8" t="s">
        <v>15</v>
      </c>
      <c r="N8" t="s">
        <v>31</v>
      </c>
      <c r="O8" t="s">
        <v>120</v>
      </c>
      <c r="P8" s="26">
        <f t="shared" si="0"/>
        <v>41297</v>
      </c>
      <c r="Q8" s="26">
        <f>INDEX(DE!$C$2:$K$18,MATCH($O8,DE!$B$2:$B$18,0),MATCH(Q$5,DE!$C$1:$K$1,0))</f>
        <v>41282.593240556656</v>
      </c>
      <c r="R8" s="26">
        <f>INDEX(DE!$C$2:$K$18,MATCH($O8,DE!$B$2:$B$18,0),MATCH(R$5,DE!$C$1:$K$1,0))</f>
        <v>51938.861479939304</v>
      </c>
      <c r="S8" s="26">
        <f>INDEX(DE!$C$2:$K$18,MATCH($O8,DE!$B$2:$B$18,0),MATCH(S$5,DE!$C$1:$K$1,0))</f>
        <v>52085.675893279054</v>
      </c>
      <c r="T8" s="26">
        <f>INDEX(DE!$C$2:$K$18,MATCH($O8,DE!$B$2:$B$18,0),MATCH(T$5,DE!$C$1:$K$1,0))</f>
        <v>55282.481202403687</v>
      </c>
      <c r="U8" s="26">
        <f>INDEX(DE!$C$2:$K$18,MATCH($O8,DE!$B$2:$B$18,0),MATCH(U$5,DE!$C$1:$K$1,0))</f>
        <v>53452.474731194125</v>
      </c>
      <c r="V8" s="26">
        <f>INDEX(DE!$C$2:$K$18,MATCH($O8,DE!$B$2:$B$18,0),MATCH(V$5,DE!$C$1:$K$1,0))</f>
        <v>55194.439913639544</v>
      </c>
      <c r="W8" s="26">
        <f>INDEX(DE!$C$2:$K$18,MATCH($O8,DE!$B$2:$B$18,0),MATCH(W$5,DE!$C$1:$K$1,0))</f>
        <v>64608.12587084416</v>
      </c>
      <c r="X8" s="26">
        <f>INDEX(DE!$C$2:$K$18,MATCH($O8,DE!$B$2:$B$18,0),MATCH(X$5,DE!$C$1:$K$1,0))</f>
        <v>68828.785992298013</v>
      </c>
      <c r="Z8" t="str">
        <f t="shared" si="1"/>
        <v>DE0.WIN_ONS</v>
      </c>
      <c r="AA8" s="29">
        <f t="shared" si="2"/>
        <v>-3.4885728850385297E-4</v>
      </c>
      <c r="AB8" s="29"/>
      <c r="AC8" t="s">
        <v>52</v>
      </c>
      <c r="AD8" t="s">
        <v>55</v>
      </c>
      <c r="AE8" t="s">
        <v>11</v>
      </c>
      <c r="AF8" t="s">
        <v>12</v>
      </c>
      <c r="AG8">
        <v>4120629.6161127202</v>
      </c>
      <c r="AH8">
        <v>616.39374999999995</v>
      </c>
      <c r="AI8">
        <v>6685.0606712230901</v>
      </c>
    </row>
    <row r="9" spans="2:35">
      <c r="F9" s="26"/>
      <c r="I9">
        <v>2050</v>
      </c>
      <c r="M9" t="s">
        <v>15</v>
      </c>
      <c r="N9" t="s">
        <v>31</v>
      </c>
      <c r="O9" t="s">
        <v>80</v>
      </c>
      <c r="P9" s="26">
        <f t="shared" si="0"/>
        <v>3842.2</v>
      </c>
      <c r="Q9" s="26">
        <f>INDEX(DE!$C$2:$K$18,MATCH($O9,DE!$B$2:$B$18,0),MATCH(Q$5,DE!$C$1:$K$1,0))</f>
        <v>3987.949198804241</v>
      </c>
      <c r="R9" s="26">
        <f>INDEX(DE!$C$2:$K$18,MATCH($O9,DE!$B$2:$B$18,0),MATCH(R$5,DE!$C$1:$K$1,0))</f>
        <v>3989.0886340886436</v>
      </c>
      <c r="S9" s="26">
        <f>INDEX(DE!$C$2:$K$18,MATCH($O9,DE!$B$2:$B$18,0),MATCH(S$5,DE!$C$1:$K$1,0))</f>
        <v>4065.0182849597072</v>
      </c>
      <c r="T9" s="26">
        <f>INDEX(DE!$C$2:$K$18,MATCH($O9,DE!$B$2:$B$18,0),MATCH(T$5,DE!$C$1:$K$1,0))</f>
        <v>4178.7625229001178</v>
      </c>
      <c r="U9" s="26">
        <f>INDEX(DE!$C$2:$K$18,MATCH($O9,DE!$B$2:$B$18,0),MATCH(U$5,DE!$C$1:$K$1,0))</f>
        <v>4449.2872298199318</v>
      </c>
      <c r="V9" s="26">
        <f>INDEX(DE!$C$2:$K$18,MATCH($O9,DE!$B$2:$B$18,0),MATCH(V$5,DE!$C$1:$K$1,0))</f>
        <v>4678.204922959434</v>
      </c>
      <c r="W9" s="26">
        <f>INDEX(DE!$C$2:$K$18,MATCH($O9,DE!$B$2:$B$18,0),MATCH(W$5,DE!$C$1:$K$1,0))</f>
        <v>4958.7069275755712</v>
      </c>
      <c r="X9" s="26">
        <f>INDEX(DE!$C$2:$K$18,MATCH($O9,DE!$B$2:$B$18,0),MATCH(X$5,DE!$C$1:$K$1,0))</f>
        <v>5115.1834718011487</v>
      </c>
      <c r="Z9" t="str">
        <f t="shared" si="1"/>
        <v>DE0.HYD_ROR</v>
      </c>
      <c r="AA9" s="29">
        <f t="shared" si="2"/>
        <v>3.7933787622778915E-2</v>
      </c>
      <c r="AB9" s="29"/>
      <c r="AC9" t="s">
        <v>54</v>
      </c>
      <c r="AD9" t="s">
        <v>55</v>
      </c>
      <c r="AE9" t="s">
        <v>11</v>
      </c>
      <c r="AF9" t="s">
        <v>14</v>
      </c>
      <c r="AG9">
        <v>213607.48</v>
      </c>
      <c r="AH9">
        <v>46.2</v>
      </c>
      <c r="AI9">
        <v>4623.5385281385297</v>
      </c>
    </row>
    <row r="10" spans="2:35">
      <c r="B10" t="s">
        <v>53</v>
      </c>
      <c r="C10" t="s">
        <v>130</v>
      </c>
      <c r="D10" t="s">
        <v>27</v>
      </c>
      <c r="E10" t="s">
        <v>6</v>
      </c>
      <c r="F10" s="26" t="s">
        <v>51</v>
      </c>
      <c r="M10" t="s">
        <v>15</v>
      </c>
      <c r="N10" t="s">
        <v>31</v>
      </c>
      <c r="O10" t="s">
        <v>75</v>
      </c>
      <c r="P10" s="26">
        <f t="shared" si="0"/>
        <v>1543.5</v>
      </c>
      <c r="Q10" s="26">
        <f>INDEX(DE!$C$2:$K$18,MATCH($O10,DE!$B$2:$B$18,0),MATCH(Q$5,DE!$C$1:$K$1,0))</f>
        <v>1602.0508011957593</v>
      </c>
      <c r="R10" s="26">
        <f>INDEX(DE!$C$2:$K$18,MATCH($O10,DE!$B$2:$B$18,0),MATCH(R$5,DE!$C$1:$K$1,0))</f>
        <v>1602.5085385237162</v>
      </c>
      <c r="S10" s="26">
        <f>INDEX(DE!$C$2:$K$18,MATCH($O10,DE!$B$2:$B$18,0),MATCH(S$5,DE!$C$1:$K$1,0))</f>
        <v>1633.0112234749124</v>
      </c>
      <c r="T10" s="26">
        <f>INDEX(DE!$C$2:$K$18,MATCH($O10,DE!$B$2:$B$18,0),MATCH(T$5,DE!$C$1:$K$1,0))</f>
        <v>1678.7048966988525</v>
      </c>
      <c r="U10" s="26">
        <f>INDEX(DE!$C$2:$K$18,MATCH($O10,DE!$B$2:$B$18,0),MATCH(U$5,DE!$C$1:$K$1,0))</f>
        <v>1787.3808857495876</v>
      </c>
      <c r="V10" s="26">
        <f>INDEX(DE!$C$2:$K$18,MATCH($O10,DE!$B$2:$B$18,0),MATCH(V$5,DE!$C$1:$K$1,0))</f>
        <v>1879.3423816011366</v>
      </c>
      <c r="W10" s="26">
        <f>INDEX(DE!$C$2:$K$18,MATCH($O10,DE!$B$2:$B$18,0),MATCH(W$5,DE!$C$1:$K$1,0))</f>
        <v>1992.0264803271289</v>
      </c>
      <c r="X10" s="26">
        <f>INDEX(DE!$C$2:$K$18,MATCH($O10,DE!$B$2:$B$18,0),MATCH(X$5,DE!$C$1:$K$1,0))</f>
        <v>2054.8867025987906</v>
      </c>
      <c r="Z10" t="str">
        <f t="shared" si="1"/>
        <v>DE0.HYD_RES</v>
      </c>
      <c r="AA10" s="29">
        <f t="shared" si="2"/>
        <v>3.7933787622778929E-2</v>
      </c>
      <c r="AB10" s="29"/>
      <c r="AC10" t="s">
        <v>56</v>
      </c>
      <c r="AD10" t="s">
        <v>55</v>
      </c>
      <c r="AE10" t="s">
        <v>11</v>
      </c>
      <c r="AF10" t="s">
        <v>15</v>
      </c>
      <c r="AG10">
        <v>44573000</v>
      </c>
      <c r="AH10">
        <v>7467</v>
      </c>
      <c r="AI10">
        <v>5969.3317262622204</v>
      </c>
    </row>
    <row r="11" spans="2:35">
      <c r="B11" t="str">
        <f t="shared" ref="B11:B42" si="3">INDEX(H$2:H$11,H11)</f>
        <v>SOL_PHO</v>
      </c>
      <c r="C11">
        <f t="shared" ref="C11:C42" si="4">INDEX(I$2:I$11,I11)</f>
        <v>2015</v>
      </c>
      <c r="D11" t="str">
        <f t="shared" ref="D11:D42" si="5">INDEX(J$2:J$11,J11)</f>
        <v>hi_gas</v>
      </c>
      <c r="E11" t="str">
        <f t="shared" ref="E11:E42" si="6">INDEX(K$2:K$11,K11)</f>
        <v>CH0</v>
      </c>
      <c r="F11" s="26">
        <f t="shared" ref="F11:F42" si="7">INDEX($P$87:$X$97,MATCH(B11&amp;"."&amp;D11,$AB$87:$AB$97,0),MATCH(C11,$P$5:$X$5,0))</f>
        <v>1390.1</v>
      </c>
      <c r="H11">
        <v>1</v>
      </c>
      <c r="I11">
        <v>1</v>
      </c>
      <c r="J11">
        <v>1</v>
      </c>
      <c r="K11">
        <v>1</v>
      </c>
      <c r="M11" t="s">
        <v>15</v>
      </c>
      <c r="N11" t="s">
        <v>31</v>
      </c>
      <c r="O11" t="s">
        <v>85</v>
      </c>
      <c r="P11" s="26">
        <f t="shared" si="0"/>
        <v>8149.2</v>
      </c>
      <c r="Q11" s="26">
        <f>INDEX(DE!$C$2:$K$18,MATCH($O11,DE!$B$2:$B$18,0),MATCH(Q$5,DE!$C$1:$K$1,0))</f>
        <v>8149.2</v>
      </c>
      <c r="R11" s="26">
        <f>INDEX(DE!$C$2:$K$18,MATCH($O11,DE!$B$2:$B$18,0),MATCH(R$5,DE!$C$1:$K$1,0))</f>
        <v>8149.2</v>
      </c>
      <c r="S11" s="26">
        <f>INDEX(DE!$C$2:$K$18,MATCH($O11,DE!$B$2:$B$18,0),MATCH(S$5,DE!$C$1:$K$1,0))</f>
        <v>8149.2</v>
      </c>
      <c r="T11" s="26">
        <f>INDEX(DE!$C$2:$K$18,MATCH($O11,DE!$B$2:$B$18,0),MATCH(T$5,DE!$C$1:$K$1,0))</f>
        <v>8149.2</v>
      </c>
      <c r="U11" s="26">
        <f>INDEX(DE!$C$2:$K$18,MATCH($O11,DE!$B$2:$B$18,0),MATCH(U$5,DE!$C$1:$K$1,0))</f>
        <v>8149.2</v>
      </c>
      <c r="V11" s="26">
        <f>INDEX(DE!$C$2:$K$18,MATCH($O11,DE!$B$2:$B$18,0),MATCH(V$5,DE!$C$1:$K$1,0))</f>
        <v>8149.2</v>
      </c>
      <c r="W11" s="26">
        <f>INDEX(DE!$C$2:$K$18,MATCH($O11,DE!$B$2:$B$18,0),MATCH(W$5,DE!$C$1:$K$1,0))</f>
        <v>8149.2</v>
      </c>
      <c r="X11" s="26">
        <f>INDEX(DE!$C$2:$K$18,MATCH($O11,DE!$B$2:$B$18,0),MATCH(X$5,DE!$C$1:$K$1,0))</f>
        <v>8149.2</v>
      </c>
      <c r="Z11" t="str">
        <f t="shared" si="1"/>
        <v>DE0.HYD_STO</v>
      </c>
      <c r="AA11" s="29">
        <f t="shared" si="2"/>
        <v>0</v>
      </c>
      <c r="AB11" s="29"/>
      <c r="AC11" t="s">
        <v>57</v>
      </c>
      <c r="AD11" t="s">
        <v>55</v>
      </c>
      <c r="AE11" t="s">
        <v>11</v>
      </c>
      <c r="AF11" t="s">
        <v>16</v>
      </c>
      <c r="AG11">
        <v>7964700</v>
      </c>
      <c r="AH11">
        <v>922.97180000000003</v>
      </c>
      <c r="AI11">
        <v>8629.4077457187705</v>
      </c>
    </row>
    <row r="12" spans="2:35">
      <c r="B12" t="str">
        <f t="shared" si="3"/>
        <v>WIN_ONS</v>
      </c>
      <c r="C12">
        <f t="shared" si="4"/>
        <v>2015</v>
      </c>
      <c r="D12" t="str">
        <f t="shared" si="5"/>
        <v>hi_gas</v>
      </c>
      <c r="E12" t="str">
        <f t="shared" si="6"/>
        <v>CH0</v>
      </c>
      <c r="F12" s="26">
        <f t="shared" si="7"/>
        <v>60.287999999999997</v>
      </c>
      <c r="H12">
        <f t="shared" ref="H12:H43" si="8">IF(H11=$H$1,1,H11+1)</f>
        <v>2</v>
      </c>
      <c r="I12">
        <f t="shared" ref="I12:I43" si="9">IF(H12=1,IF(I11=$I$1,1,I11+1),I11)</f>
        <v>1</v>
      </c>
      <c r="J12">
        <f t="shared" ref="J12:J43" si="10">IF(AND(I12=1,I11&gt;1),IF(J11=$J$1,1,J11+1),J11)</f>
        <v>1</v>
      </c>
      <c r="K12">
        <f t="shared" ref="K12:K43" si="11">IF(AND(J12=1,J11&gt;1),IF(K11=$K$1,1,K11+1),K11)</f>
        <v>1</v>
      </c>
      <c r="M12" t="s">
        <v>15</v>
      </c>
      <c r="N12" t="s">
        <v>31</v>
      </c>
      <c r="O12" t="s">
        <v>60</v>
      </c>
      <c r="P12" s="26">
        <f t="shared" si="0"/>
        <v>24038.880000000001</v>
      </c>
      <c r="Q12" s="26">
        <f>INDEX(DE!$C$2:$K$18,MATCH($O12,DE!$B$2:$B$18,0),MATCH(Q$5,DE!$C$1:$K$1,0))</f>
        <v>25177.76772</v>
      </c>
      <c r="R12" s="26">
        <f>INDEX(DE!$C$2:$K$18,MATCH($O12,DE!$B$2:$B$18,0),MATCH(R$5,DE!$C$1:$K$1,0))</f>
        <v>21891.232619999999</v>
      </c>
      <c r="S12" s="26">
        <f>INDEX(DE!$C$2:$K$18,MATCH($O12,DE!$B$2:$B$18,0),MATCH(S$5,DE!$C$1:$K$1,0))</f>
        <v>21891.232619999999</v>
      </c>
      <c r="T12" s="26">
        <f>INDEX(DE!$C$2:$K$18,MATCH($O12,DE!$B$2:$B$18,0),MATCH(T$5,DE!$C$1:$K$1,0))</f>
        <v>21891.232619999999</v>
      </c>
      <c r="U12" s="26">
        <f>INDEX(DE!$C$2:$K$18,MATCH($O12,DE!$B$2:$B$18,0),MATCH(U$5,DE!$C$1:$K$1,0))</f>
        <v>21891.232619999999</v>
      </c>
      <c r="V12" s="26">
        <f>INDEX(DE!$C$2:$K$18,MATCH($O12,DE!$B$2:$B$18,0),MATCH(V$5,DE!$C$1:$K$1,0))</f>
        <v>21891.232619999999</v>
      </c>
      <c r="W12" s="26">
        <f>INDEX(DE!$C$2:$K$18,MATCH($O12,DE!$B$2:$B$18,0),MATCH(W$5,DE!$C$1:$K$1,0))</f>
        <v>21891.232619999999</v>
      </c>
      <c r="X12" s="26">
        <f>INDEX(DE!$C$2:$K$18,MATCH($O12,DE!$B$2:$B$18,0),MATCH(X$5,DE!$C$1:$K$1,0))</f>
        <v>20023.9026197983</v>
      </c>
      <c r="Z12" t="str">
        <f t="shared" si="1"/>
        <v>DE0.GAS_LIN</v>
      </c>
      <c r="AA12" s="29">
        <f t="shared" si="2"/>
        <v>4.7376904414847897E-2</v>
      </c>
      <c r="AB12" s="29"/>
      <c r="AC12" t="s">
        <v>58</v>
      </c>
      <c r="AD12" t="s">
        <v>55</v>
      </c>
      <c r="AE12" t="s">
        <v>11</v>
      </c>
      <c r="AF12" t="s">
        <v>17</v>
      </c>
      <c r="AG12">
        <v>18175800</v>
      </c>
      <c r="AH12">
        <v>2984.4095869118501</v>
      </c>
      <c r="AI12">
        <v>6090.2498369225596</v>
      </c>
    </row>
    <row r="13" spans="2:35">
      <c r="B13" t="str">
        <f t="shared" si="3"/>
        <v>GEO_ELC</v>
      </c>
      <c r="C13">
        <f t="shared" si="4"/>
        <v>2015</v>
      </c>
      <c r="D13" t="str">
        <f t="shared" si="5"/>
        <v>hi_gas</v>
      </c>
      <c r="E13" t="str">
        <f t="shared" si="6"/>
        <v>CH0</v>
      </c>
      <c r="F13" s="26">
        <f t="shared" si="7"/>
        <v>0</v>
      </c>
      <c r="H13">
        <f t="shared" si="8"/>
        <v>3</v>
      </c>
      <c r="I13">
        <f t="shared" si="9"/>
        <v>1</v>
      </c>
      <c r="J13">
        <f t="shared" si="10"/>
        <v>1</v>
      </c>
      <c r="K13">
        <f t="shared" si="11"/>
        <v>1</v>
      </c>
      <c r="M13" t="s">
        <v>15</v>
      </c>
      <c r="N13" t="s">
        <v>31</v>
      </c>
      <c r="O13" t="s">
        <v>441</v>
      </c>
      <c r="P13" s="26">
        <f t="shared" si="0"/>
        <v>0</v>
      </c>
      <c r="Q13" s="26">
        <f>INDEX(DE!$C$2:$K$18,MATCH($O13,DE!$B$2:$B$18,0),MATCH(Q$5,DE!$C$1:$K$1,0))</f>
        <v>0</v>
      </c>
      <c r="R13" s="26">
        <f>INDEX(DE!$C$2:$K$18,MATCH($O13,DE!$B$2:$B$18,0),MATCH(R$5,DE!$C$1:$K$1,0))</f>
        <v>0</v>
      </c>
      <c r="S13" s="26">
        <f>INDEX(DE!$C$2:$K$18,MATCH($O13,DE!$B$2:$B$18,0),MATCH(S$5,DE!$C$1:$K$1,0))</f>
        <v>1186.8420513037017</v>
      </c>
      <c r="T13" s="26">
        <f>INDEX(DE!$C$2:$K$18,MATCH($O13,DE!$B$2:$B$18,0),MATCH(T$5,DE!$C$1:$K$1,0))</f>
        <v>5086.7513160732015</v>
      </c>
      <c r="U13" s="26">
        <f>INDEX(DE!$C$2:$K$18,MATCH($O13,DE!$B$2:$B$18,0),MATCH(U$5,DE!$C$1:$K$1,0))</f>
        <v>17195.078435375002</v>
      </c>
      <c r="V13" s="26">
        <f>INDEX(DE!$C$2:$K$18,MATCH($O13,DE!$B$2:$B$18,0),MATCH(V$5,DE!$C$1:$K$1,0))</f>
        <v>20128.794255375</v>
      </c>
      <c r="W13" s="26">
        <f>INDEX(DE!$C$2:$K$18,MATCH($O13,DE!$B$2:$B$18,0),MATCH(W$5,DE!$C$1:$K$1,0))</f>
        <v>21402.099824999099</v>
      </c>
      <c r="X13" s="26">
        <f>INDEX(DE!$C$2:$K$18,MATCH($O13,DE!$B$2:$B$18,0),MATCH(X$5,DE!$C$1:$K$1,0))</f>
        <v>21402.099824999099</v>
      </c>
      <c r="Z13" t="str">
        <f t="shared" si="1"/>
        <v>DE0.GAS_NEW</v>
      </c>
      <c r="AA13" s="29" t="e">
        <f t="shared" si="2"/>
        <v>#DIV/0!</v>
      </c>
      <c r="AB13" s="29"/>
      <c r="AC13" t="s">
        <v>67</v>
      </c>
      <c r="AD13" t="s">
        <v>65</v>
      </c>
      <c r="AE13" t="s">
        <v>23</v>
      </c>
      <c r="AF13" t="s">
        <v>17</v>
      </c>
      <c r="AG13">
        <v>6185000</v>
      </c>
      <c r="AH13">
        <v>773.21817824699201</v>
      </c>
      <c r="AI13">
        <v>7999.0359435449</v>
      </c>
    </row>
    <row r="14" spans="2:35">
      <c r="B14" t="str">
        <f t="shared" si="3"/>
        <v>GAS_NEW</v>
      </c>
      <c r="C14">
        <f t="shared" si="4"/>
        <v>2015</v>
      </c>
      <c r="D14" t="str">
        <f t="shared" si="5"/>
        <v>hi_gas</v>
      </c>
      <c r="E14" t="str">
        <f t="shared" si="6"/>
        <v>CH0</v>
      </c>
      <c r="F14" s="26">
        <f t="shared" si="7"/>
        <v>154.96267625103701</v>
      </c>
      <c r="H14">
        <f t="shared" si="8"/>
        <v>4</v>
      </c>
      <c r="I14">
        <f t="shared" si="9"/>
        <v>1</v>
      </c>
      <c r="J14">
        <f t="shared" si="10"/>
        <v>1</v>
      </c>
      <c r="K14">
        <f t="shared" si="11"/>
        <v>1</v>
      </c>
      <c r="M14" t="s">
        <v>15</v>
      </c>
      <c r="N14" t="s">
        <v>31</v>
      </c>
      <c r="O14" t="s">
        <v>100</v>
      </c>
      <c r="P14" s="26">
        <f t="shared" si="0"/>
        <v>4200</v>
      </c>
      <c r="Q14" s="26">
        <f>INDEX(DE!$C$2:$K$18,MATCH($O14,DE!$B$2:$B$18,0),MATCH(Q$5,DE!$C$1:$K$1,0))</f>
        <v>5028.3810199999998</v>
      </c>
      <c r="R14" s="26">
        <f>INDEX(DE!$C$2:$K$18,MATCH($O14,DE!$B$2:$B$18,0),MATCH(R$5,DE!$C$1:$K$1,0))</f>
        <v>1673.8347000000001</v>
      </c>
      <c r="S14" s="26">
        <f>INDEX(DE!$C$2:$K$18,MATCH($O14,DE!$B$2:$B$18,0),MATCH(S$5,DE!$C$1:$K$1,0))</f>
        <v>1458.1605423920601</v>
      </c>
      <c r="T14" s="26">
        <f>INDEX(DE!$C$2:$K$18,MATCH($O14,DE!$B$2:$B$18,0),MATCH(T$5,DE!$C$1:$K$1,0))</f>
        <v>1248.1130423920599</v>
      </c>
      <c r="U14" s="26">
        <f>INDEX(DE!$C$2:$K$18,MATCH($O14,DE!$B$2:$B$18,0),MATCH(U$5,DE!$C$1:$K$1,0))</f>
        <v>1060.97281239206</v>
      </c>
      <c r="V14" s="26">
        <f>INDEX(DE!$C$2:$K$18,MATCH($O14,DE!$B$2:$B$18,0),MATCH(V$5,DE!$C$1:$K$1,0))</f>
        <v>862.853412392064</v>
      </c>
      <c r="W14" s="26">
        <f>INDEX(DE!$C$2:$K$18,MATCH($O14,DE!$B$2:$B$18,0),MATCH(W$5,DE!$C$1:$K$1,0))</f>
        <v>833.37662239206395</v>
      </c>
      <c r="X14" s="26">
        <f>INDEX(DE!$C$2:$K$18,MATCH($O14,DE!$B$2:$B$18,0),MATCH(X$5,DE!$C$1:$K$1,0))</f>
        <v>674.14537239206402</v>
      </c>
      <c r="Z14" t="str">
        <f t="shared" si="1"/>
        <v>DE0.OIL_LIN</v>
      </c>
      <c r="AA14" s="29">
        <f t="shared" si="2"/>
        <v>0.19723357619047616</v>
      </c>
      <c r="AB14" s="29"/>
      <c r="AC14" t="s">
        <v>68</v>
      </c>
      <c r="AD14" t="s">
        <v>70</v>
      </c>
      <c r="AE14" t="s">
        <v>18</v>
      </c>
      <c r="AF14" t="s">
        <v>12</v>
      </c>
      <c r="AG14">
        <v>2733327.3221901301</v>
      </c>
      <c r="AH14">
        <v>1100</v>
      </c>
      <c r="AI14">
        <v>2484.8430201728402</v>
      </c>
    </row>
    <row r="15" spans="2:35">
      <c r="B15" t="str">
        <f t="shared" si="3"/>
        <v>BAL_ELC</v>
      </c>
      <c r="C15">
        <f t="shared" si="4"/>
        <v>2015</v>
      </c>
      <c r="D15" t="str">
        <f t="shared" si="5"/>
        <v>hi_gas</v>
      </c>
      <c r="E15" t="str">
        <f t="shared" si="6"/>
        <v>CH0</v>
      </c>
      <c r="F15" s="26">
        <f t="shared" si="7"/>
        <v>46.2</v>
      </c>
      <c r="H15">
        <f t="shared" si="8"/>
        <v>5</v>
      </c>
      <c r="I15">
        <f t="shared" si="9"/>
        <v>1</v>
      </c>
      <c r="J15">
        <f t="shared" si="10"/>
        <v>1</v>
      </c>
      <c r="K15">
        <f t="shared" si="11"/>
        <v>1</v>
      </c>
      <c r="M15" t="s">
        <v>15</v>
      </c>
      <c r="N15" t="s">
        <v>31</v>
      </c>
      <c r="O15" t="s">
        <v>55</v>
      </c>
      <c r="P15" s="26">
        <f t="shared" si="0"/>
        <v>7467</v>
      </c>
      <c r="Q15" s="26">
        <f>INDEX(DE!$C$2:$K$18,MATCH($O15,DE!$B$2:$B$18,0),MATCH(Q$5,DE!$C$1:$K$1,0))</f>
        <v>7467</v>
      </c>
      <c r="R15" s="26">
        <f>INDEX(DE!$C$2:$K$18,MATCH($O15,DE!$B$2:$B$18,0),MATCH(R$5,DE!$C$1:$K$1,0))</f>
        <v>7467</v>
      </c>
      <c r="S15" s="26">
        <f>INDEX(DE!$C$2:$K$18,MATCH($O15,DE!$B$2:$B$18,0),MATCH(S$5,DE!$C$1:$K$1,0))</f>
        <v>7467</v>
      </c>
      <c r="T15" s="26">
        <f>INDEX(DE!$C$2:$K$18,MATCH($O15,DE!$B$2:$B$18,0),MATCH(T$5,DE!$C$1:$K$1,0))</f>
        <v>7467</v>
      </c>
      <c r="U15" s="26">
        <f>INDEX(DE!$C$2:$K$18,MATCH($O15,DE!$B$2:$B$18,0),MATCH(U$5,DE!$C$1:$K$1,0))</f>
        <v>7467</v>
      </c>
      <c r="V15" s="26">
        <f>INDEX(DE!$C$2:$K$18,MATCH($O15,DE!$B$2:$B$18,0),MATCH(V$5,DE!$C$1:$K$1,0))</f>
        <v>7467</v>
      </c>
      <c r="W15" s="26">
        <f>INDEX(DE!$C$2:$K$18,MATCH($O15,DE!$B$2:$B$18,0),MATCH(W$5,DE!$C$1:$K$1,0))</f>
        <v>7467</v>
      </c>
      <c r="X15" s="26">
        <f>INDEX(DE!$C$2:$K$18,MATCH($O15,DE!$B$2:$B$18,0),MATCH(X$5,DE!$C$1:$K$1,0))</f>
        <v>7467</v>
      </c>
      <c r="Z15" t="str">
        <f t="shared" si="1"/>
        <v>DE0.BAL_ELC</v>
      </c>
      <c r="AA15" s="29">
        <f t="shared" si="2"/>
        <v>0</v>
      </c>
      <c r="AB15" s="29"/>
      <c r="AC15" t="s">
        <v>69</v>
      </c>
      <c r="AD15" t="s">
        <v>70</v>
      </c>
      <c r="AE15" t="s">
        <v>18</v>
      </c>
      <c r="AF15" t="s">
        <v>15</v>
      </c>
      <c r="AG15">
        <v>107964248.539</v>
      </c>
      <c r="AH15">
        <v>24612.6</v>
      </c>
      <c r="AI15">
        <v>4386.5438246670401</v>
      </c>
    </row>
    <row r="16" spans="2:35">
      <c r="B16" t="str">
        <f t="shared" si="3"/>
        <v>SOL_PHO</v>
      </c>
      <c r="C16">
        <f t="shared" si="4"/>
        <v>2020</v>
      </c>
      <c r="D16" t="str">
        <f t="shared" si="5"/>
        <v>hi_gas</v>
      </c>
      <c r="E16" t="str">
        <f t="shared" si="6"/>
        <v>CH0</v>
      </c>
      <c r="F16" s="26">
        <f t="shared" si="7"/>
        <v>1665.2918506448</v>
      </c>
      <c r="H16">
        <f t="shared" si="8"/>
        <v>1</v>
      </c>
      <c r="I16">
        <f t="shared" si="9"/>
        <v>2</v>
      </c>
      <c r="J16">
        <f t="shared" si="10"/>
        <v>1</v>
      </c>
      <c r="K16">
        <f t="shared" si="11"/>
        <v>1</v>
      </c>
      <c r="M16" t="s">
        <v>15</v>
      </c>
      <c r="N16" t="s">
        <v>31</v>
      </c>
      <c r="O16" t="s">
        <v>110</v>
      </c>
      <c r="P16" s="26">
        <f t="shared" si="0"/>
        <v>1924</v>
      </c>
      <c r="Q16" s="26">
        <f>INDEX(DE!$C$2:$K$18,MATCH($O16,DE!$B$2:$B$18,0),MATCH(Q$5,DE!$C$1:$K$1,0))</f>
        <v>1924</v>
      </c>
      <c r="R16" s="26">
        <f>INDEX(DE!$C$2:$K$18,MATCH($O16,DE!$B$2:$B$18,0),MATCH(R$5,DE!$C$1:$K$1,0))</f>
        <v>1924</v>
      </c>
      <c r="S16" s="26">
        <f>INDEX(DE!$C$2:$K$18,MATCH($O16,DE!$B$2:$B$18,0),MATCH(S$5,DE!$C$1:$K$1,0))</f>
        <v>1924</v>
      </c>
      <c r="T16" s="26">
        <f>INDEX(DE!$C$2:$K$18,MATCH($O16,DE!$B$2:$B$18,0),MATCH(T$5,DE!$C$1:$K$1,0))</f>
        <v>1924</v>
      </c>
      <c r="U16" s="26">
        <f>INDEX(DE!$C$2:$K$18,MATCH($O16,DE!$B$2:$B$18,0),MATCH(U$5,DE!$C$1:$K$1,0))</f>
        <v>1924</v>
      </c>
      <c r="V16" s="26">
        <f>INDEX(DE!$C$2:$K$18,MATCH($O16,DE!$B$2:$B$18,0),MATCH(V$5,DE!$C$1:$K$1,0))</f>
        <v>1924</v>
      </c>
      <c r="W16" s="26">
        <f>INDEX(DE!$C$2:$K$18,MATCH($O16,DE!$B$2:$B$18,0),MATCH(W$5,DE!$C$1:$K$1,0))</f>
        <v>1924</v>
      </c>
      <c r="X16" s="26">
        <f>INDEX(DE!$C$2:$K$18,MATCH($O16,DE!$B$2:$B$18,0),MATCH(X$5,DE!$C$1:$K$1,0))</f>
        <v>1924</v>
      </c>
      <c r="Z16" t="str">
        <f t="shared" si="1"/>
        <v>DE0.WAS_ELC</v>
      </c>
      <c r="AA16" s="29">
        <f t="shared" si="2"/>
        <v>0</v>
      </c>
      <c r="AB16" s="29"/>
      <c r="AC16" t="s">
        <v>71</v>
      </c>
      <c r="AD16" t="s">
        <v>70</v>
      </c>
      <c r="AE16" t="s">
        <v>18</v>
      </c>
      <c r="AF16" t="s">
        <v>16</v>
      </c>
      <c r="AG16">
        <v>8600000</v>
      </c>
      <c r="AH16">
        <v>3007</v>
      </c>
      <c r="AI16">
        <v>2859.9933488526799</v>
      </c>
    </row>
    <row r="17" spans="2:35">
      <c r="B17" t="str">
        <f t="shared" si="3"/>
        <v>WIN_ONS</v>
      </c>
      <c r="C17">
        <f t="shared" si="4"/>
        <v>2020</v>
      </c>
      <c r="D17" t="str">
        <f t="shared" si="5"/>
        <v>hi_gas</v>
      </c>
      <c r="E17" t="str">
        <f t="shared" si="6"/>
        <v>CH0</v>
      </c>
      <c r="F17" s="26">
        <f t="shared" si="7"/>
        <v>240.568875087078</v>
      </c>
      <c r="H17">
        <f t="shared" si="8"/>
        <v>2</v>
      </c>
      <c r="I17">
        <f t="shared" si="9"/>
        <v>2</v>
      </c>
      <c r="J17">
        <f t="shared" si="10"/>
        <v>1</v>
      </c>
      <c r="K17">
        <f t="shared" si="11"/>
        <v>1</v>
      </c>
      <c r="M17" t="s">
        <v>15</v>
      </c>
      <c r="N17" t="s">
        <v>31</v>
      </c>
      <c r="O17" t="s">
        <v>91</v>
      </c>
      <c r="P17" s="26">
        <f t="shared" si="0"/>
        <v>20679</v>
      </c>
      <c r="Q17" s="26">
        <f>INDEX(DE!$C$2:$K$18,MATCH($O17,DE!$B$2:$B$18,0),MATCH(Q$5,DE!$C$1:$K$1,0))</f>
        <v>20679</v>
      </c>
      <c r="R17" s="26">
        <f>INDEX(DE!$C$2:$K$18,MATCH($O17,DE!$B$2:$B$18,0),MATCH(R$5,DE!$C$1:$K$1,0))</f>
        <v>19020.280999178278</v>
      </c>
      <c r="S17" s="26">
        <f>INDEX(DE!$C$2:$K$18,MATCH($O17,DE!$B$2:$B$18,0),MATCH(S$5,DE!$C$1:$K$1,0))</f>
        <v>16812.187431267441</v>
      </c>
      <c r="T17" s="26">
        <f>INDEX(DE!$C$2:$K$18,MATCH($O17,DE!$B$2:$B$18,0),MATCH(T$5,DE!$C$1:$K$1,0))</f>
        <v>13987.423020108299</v>
      </c>
      <c r="U17" s="26">
        <f>INDEX(DE!$C$2:$K$18,MATCH($O17,DE!$B$2:$B$18,0),MATCH(U$5,DE!$C$1:$K$1,0))</f>
        <v>11775.924582341577</v>
      </c>
      <c r="V17" s="26">
        <f>INDEX(DE!$C$2:$K$18,MATCH($O17,DE!$B$2:$B$18,0),MATCH(V$5,DE!$C$1:$K$1,0))</f>
        <v>10501.691860395493</v>
      </c>
      <c r="W17" s="26">
        <f>INDEX(DE!$C$2:$K$18,MATCH($O17,DE!$B$2:$B$18,0),MATCH(W$5,DE!$C$1:$K$1,0))</f>
        <v>9309.330063145042</v>
      </c>
      <c r="X17" s="26">
        <f>INDEX(DE!$C$2:$K$18,MATCH($O17,DE!$B$2:$B$18,0),MATCH(X$5,DE!$C$1:$K$1,0))</f>
        <v>9309.330063145042</v>
      </c>
      <c r="Z17" t="str">
        <f t="shared" si="1"/>
        <v>DE0.LIG_LIN</v>
      </c>
      <c r="AA17" s="29">
        <f t="shared" si="2"/>
        <v>0</v>
      </c>
      <c r="AB17" s="29"/>
      <c r="AC17" t="s">
        <v>72</v>
      </c>
      <c r="AD17" t="s">
        <v>70</v>
      </c>
      <c r="AE17" t="s">
        <v>18</v>
      </c>
      <c r="AF17" t="s">
        <v>17</v>
      </c>
      <c r="AG17">
        <v>39315500</v>
      </c>
      <c r="AH17">
        <v>8700.2000000000007</v>
      </c>
      <c r="AI17">
        <v>4518.9191053079203</v>
      </c>
    </row>
    <row r="18" spans="2:35">
      <c r="B18" t="str">
        <f t="shared" si="3"/>
        <v>GEO_ELC</v>
      </c>
      <c r="C18">
        <f t="shared" si="4"/>
        <v>2020</v>
      </c>
      <c r="D18" t="str">
        <f t="shared" si="5"/>
        <v>hi_gas</v>
      </c>
      <c r="E18" t="str">
        <f t="shared" si="6"/>
        <v>CH0</v>
      </c>
      <c r="F18" s="26">
        <f t="shared" si="7"/>
        <v>12.9795791896249</v>
      </c>
      <c r="H18">
        <f t="shared" si="8"/>
        <v>3</v>
      </c>
      <c r="I18">
        <f t="shared" si="9"/>
        <v>2</v>
      </c>
      <c r="J18">
        <f t="shared" si="10"/>
        <v>1</v>
      </c>
      <c r="K18">
        <f t="shared" si="11"/>
        <v>1</v>
      </c>
      <c r="M18" t="s">
        <v>15</v>
      </c>
      <c r="N18" t="s">
        <v>31</v>
      </c>
      <c r="O18" t="s">
        <v>70</v>
      </c>
      <c r="P18" s="26">
        <f t="shared" si="0"/>
        <v>24612.6</v>
      </c>
      <c r="Q18" s="26">
        <f>INDEX(DE!$C$2:$K$18,MATCH($O18,DE!$B$2:$B$18,0),MATCH(Q$5,DE!$C$1:$K$1,0))</f>
        <v>24612.6</v>
      </c>
      <c r="R18" s="26">
        <f>INDEX(DE!$C$2:$K$18,MATCH($O18,DE!$B$2:$B$18,0),MATCH(R$5,DE!$C$1:$K$1,0))</f>
        <v>23397.811875606982</v>
      </c>
      <c r="S18" s="26">
        <f>INDEX(DE!$C$2:$K$18,MATCH($O18,DE!$B$2:$B$18,0),MATCH(S$5,DE!$C$1:$K$1,0))</f>
        <v>21563.676952016125</v>
      </c>
      <c r="T18" s="26">
        <f>INDEX(DE!$C$2:$K$18,MATCH($O18,DE!$B$2:$B$18,0),MATCH(T$5,DE!$C$1:$K$1,0))</f>
        <v>18742.41659256093</v>
      </c>
      <c r="U18" s="26">
        <f>INDEX(DE!$C$2:$K$18,MATCH($O18,DE!$B$2:$B$18,0),MATCH(U$5,DE!$C$1:$K$1,0))</f>
        <v>12593.859233645098</v>
      </c>
      <c r="V18" s="26">
        <f>INDEX(DE!$C$2:$K$18,MATCH($O18,DE!$B$2:$B$18,0),MATCH(V$5,DE!$C$1:$K$1,0))</f>
        <v>11362.487577206884</v>
      </c>
      <c r="W18" s="26">
        <f>INDEX(DE!$C$2:$K$18,MATCH($O18,DE!$B$2:$B$18,0),MATCH(W$5,DE!$C$1:$K$1,0))</f>
        <v>10210.232972481657</v>
      </c>
      <c r="X18" s="26">
        <f>INDEX(DE!$C$2:$K$18,MATCH($O18,DE!$B$2:$B$18,0),MATCH(X$5,DE!$C$1:$K$1,0))</f>
        <v>10210.232972481657</v>
      </c>
      <c r="Z18" t="str">
        <f t="shared" si="1"/>
        <v>DE0.HCO_LIN</v>
      </c>
      <c r="AA18" s="29">
        <f t="shared" si="2"/>
        <v>0</v>
      </c>
      <c r="AB18" s="29"/>
      <c r="AE18" t="s">
        <v>19</v>
      </c>
      <c r="AF18" t="s">
        <v>12</v>
      </c>
      <c r="AG18">
        <v>0</v>
      </c>
    </row>
    <row r="19" spans="2:35">
      <c r="B19" t="str">
        <f t="shared" si="3"/>
        <v>GAS_NEW</v>
      </c>
      <c r="C19">
        <f t="shared" si="4"/>
        <v>2020</v>
      </c>
      <c r="D19" t="str">
        <f t="shared" si="5"/>
        <v>hi_gas</v>
      </c>
      <c r="E19" t="str">
        <f t="shared" si="6"/>
        <v>CH0</v>
      </c>
      <c r="F19" s="26">
        <f t="shared" si="7"/>
        <v>309.78711639480201</v>
      </c>
      <c r="H19">
        <f t="shared" si="8"/>
        <v>4</v>
      </c>
      <c r="I19">
        <f t="shared" si="9"/>
        <v>2</v>
      </c>
      <c r="J19">
        <f t="shared" si="10"/>
        <v>1</v>
      </c>
      <c r="K19">
        <f t="shared" si="11"/>
        <v>1</v>
      </c>
      <c r="M19" t="s">
        <v>15</v>
      </c>
      <c r="N19" t="s">
        <v>31</v>
      </c>
      <c r="O19" t="s">
        <v>65</v>
      </c>
      <c r="P19" s="26">
        <f t="shared" si="0"/>
        <v>0</v>
      </c>
      <c r="Q19" s="26">
        <f>INDEX(DE!$C$2:$K$18,MATCH($O19,DE!$B$2:$B$18,0),MATCH(Q$5,DE!$C$1:$K$1,0))</f>
        <v>24</v>
      </c>
      <c r="R19" s="26">
        <f>INDEX(DE!$C$2:$K$18,MATCH($O19,DE!$B$2:$B$18,0),MATCH(R$5,DE!$C$1:$K$1,0))</f>
        <v>170.262264109867</v>
      </c>
      <c r="S19" s="26">
        <f>INDEX(DE!$C$2:$K$18,MATCH($O19,DE!$B$2:$B$18,0),MATCH(S$5,DE!$C$1:$K$1,0))</f>
        <v>170.262264109867</v>
      </c>
      <c r="T19" s="26">
        <f>INDEX(DE!$C$2:$K$18,MATCH($O19,DE!$B$2:$B$18,0),MATCH(T$5,DE!$C$1:$K$1,0))</f>
        <v>170.262264109867</v>
      </c>
      <c r="U19" s="26">
        <f>INDEX(DE!$C$2:$K$18,MATCH($O19,DE!$B$2:$B$18,0),MATCH(U$5,DE!$C$1:$K$1,0))</f>
        <v>170.262264109867</v>
      </c>
      <c r="V19" s="26">
        <f>INDEX(DE!$C$2:$K$18,MATCH($O19,DE!$B$2:$B$18,0),MATCH(V$5,DE!$C$1:$K$1,0))</f>
        <v>170.262264109867</v>
      </c>
      <c r="W19" s="26">
        <f>INDEX(DE!$C$2:$K$18,MATCH($O19,DE!$B$2:$B$18,0),MATCH(W$5,DE!$C$1:$K$1,0))</f>
        <v>170.262264109867</v>
      </c>
      <c r="X19" s="26">
        <f>INDEX(DE!$C$2:$K$18,MATCH($O19,DE!$B$2:$B$18,0),MATCH(X$5,DE!$C$1:$K$1,0))</f>
        <v>170.262264109867</v>
      </c>
      <c r="Z19" t="str">
        <f t="shared" si="1"/>
        <v>DE0.GEO_ELC</v>
      </c>
      <c r="AA19" s="29" t="e">
        <f t="shared" si="2"/>
        <v>#DIV/0!</v>
      </c>
      <c r="AB19" s="29"/>
      <c r="AC19" t="s">
        <v>92</v>
      </c>
      <c r="AD19" t="s">
        <v>91</v>
      </c>
      <c r="AE19" t="s">
        <v>19</v>
      </c>
      <c r="AF19" t="s">
        <v>15</v>
      </c>
      <c r="AG19">
        <v>143496528.32800001</v>
      </c>
      <c r="AH19">
        <v>20679</v>
      </c>
      <c r="AI19">
        <v>6939.2392440640297</v>
      </c>
    </row>
    <row r="20" spans="2:35">
      <c r="B20" t="str">
        <f t="shared" si="3"/>
        <v>BAL_ELC</v>
      </c>
      <c r="C20">
        <f t="shared" si="4"/>
        <v>2020</v>
      </c>
      <c r="D20" t="str">
        <f t="shared" si="5"/>
        <v>hi_gas</v>
      </c>
      <c r="E20" t="str">
        <f t="shared" si="6"/>
        <v>CH0</v>
      </c>
      <c r="F20" s="26">
        <f t="shared" si="7"/>
        <v>191.26334532998399</v>
      </c>
      <c r="H20">
        <f t="shared" si="8"/>
        <v>5</v>
      </c>
      <c r="I20">
        <f t="shared" si="9"/>
        <v>2</v>
      </c>
      <c r="J20">
        <f t="shared" si="10"/>
        <v>1</v>
      </c>
      <c r="K20">
        <f t="shared" si="11"/>
        <v>1</v>
      </c>
      <c r="M20" t="s">
        <v>15</v>
      </c>
      <c r="N20" t="s">
        <v>31</v>
      </c>
      <c r="O20" t="s">
        <v>115</v>
      </c>
      <c r="P20" s="26">
        <f t="shared" si="0"/>
        <v>3283</v>
      </c>
      <c r="Q20" s="26">
        <f>INDEX(DE!$C$2:$K$18,MATCH($O20,DE!$B$2:$B$18,0),MATCH(Q$5,DE!$C$1:$K$1,0))</f>
        <v>3663.6067594433389</v>
      </c>
      <c r="R20" s="26">
        <f>INDEX(DE!$C$2:$K$18,MATCH($O20,DE!$B$2:$B$18,0),MATCH(R$5,DE!$C$1:$K$1,0))</f>
        <v>9893.1164723693928</v>
      </c>
      <c r="S20" s="26">
        <f>INDEX(DE!$C$2:$K$18,MATCH($O20,DE!$B$2:$B$18,0),MATCH(S$5,DE!$C$1:$K$1,0))</f>
        <v>9921.0811225293437</v>
      </c>
      <c r="T20" s="26">
        <f>INDEX(DE!$C$2:$K$18,MATCH($O20,DE!$B$2:$B$18,0),MATCH(T$5,DE!$C$1:$K$1,0))</f>
        <v>11931.470763108709</v>
      </c>
      <c r="U20" s="26">
        <f>INDEX(DE!$C$2:$K$18,MATCH($O20,DE!$B$2:$B$18,0),MATCH(U$5,DE!$C$1:$K$1,0))</f>
        <v>13761.477234318272</v>
      </c>
      <c r="V20" s="26">
        <f>INDEX(DE!$C$2:$K$18,MATCH($O20,DE!$B$2:$B$18,0),MATCH(V$5,DE!$C$1:$K$1,0))</f>
        <v>14209.950655273055</v>
      </c>
      <c r="W20" s="26">
        <f>INDEX(DE!$C$2:$K$18,MATCH($O20,DE!$B$2:$B$18,0),MATCH(W$5,DE!$C$1:$K$1,0))</f>
        <v>16633.528340732239</v>
      </c>
      <c r="X20" s="26">
        <f>INDEX(DE!$C$2:$K$18,MATCH($O20,DE!$B$2:$B$18,0),MATCH(X$5,DE!$C$1:$K$1,0))</f>
        <v>17720.148155198676</v>
      </c>
      <c r="Z20" t="str">
        <f t="shared" si="1"/>
        <v>DE0.WIN_OFF</v>
      </c>
      <c r="AA20" s="29">
        <f t="shared" si="2"/>
        <v>0.11593261024774258</v>
      </c>
      <c r="AB20" s="29"/>
      <c r="AE20" t="s">
        <v>19</v>
      </c>
      <c r="AF20" t="s">
        <v>17</v>
      </c>
      <c r="AG20">
        <v>0</v>
      </c>
    </row>
    <row r="21" spans="2:35">
      <c r="B21" t="str">
        <f t="shared" si="3"/>
        <v>SOL_PHO</v>
      </c>
      <c r="C21">
        <f t="shared" si="4"/>
        <v>2025</v>
      </c>
      <c r="D21" t="str">
        <f t="shared" si="5"/>
        <v>hi_gas</v>
      </c>
      <c r="E21" t="str">
        <f t="shared" si="6"/>
        <v>CH0</v>
      </c>
      <c r="F21" s="26">
        <f t="shared" si="7"/>
        <v>2192.7428977140098</v>
      </c>
      <c r="H21">
        <f t="shared" si="8"/>
        <v>1</v>
      </c>
      <c r="I21">
        <f t="shared" si="9"/>
        <v>3</v>
      </c>
      <c r="J21">
        <f t="shared" si="10"/>
        <v>1</v>
      </c>
      <c r="K21">
        <f t="shared" si="11"/>
        <v>1</v>
      </c>
      <c r="AA21" s="29"/>
      <c r="AB21" s="29"/>
      <c r="AC21" t="s">
        <v>97</v>
      </c>
      <c r="AD21" t="s">
        <v>100</v>
      </c>
      <c r="AE21" t="s">
        <v>20</v>
      </c>
      <c r="AF21" t="s">
        <v>12</v>
      </c>
      <c r="AG21">
        <v>832452.63103857404</v>
      </c>
      <c r="AH21">
        <v>174</v>
      </c>
      <c r="AI21">
        <v>4784.2105232102003</v>
      </c>
    </row>
    <row r="22" spans="2:35">
      <c r="B22" t="str">
        <f t="shared" si="3"/>
        <v>WIN_ONS</v>
      </c>
      <c r="C22">
        <f t="shared" si="4"/>
        <v>2025</v>
      </c>
      <c r="D22" t="str">
        <f t="shared" si="5"/>
        <v>hi_gas</v>
      </c>
      <c r="E22" t="str">
        <f t="shared" si="6"/>
        <v>CH0</v>
      </c>
      <c r="F22" s="26">
        <f t="shared" si="7"/>
        <v>432.48077437332302</v>
      </c>
      <c r="H22">
        <f t="shared" si="8"/>
        <v>2</v>
      </c>
      <c r="I22">
        <f t="shared" si="9"/>
        <v>3</v>
      </c>
      <c r="J22">
        <f t="shared" si="10"/>
        <v>1</v>
      </c>
      <c r="K22">
        <f t="shared" si="11"/>
        <v>1</v>
      </c>
      <c r="M22" t="s">
        <v>16</v>
      </c>
      <c r="N22" t="s">
        <v>31</v>
      </c>
      <c r="O22" t="s">
        <v>95</v>
      </c>
      <c r="P22" s="26">
        <f t="shared" ref="P22:P36" si="12">SUMIFS($AH$8:$AH$73,$AD$8:$AD$73,O22,$AF$8:$AF$73,M22)</f>
        <v>63130</v>
      </c>
      <c r="Q22" s="26">
        <f>INDEX(FR!$C$2:$K$18,MATCH($O22,FR!$B$2:$B$18,0),MATCH(Q$5,FR!$C$1:$K$1,0))</f>
        <v>63246.720000000001</v>
      </c>
      <c r="R22" s="26">
        <f>INDEX(FR!$C$2:$K$18,MATCH($O22,FR!$B$2:$B$18,0),MATCH(R$5,FR!$C$1:$K$1,0))</f>
        <v>61326.720000000001</v>
      </c>
      <c r="S22" s="26">
        <f>INDEX(FR!$C$2:$K$18,MATCH($O22,FR!$B$2:$B$18,0),MATCH(S$5,FR!$C$1:$K$1,0))</f>
        <v>59493.120000000003</v>
      </c>
      <c r="T22" s="26">
        <f>INDEX(FR!$C$2:$K$18,MATCH($O22,FR!$B$2:$B$18,0),MATCH(T$5,FR!$C$1:$K$1,0))</f>
        <v>59493.120000000003</v>
      </c>
      <c r="U22" s="26">
        <f>INDEX(FR!$C$2:$K$18,MATCH($O22,FR!$B$2:$B$18,0),MATCH(U$5,FR!$C$1:$K$1,0))</f>
        <v>56330.16</v>
      </c>
      <c r="V22" s="26">
        <f>INDEX(FR!$C$2:$K$18,MATCH($O22,FR!$B$2:$B$18,0),MATCH(V$5,FR!$C$1:$K$1,0))</f>
        <v>42452.160000000003</v>
      </c>
      <c r="W22" s="26">
        <f>INDEX(FR!$C$2:$K$18,MATCH($O22,FR!$B$2:$B$18,0),MATCH(W$5,FR!$C$1:$K$1,0))</f>
        <v>39118.559999999998</v>
      </c>
      <c r="X22" s="26">
        <f>INDEX(FR!$C$2:$K$18,MATCH($O22,FR!$B$2:$B$18,0),MATCH(X$5,FR!$C$1:$K$1,0))</f>
        <v>32276.400000000001</v>
      </c>
      <c r="Z22" t="str">
        <f t="shared" ref="Z22:Z36" si="13">M22&amp;"."&amp;O22</f>
        <v>FR0.NUC_ELC</v>
      </c>
      <c r="AA22" s="29">
        <f t="shared" ref="AA22:AA36" si="14">(Q22-P22)/P22</f>
        <v>1.8488832567717592E-3</v>
      </c>
      <c r="AB22" s="29"/>
      <c r="AC22" t="s">
        <v>98</v>
      </c>
      <c r="AD22" t="s">
        <v>100</v>
      </c>
      <c r="AE22" t="s">
        <v>20</v>
      </c>
      <c r="AF22" t="s">
        <v>14</v>
      </c>
      <c r="AG22">
        <v>32397.443837237799</v>
      </c>
      <c r="AH22">
        <v>75</v>
      </c>
      <c r="AI22">
        <v>431.96591782983802</v>
      </c>
    </row>
    <row r="23" spans="2:35">
      <c r="B23" t="str">
        <f t="shared" si="3"/>
        <v>GEO_ELC</v>
      </c>
      <c r="C23">
        <f t="shared" si="4"/>
        <v>2025</v>
      </c>
      <c r="D23" t="str">
        <f t="shared" si="5"/>
        <v>hi_gas</v>
      </c>
      <c r="E23" t="str">
        <f t="shared" si="6"/>
        <v>CH0</v>
      </c>
      <c r="F23" s="26">
        <f t="shared" si="7"/>
        <v>37.640779649912098</v>
      </c>
      <c r="H23">
        <f t="shared" si="8"/>
        <v>3</v>
      </c>
      <c r="I23">
        <f t="shared" si="9"/>
        <v>3</v>
      </c>
      <c r="J23">
        <f t="shared" si="10"/>
        <v>1</v>
      </c>
      <c r="K23">
        <f t="shared" si="11"/>
        <v>1</v>
      </c>
      <c r="M23" t="s">
        <v>16</v>
      </c>
      <c r="N23" t="s">
        <v>31</v>
      </c>
      <c r="O23" t="s">
        <v>105</v>
      </c>
      <c r="P23" s="26">
        <f t="shared" si="12"/>
        <v>6196.2</v>
      </c>
      <c r="Q23" s="26">
        <f>INDEX(FR!$C$2:$K$18,MATCH($O23,FR!$B$2:$B$18,0),MATCH(Q$5,FR!$C$1:$K$1,0))</f>
        <v>6100.17</v>
      </c>
      <c r="R23" s="26">
        <f>INDEX(FR!$C$2:$K$18,MATCH($O23,FR!$B$2:$B$18,0),MATCH(R$5,FR!$C$1:$K$1,0))</f>
        <v>20535.284350296701</v>
      </c>
      <c r="S23" s="26">
        <f>INDEX(FR!$C$2:$K$18,MATCH($O23,FR!$B$2:$B$18,0),MATCH(S$5,FR!$C$1:$K$1,0))</f>
        <v>24531.672330268499</v>
      </c>
      <c r="T23" s="26">
        <f>INDEX(FR!$C$2:$K$18,MATCH($O23,FR!$B$2:$B$18,0),MATCH(T$5,FR!$C$1:$K$1,0))</f>
        <v>25381.672330268499</v>
      </c>
      <c r="U23" s="26">
        <f>INDEX(FR!$C$2:$K$18,MATCH($O23,FR!$B$2:$B$18,0),MATCH(U$5,FR!$C$1:$K$1,0))</f>
        <v>25731.672330268499</v>
      </c>
      <c r="V23" s="26">
        <f>INDEX(FR!$C$2:$K$18,MATCH($O23,FR!$B$2:$B$18,0),MATCH(V$5,FR!$C$1:$K$1,0))</f>
        <v>31850.081245220499</v>
      </c>
      <c r="W23" s="26">
        <f>INDEX(FR!$C$2:$K$18,MATCH($O23,FR!$B$2:$B$18,0),MATCH(W$5,FR!$C$1:$K$1,0))</f>
        <v>35312.334179876503</v>
      </c>
      <c r="X23" s="26">
        <f>INDEX(FR!$C$2:$K$18,MATCH($O23,FR!$B$2:$B$18,0),MATCH(X$5,FR!$C$1:$K$1,0))</f>
        <v>45200.004896947001</v>
      </c>
      <c r="Z23" t="str">
        <f t="shared" si="13"/>
        <v>FR0.SOL_PHO</v>
      </c>
      <c r="AA23" s="29">
        <f t="shared" si="14"/>
        <v>-1.5498208579451882E-2</v>
      </c>
      <c r="AB23" s="29"/>
      <c r="AC23" t="s">
        <v>99</v>
      </c>
      <c r="AD23" t="s">
        <v>100</v>
      </c>
      <c r="AE23" t="s">
        <v>20</v>
      </c>
      <c r="AF23" t="s">
        <v>15</v>
      </c>
      <c r="AG23">
        <v>6208011</v>
      </c>
      <c r="AH23">
        <v>4200</v>
      </c>
      <c r="AI23">
        <v>1478.09785714286</v>
      </c>
    </row>
    <row r="24" spans="2:35">
      <c r="B24" t="str">
        <f t="shared" si="3"/>
        <v>GAS_NEW</v>
      </c>
      <c r="C24">
        <f t="shared" si="4"/>
        <v>2025</v>
      </c>
      <c r="D24" t="str">
        <f t="shared" si="5"/>
        <v>hi_gas</v>
      </c>
      <c r="E24" t="str">
        <f t="shared" si="6"/>
        <v>CH0</v>
      </c>
      <c r="F24" s="26">
        <f t="shared" si="7"/>
        <v>486.59109759469197</v>
      </c>
      <c r="H24">
        <f t="shared" si="8"/>
        <v>4</v>
      </c>
      <c r="I24">
        <f t="shared" si="9"/>
        <v>3</v>
      </c>
      <c r="J24">
        <f t="shared" si="10"/>
        <v>1</v>
      </c>
      <c r="K24">
        <f t="shared" si="11"/>
        <v>1</v>
      </c>
      <c r="M24" t="s">
        <v>16</v>
      </c>
      <c r="N24" t="s">
        <v>31</v>
      </c>
      <c r="O24" t="s">
        <v>120</v>
      </c>
      <c r="P24" s="26">
        <f t="shared" si="12"/>
        <v>10324.5</v>
      </c>
      <c r="Q24" s="26">
        <f>INDEX(FR!$C$2:$K$18,MATCH($O24,FR!$B$2:$B$18,0),MATCH(Q$5,FR!$C$1:$K$1,0))</f>
        <v>10358.200000000001</v>
      </c>
      <c r="R24" s="26">
        <f>INDEX(FR!$C$2:$K$18,MATCH($O24,FR!$B$2:$B$18,0),MATCH(R$5,FR!$C$1:$K$1,0))</f>
        <v>20469.963322958636</v>
      </c>
      <c r="S24" s="26">
        <f>INDEX(FR!$C$2:$K$18,MATCH($O24,FR!$B$2:$B$18,0),MATCH(S$5,FR!$C$1:$K$1,0))</f>
        <v>20979.281158932474</v>
      </c>
      <c r="T24" s="26">
        <f>INDEX(FR!$C$2:$K$18,MATCH($O24,FR!$B$2:$B$18,0),MATCH(T$5,FR!$C$1:$K$1,0))</f>
        <v>22914.911888970058</v>
      </c>
      <c r="U24" s="26">
        <f>INDEX(FR!$C$2:$K$18,MATCH($O24,FR!$B$2:$B$18,0),MATCH(U$5,FR!$C$1:$K$1,0))</f>
        <v>22914.911888970058</v>
      </c>
      <c r="V24" s="26">
        <f>INDEX(FR!$C$2:$K$18,MATCH($O24,FR!$B$2:$B$18,0),MATCH(V$5,FR!$C$1:$K$1,0))</f>
        <v>27463.543853365696</v>
      </c>
      <c r="W24" s="26">
        <f>INDEX(FR!$C$2:$K$18,MATCH($O24,FR!$B$2:$B$18,0),MATCH(W$5,FR!$C$1:$K$1,0))</f>
        <v>31903.122328619804</v>
      </c>
      <c r="X24" s="26">
        <f>INDEX(FR!$C$2:$K$18,MATCH($O24,FR!$B$2:$B$18,0),MATCH(X$5,FR!$C$1:$K$1,0))</f>
        <v>42870.423406673093</v>
      </c>
      <c r="Z24" t="str">
        <f t="shared" si="13"/>
        <v>FR0.WIN_ONS</v>
      </c>
      <c r="AA24" s="29">
        <f t="shared" si="14"/>
        <v>3.264080585016294E-3</v>
      </c>
      <c r="AB24" s="29"/>
      <c r="AC24" t="s">
        <v>101</v>
      </c>
      <c r="AD24" t="s">
        <v>100</v>
      </c>
      <c r="AE24" t="s">
        <v>20</v>
      </c>
      <c r="AF24" t="s">
        <v>16</v>
      </c>
      <c r="AG24">
        <v>3800000</v>
      </c>
      <c r="AH24">
        <v>8496.5</v>
      </c>
      <c r="AI24">
        <v>447.24298240451998</v>
      </c>
    </row>
    <row r="25" spans="2:35">
      <c r="B25" t="str">
        <f t="shared" si="3"/>
        <v>BAL_ELC</v>
      </c>
      <c r="C25">
        <f t="shared" si="4"/>
        <v>2025</v>
      </c>
      <c r="D25" t="str">
        <f t="shared" si="5"/>
        <v>hi_gas</v>
      </c>
      <c r="E25" t="str">
        <f t="shared" si="6"/>
        <v>CH0</v>
      </c>
      <c r="F25" s="26">
        <f t="shared" si="7"/>
        <v>407.58587783961002</v>
      </c>
      <c r="H25">
        <f t="shared" si="8"/>
        <v>5</v>
      </c>
      <c r="I25">
        <f t="shared" si="9"/>
        <v>3</v>
      </c>
      <c r="J25">
        <f t="shared" si="10"/>
        <v>1</v>
      </c>
      <c r="K25">
        <f t="shared" si="11"/>
        <v>1</v>
      </c>
      <c r="M25" t="s">
        <v>16</v>
      </c>
      <c r="N25" t="s">
        <v>31</v>
      </c>
      <c r="O25" t="s">
        <v>80</v>
      </c>
      <c r="P25" s="26">
        <f t="shared" si="12"/>
        <v>10322.333333</v>
      </c>
      <c r="Q25" s="26">
        <f>INDEX(FR!$C$2:$K$18,MATCH($O25,FR!$B$2:$B$18,0),MATCH(Q$5,FR!$C$1:$K$1,0))</f>
        <v>10381.042848444713</v>
      </c>
      <c r="R25" s="26">
        <f>INDEX(FR!$C$2:$K$18,MATCH($O25,FR!$B$2:$B$18,0),MATCH(R$5,FR!$C$1:$K$1,0))</f>
        <v>10381.052550638075</v>
      </c>
      <c r="S25" s="26">
        <f>INDEX(FR!$C$2:$K$18,MATCH($O25,FR!$B$2:$B$18,0),MATCH(S$5,FR!$C$1:$K$1,0))</f>
        <v>10381.052550638075</v>
      </c>
      <c r="T25" s="26">
        <f>INDEX(FR!$C$2:$K$18,MATCH($O25,FR!$B$2:$B$18,0),MATCH(T$5,FR!$C$1:$K$1,0))</f>
        <v>10381.052550638075</v>
      </c>
      <c r="U25" s="26">
        <f>INDEX(FR!$C$2:$K$18,MATCH($O25,FR!$B$2:$B$18,0),MATCH(U$5,FR!$C$1:$K$1,0))</f>
        <v>10518.100080352559</v>
      </c>
      <c r="V25" s="26">
        <f>INDEX(FR!$C$2:$K$18,MATCH($O25,FR!$B$2:$B$18,0),MATCH(V$5,FR!$C$1:$K$1,0))</f>
        <v>10884.129152471993</v>
      </c>
      <c r="W25" s="26">
        <f>INDEX(FR!$C$2:$K$18,MATCH($O25,FR!$B$2:$B$18,0),MATCH(W$5,FR!$C$1:$K$1,0))</f>
        <v>11271.393841983194</v>
      </c>
      <c r="X25" s="26">
        <f>INDEX(FR!$C$2:$K$18,MATCH($O25,FR!$B$2:$B$18,0),MATCH(X$5,FR!$C$1:$K$1,0))</f>
        <v>11665.450795641442</v>
      </c>
      <c r="Z25" t="str">
        <f t="shared" si="13"/>
        <v>FR0.HYD_ROR</v>
      </c>
      <c r="AA25" s="29">
        <f t="shared" si="14"/>
        <v>5.6876205747997859E-3</v>
      </c>
      <c r="AB25" s="29"/>
      <c r="AC25" t="s">
        <v>102</v>
      </c>
      <c r="AD25" t="s">
        <v>100</v>
      </c>
      <c r="AE25" t="s">
        <v>20</v>
      </c>
      <c r="AF25" t="s">
        <v>17</v>
      </c>
      <c r="AG25">
        <v>12721100</v>
      </c>
      <c r="AH25">
        <v>3197.9</v>
      </c>
      <c r="AI25">
        <v>3977.9542824978898</v>
      </c>
    </row>
    <row r="26" spans="2:35">
      <c r="B26" t="str">
        <f t="shared" si="3"/>
        <v>SOL_PHO</v>
      </c>
      <c r="C26">
        <f t="shared" si="4"/>
        <v>2030</v>
      </c>
      <c r="D26" t="str">
        <f t="shared" si="5"/>
        <v>hi_gas</v>
      </c>
      <c r="E26" t="str">
        <f t="shared" si="6"/>
        <v>CH0</v>
      </c>
      <c r="F26" s="26">
        <f t="shared" si="7"/>
        <v>3259.1113189626299</v>
      </c>
      <c r="H26">
        <f t="shared" si="8"/>
        <v>1</v>
      </c>
      <c r="I26">
        <f t="shared" si="9"/>
        <v>4</v>
      </c>
      <c r="J26">
        <f t="shared" si="10"/>
        <v>1</v>
      </c>
      <c r="K26">
        <f t="shared" si="11"/>
        <v>1</v>
      </c>
      <c r="M26" t="s">
        <v>16</v>
      </c>
      <c r="N26" t="s">
        <v>31</v>
      </c>
      <c r="O26" t="s">
        <v>75</v>
      </c>
      <c r="P26" s="26">
        <f t="shared" si="12"/>
        <v>8214</v>
      </c>
      <c r="Q26" s="26">
        <f>INDEX(FR!$C$2:$K$18,MATCH($O26,FR!$B$2:$B$18,0),MATCH(Q$5,FR!$C$1:$K$1,0))</f>
        <v>8260.7181154014052</v>
      </c>
      <c r="R26" s="26">
        <f>INDEX(FR!$C$2:$K$18,MATCH($O26,FR!$B$2:$B$18,0),MATCH(R$5,FR!$C$1:$K$1,0))</f>
        <v>8260.7258359248281</v>
      </c>
      <c r="S26" s="26">
        <f>INDEX(FR!$C$2:$K$18,MATCH($O26,FR!$B$2:$B$18,0),MATCH(S$5,FR!$C$1:$K$1,0))</f>
        <v>8260.7258359248281</v>
      </c>
      <c r="T26" s="26">
        <f>INDEX(FR!$C$2:$K$18,MATCH($O26,FR!$B$2:$B$18,0),MATCH(T$5,FR!$C$1:$K$1,0))</f>
        <v>8260.7258359248281</v>
      </c>
      <c r="U26" s="26">
        <f>INDEX(FR!$C$2:$K$18,MATCH($O26,FR!$B$2:$B$18,0),MATCH(U$5,FR!$C$1:$K$1,0))</f>
        <v>8369.7814508482425</v>
      </c>
      <c r="V26" s="26">
        <f>INDEX(FR!$C$2:$K$18,MATCH($O26,FR!$B$2:$B$18,0),MATCH(V$5,FR!$C$1:$K$1,0))</f>
        <v>8661.0492002414139</v>
      </c>
      <c r="W26" s="26">
        <f>INDEX(FR!$C$2:$K$18,MATCH($O26,FR!$B$2:$B$18,0),MATCH(W$5,FR!$C$1:$K$1,0))</f>
        <v>8969.2151988606929</v>
      </c>
      <c r="X26" s="26">
        <f>INDEX(FR!$C$2:$K$18,MATCH($O26,FR!$B$2:$B$18,0),MATCH(X$5,FR!$C$1:$K$1,0))</f>
        <v>9282.7861438137097</v>
      </c>
      <c r="Z26" t="str">
        <f t="shared" si="13"/>
        <v>FR0.HYD_RES</v>
      </c>
      <c r="AA26" s="29">
        <f t="shared" si="14"/>
        <v>5.6876205747997512E-3</v>
      </c>
      <c r="AB26" s="29"/>
      <c r="AC26" t="s">
        <v>59</v>
      </c>
      <c r="AD26" t="s">
        <v>60</v>
      </c>
      <c r="AE26" t="s">
        <v>21</v>
      </c>
      <c r="AF26" t="s">
        <v>12</v>
      </c>
      <c r="AG26">
        <v>9547025.7580425404</v>
      </c>
      <c r="AH26">
        <v>3996.3</v>
      </c>
      <c r="AI26">
        <v>2388.9662332764101</v>
      </c>
    </row>
    <row r="27" spans="2:35">
      <c r="B27" t="str">
        <f t="shared" si="3"/>
        <v>WIN_ONS</v>
      </c>
      <c r="C27">
        <f t="shared" si="4"/>
        <v>2030</v>
      </c>
      <c r="D27" t="str">
        <f t="shared" si="5"/>
        <v>hi_gas</v>
      </c>
      <c r="E27" t="str">
        <f t="shared" si="6"/>
        <v>CH0</v>
      </c>
      <c r="F27" s="26">
        <f t="shared" si="7"/>
        <v>705.80984305373204</v>
      </c>
      <c r="H27">
        <f t="shared" si="8"/>
        <v>2</v>
      </c>
      <c r="I27">
        <f t="shared" si="9"/>
        <v>4</v>
      </c>
      <c r="J27">
        <f t="shared" si="10"/>
        <v>1</v>
      </c>
      <c r="K27">
        <f t="shared" si="11"/>
        <v>1</v>
      </c>
      <c r="M27" t="s">
        <v>16</v>
      </c>
      <c r="N27" t="s">
        <v>31</v>
      </c>
      <c r="O27" t="s">
        <v>85</v>
      </c>
      <c r="P27" s="26">
        <f t="shared" si="12"/>
        <v>4965</v>
      </c>
      <c r="Q27" s="26">
        <f>INDEX(FR!$C$2:$K$18,MATCH($O27,FR!$B$2:$B$18,0),MATCH(Q$5,FR!$C$1:$K$1,0))</f>
        <v>4993.239036153881</v>
      </c>
      <c r="R27" s="26">
        <f>INDEX(FR!$C$2:$K$18,MATCH($O27,FR!$B$2:$B$18,0),MATCH(R$5,FR!$C$1:$K$1,0))</f>
        <v>4993.2437028690974</v>
      </c>
      <c r="S27" s="26">
        <f>INDEX(FR!$C$2:$K$18,MATCH($O27,FR!$B$2:$B$18,0),MATCH(S$5,FR!$C$1:$K$1,0))</f>
        <v>4993.2437028690974</v>
      </c>
      <c r="T27" s="26">
        <f>INDEX(FR!$C$2:$K$18,MATCH($O27,FR!$B$2:$B$18,0),MATCH(T$5,FR!$C$1:$K$1,0))</f>
        <v>4993.2437028690974</v>
      </c>
      <c r="U27" s="26">
        <f>INDEX(FR!$C$2:$K$18,MATCH($O27,FR!$B$2:$B$18,0),MATCH(U$5,FR!$C$1:$K$1,0))</f>
        <v>5059.1630026127978</v>
      </c>
      <c r="V27" s="26">
        <f>INDEX(FR!$C$2:$K$18,MATCH($O27,FR!$B$2:$B$18,0),MATCH(V$5,FR!$C$1:$K$1,0))</f>
        <v>5235.2214851714898</v>
      </c>
      <c r="W27" s="26">
        <f>INDEX(FR!$C$2:$K$18,MATCH($O27,FR!$B$2:$B$18,0),MATCH(W$5,FR!$C$1:$K$1,0))</f>
        <v>5421.494212605714</v>
      </c>
      <c r="X27" s="26">
        <f>INDEX(FR!$C$2:$K$18,MATCH($O27,FR!$B$2:$B$18,0),MATCH(X$5,FR!$C$1:$K$1,0))</f>
        <v>5611.0339912387471</v>
      </c>
      <c r="Z27" t="str">
        <f t="shared" si="13"/>
        <v>FR0.HYD_STO</v>
      </c>
      <c r="AA27" s="29">
        <f t="shared" si="14"/>
        <v>5.6876205747997963E-3</v>
      </c>
      <c r="AB27" s="29"/>
      <c r="AC27" t="s">
        <v>61</v>
      </c>
      <c r="AD27" t="s">
        <v>60</v>
      </c>
      <c r="AE27" t="s">
        <v>21</v>
      </c>
      <c r="AF27" t="s">
        <v>14</v>
      </c>
      <c r="AG27">
        <v>597103.01553705905</v>
      </c>
      <c r="AH27">
        <v>310.85000000000002</v>
      </c>
      <c r="AI27">
        <v>1920.8718531029699</v>
      </c>
    </row>
    <row r="28" spans="2:35">
      <c r="B28" t="str">
        <f t="shared" si="3"/>
        <v>GEO_ELC</v>
      </c>
      <c r="C28">
        <f t="shared" si="4"/>
        <v>2030</v>
      </c>
      <c r="D28" t="str">
        <f t="shared" si="5"/>
        <v>hi_gas</v>
      </c>
      <c r="E28" t="str">
        <f t="shared" si="6"/>
        <v>CH0</v>
      </c>
      <c r="F28" s="26">
        <f t="shared" si="7"/>
        <v>88.261138489448996</v>
      </c>
      <c r="H28">
        <f t="shared" si="8"/>
        <v>3</v>
      </c>
      <c r="I28">
        <f t="shared" si="9"/>
        <v>4</v>
      </c>
      <c r="J28">
        <f t="shared" si="10"/>
        <v>1</v>
      </c>
      <c r="K28">
        <f t="shared" si="11"/>
        <v>1</v>
      </c>
      <c r="M28" t="s">
        <v>16</v>
      </c>
      <c r="N28" t="s">
        <v>31</v>
      </c>
      <c r="O28" t="s">
        <v>60</v>
      </c>
      <c r="P28" s="26">
        <f t="shared" si="12"/>
        <v>10236</v>
      </c>
      <c r="Q28" s="26">
        <f>INDEX(FR!$C$2:$K$18,MATCH($O28,FR!$B$2:$B$18,0),MATCH(Q$5,FR!$C$1:$K$1,0))</f>
        <v>9646.1954399999995</v>
      </c>
      <c r="R28" s="26">
        <f>INDEX(FR!$C$2:$K$18,MATCH($O28,FR!$B$2:$B$18,0),MATCH(R$5,FR!$C$1:$K$1,0))</f>
        <v>9180.9182541502105</v>
      </c>
      <c r="S28" s="26">
        <f>INDEX(FR!$C$2:$K$18,MATCH($O28,FR!$B$2:$B$18,0),MATCH(S$5,FR!$C$1:$K$1,0))</f>
        <v>8902.3027766084197</v>
      </c>
      <c r="T28" s="26">
        <f>INDEX(FR!$C$2:$K$18,MATCH($O28,FR!$B$2:$B$18,0),MATCH(T$5,FR!$C$1:$K$1,0))</f>
        <v>8343.6593825100408</v>
      </c>
      <c r="U28" s="26">
        <f>INDEX(FR!$C$2:$K$18,MATCH($O28,FR!$B$2:$B$18,0),MATCH(U$5,FR!$C$1:$K$1,0))</f>
        <v>8343.6593825100408</v>
      </c>
      <c r="V28" s="26">
        <f>INDEX(FR!$C$2:$K$18,MATCH($O28,FR!$B$2:$B$18,0),MATCH(V$5,FR!$C$1:$K$1,0))</f>
        <v>8343.6593825100408</v>
      </c>
      <c r="W28" s="26">
        <f>INDEX(FR!$C$2:$K$18,MATCH($O28,FR!$B$2:$B$18,0),MATCH(W$5,FR!$C$1:$K$1,0))</f>
        <v>8343.6593825100408</v>
      </c>
      <c r="X28" s="26">
        <f>INDEX(FR!$C$2:$K$18,MATCH($O28,FR!$B$2:$B$18,0),MATCH(X$5,FR!$C$1:$K$1,0))</f>
        <v>8343.6593825100408</v>
      </c>
      <c r="Z28" t="str">
        <f t="shared" si="13"/>
        <v>FR0.GAS_LIN</v>
      </c>
      <c r="AA28" s="29">
        <f t="shared" si="14"/>
        <v>-5.7620609613130175E-2</v>
      </c>
      <c r="AB28" s="29"/>
      <c r="AC28" t="s">
        <v>62</v>
      </c>
      <c r="AD28" t="s">
        <v>60</v>
      </c>
      <c r="AE28" t="s">
        <v>21</v>
      </c>
      <c r="AF28" t="s">
        <v>15</v>
      </c>
      <c r="AG28">
        <v>59924643.071999997</v>
      </c>
      <c r="AH28">
        <v>24038.880000000001</v>
      </c>
      <c r="AI28">
        <v>2492.8217567540601</v>
      </c>
    </row>
    <row r="29" spans="2:35">
      <c r="B29" t="str">
        <f t="shared" si="3"/>
        <v>GAS_NEW</v>
      </c>
      <c r="C29">
        <f t="shared" si="4"/>
        <v>2030</v>
      </c>
      <c r="D29" t="str">
        <f t="shared" si="5"/>
        <v>hi_gas</v>
      </c>
      <c r="E29" t="str">
        <f t="shared" si="6"/>
        <v>CH0</v>
      </c>
      <c r="F29" s="26">
        <f t="shared" si="7"/>
        <v>552.94442908487702</v>
      </c>
      <c r="H29">
        <f t="shared" si="8"/>
        <v>4</v>
      </c>
      <c r="I29">
        <f t="shared" si="9"/>
        <v>4</v>
      </c>
      <c r="J29">
        <f t="shared" si="10"/>
        <v>1</v>
      </c>
      <c r="K29">
        <f t="shared" si="11"/>
        <v>1</v>
      </c>
      <c r="M29" t="s">
        <v>16</v>
      </c>
      <c r="N29" t="s">
        <v>31</v>
      </c>
      <c r="O29" t="s">
        <v>441</v>
      </c>
      <c r="P29" s="26">
        <f t="shared" si="12"/>
        <v>0</v>
      </c>
      <c r="Q29" s="26">
        <f>INDEX(FR!$C$2:$K$18,MATCH($O29,FR!$B$2:$B$18,0),MATCH(Q$5,FR!$C$1:$K$1,0))</f>
        <v>0</v>
      </c>
      <c r="R29" s="26">
        <f>INDEX(FR!$C$2:$K$18,MATCH($O29,FR!$B$2:$B$18,0),MATCH(R$5,FR!$C$1:$K$1,0))</f>
        <v>0</v>
      </c>
      <c r="S29" s="26">
        <f>INDEX(FR!$C$2:$K$18,MATCH($O29,FR!$B$2:$B$18,0),MATCH(S$5,FR!$C$1:$K$1,0))</f>
        <v>0</v>
      </c>
      <c r="T29" s="26">
        <f>INDEX(FR!$C$2:$K$18,MATCH($O29,FR!$B$2:$B$18,0),MATCH(T$5,FR!$C$1:$K$1,0))</f>
        <v>0</v>
      </c>
      <c r="U29" s="26">
        <f>INDEX(FR!$C$2:$K$18,MATCH($O29,FR!$B$2:$B$18,0),MATCH(U$5,FR!$C$1:$K$1,0))</f>
        <v>4923.6136319191592</v>
      </c>
      <c r="V29" s="26">
        <f>INDEX(FR!$C$2:$K$18,MATCH($O29,FR!$B$2:$B$18,0),MATCH(V$5,FR!$C$1:$K$1,0))</f>
        <v>14849.69255299066</v>
      </c>
      <c r="W29" s="26">
        <f>INDEX(FR!$C$2:$K$18,MATCH($O29,FR!$B$2:$B$18,0),MATCH(W$5,FR!$C$1:$K$1,0))</f>
        <v>18916.099536294561</v>
      </c>
      <c r="X29" s="26">
        <f>INDEX(FR!$C$2:$K$18,MATCH($O29,FR!$B$2:$B$18,0),MATCH(X$5,FR!$C$1:$K$1,0))</f>
        <v>26580.733478190159</v>
      </c>
      <c r="Z29" t="str">
        <f t="shared" si="13"/>
        <v>FR0.GAS_NEW</v>
      </c>
      <c r="AA29" s="29" t="e">
        <f t="shared" si="14"/>
        <v>#DIV/0!</v>
      </c>
      <c r="AB29" s="29"/>
      <c r="AC29" t="s">
        <v>63</v>
      </c>
      <c r="AD29" t="s">
        <v>60</v>
      </c>
      <c r="AE29" t="s">
        <v>21</v>
      </c>
      <c r="AF29" t="s">
        <v>16</v>
      </c>
      <c r="AG29">
        <v>21900000</v>
      </c>
      <c r="AH29">
        <v>10236</v>
      </c>
      <c r="AI29">
        <v>2139.50762016413</v>
      </c>
    </row>
    <row r="30" spans="2:35">
      <c r="B30" t="str">
        <f t="shared" si="3"/>
        <v>BAL_ELC</v>
      </c>
      <c r="C30">
        <f t="shared" si="4"/>
        <v>2030</v>
      </c>
      <c r="D30" t="str">
        <f t="shared" si="5"/>
        <v>hi_gas</v>
      </c>
      <c r="E30" t="str">
        <f t="shared" si="6"/>
        <v>CH0</v>
      </c>
      <c r="F30" s="26">
        <f t="shared" si="7"/>
        <v>585.73384578871298</v>
      </c>
      <c r="H30">
        <f t="shared" si="8"/>
        <v>5</v>
      </c>
      <c r="I30">
        <f t="shared" si="9"/>
        <v>4</v>
      </c>
      <c r="J30">
        <f t="shared" si="10"/>
        <v>1</v>
      </c>
      <c r="K30">
        <f t="shared" si="11"/>
        <v>1</v>
      </c>
      <c r="M30" t="s">
        <v>16</v>
      </c>
      <c r="N30" t="s">
        <v>31</v>
      </c>
      <c r="O30" t="s">
        <v>100</v>
      </c>
      <c r="P30" s="26">
        <f t="shared" si="12"/>
        <v>8496.5</v>
      </c>
      <c r="Q30" s="26">
        <f>INDEX(FR!$C$2:$K$18,MATCH($O30,FR!$B$2:$B$18,0),MATCH(Q$5,FR!$C$1:$K$1,0))</f>
        <v>7692.8021099999996</v>
      </c>
      <c r="R30" s="26">
        <f>INDEX(FR!$C$2:$K$18,MATCH($O30,FR!$B$2:$B$18,0),MATCH(R$5,FR!$C$1:$K$1,0))</f>
        <v>5008.3338227870099</v>
      </c>
      <c r="S30" s="26">
        <f>INDEX(FR!$C$2:$K$18,MATCH($O30,FR!$B$2:$B$18,0),MATCH(S$5,FR!$C$1:$K$1,0))</f>
        <v>1849.26455278701</v>
      </c>
      <c r="T30" s="26">
        <f>INDEX(FR!$C$2:$K$18,MATCH($O30,FR!$B$2:$B$18,0),MATCH(T$5,FR!$C$1:$K$1,0))</f>
        <v>1678.6422027870001</v>
      </c>
      <c r="U30" s="26">
        <f>INDEX(FR!$C$2:$K$18,MATCH($O30,FR!$B$2:$B$18,0),MATCH(U$5,FR!$C$1:$K$1,0))</f>
        <v>799.20989999999995</v>
      </c>
      <c r="V30" s="26">
        <f>INDEX(FR!$C$2:$K$18,MATCH($O30,FR!$B$2:$B$18,0),MATCH(V$5,FR!$C$1:$K$1,0))</f>
        <v>708.27380000000005</v>
      </c>
      <c r="W30" s="26">
        <f>INDEX(FR!$C$2:$K$18,MATCH($O30,FR!$B$2:$B$18,0),MATCH(W$5,FR!$C$1:$K$1,0))</f>
        <v>693.75</v>
      </c>
      <c r="X30" s="26">
        <f>INDEX(FR!$C$2:$K$18,MATCH($O30,FR!$B$2:$B$18,0),MATCH(X$5,FR!$C$1:$K$1,0))</f>
        <v>625.02200000000005</v>
      </c>
      <c r="Z30" t="str">
        <f t="shared" si="13"/>
        <v>FR0.OIL_LIN</v>
      </c>
      <c r="AA30" s="29">
        <f t="shared" si="14"/>
        <v>-9.4591642441005166E-2</v>
      </c>
      <c r="AB30" s="29"/>
      <c r="AC30" t="s">
        <v>64</v>
      </c>
      <c r="AD30" t="s">
        <v>60</v>
      </c>
      <c r="AE30" t="s">
        <v>21</v>
      </c>
      <c r="AF30" t="s">
        <v>17</v>
      </c>
      <c r="AG30">
        <v>110230100</v>
      </c>
      <c r="AH30">
        <v>43923.990978955298</v>
      </c>
      <c r="AI30">
        <v>2509.5647627469298</v>
      </c>
    </row>
    <row r="31" spans="2:35">
      <c r="B31" t="str">
        <f t="shared" si="3"/>
        <v>SOL_PHO</v>
      </c>
      <c r="C31">
        <f t="shared" si="4"/>
        <v>2035</v>
      </c>
      <c r="D31" t="str">
        <f t="shared" si="5"/>
        <v>hi_gas</v>
      </c>
      <c r="E31" t="str">
        <f t="shared" si="6"/>
        <v>CH0</v>
      </c>
      <c r="F31" s="26">
        <f t="shared" si="7"/>
        <v>6160.0920778432701</v>
      </c>
      <c r="H31">
        <f t="shared" si="8"/>
        <v>1</v>
      </c>
      <c r="I31">
        <f t="shared" si="9"/>
        <v>5</v>
      </c>
      <c r="J31">
        <f t="shared" si="10"/>
        <v>1</v>
      </c>
      <c r="K31">
        <f t="shared" si="11"/>
        <v>1</v>
      </c>
      <c r="M31" t="s">
        <v>16</v>
      </c>
      <c r="N31" t="s">
        <v>31</v>
      </c>
      <c r="O31" t="s">
        <v>55</v>
      </c>
      <c r="P31" s="26">
        <f t="shared" si="12"/>
        <v>922.97180000000003</v>
      </c>
      <c r="Q31" s="26">
        <f>INDEX(FR!$C$2:$K$18,MATCH($O31,FR!$B$2:$B$18,0),MATCH(Q$5,FR!$C$1:$K$1,0))</f>
        <v>922.97180000000003</v>
      </c>
      <c r="R31" s="26">
        <f>INDEX(FR!$C$2:$K$18,MATCH($O31,FR!$B$2:$B$18,0),MATCH(R$5,FR!$C$1:$K$1,0))</f>
        <v>1568.4584305942778</v>
      </c>
      <c r="S31" s="26">
        <f>INDEX(FR!$C$2:$K$18,MATCH($O31,FR!$B$2:$B$18,0),MATCH(S$5,FR!$C$1:$K$1,0))</f>
        <v>1786.5361861474291</v>
      </c>
      <c r="T31" s="26">
        <f>INDEX(FR!$C$2:$K$18,MATCH($O31,FR!$B$2:$B$18,0),MATCH(T$5,FR!$C$1:$K$1,0))</f>
        <v>1859.7369178300278</v>
      </c>
      <c r="U31" s="26">
        <f>INDEX(FR!$C$2:$K$18,MATCH($O31,FR!$B$2:$B$18,0),MATCH(U$5,FR!$C$1:$K$1,0))</f>
        <v>1875.663472685434</v>
      </c>
      <c r="V31" s="26">
        <f>INDEX(FR!$C$2:$K$18,MATCH($O31,FR!$B$2:$B$18,0),MATCH(V$5,FR!$C$1:$K$1,0))</f>
        <v>1901.4454886440619</v>
      </c>
      <c r="W31" s="26">
        <f>INDEX(FR!$C$2:$K$18,MATCH($O31,FR!$B$2:$B$18,0),MATCH(W$5,FR!$C$1:$K$1,0))</f>
        <v>1950.1638160508269</v>
      </c>
      <c r="X31" s="26">
        <f>INDEX(FR!$C$2:$K$18,MATCH($O31,FR!$B$2:$B$18,0),MATCH(X$5,FR!$C$1:$K$1,0))</f>
        <v>1970.6151429698432</v>
      </c>
      <c r="Z31" t="str">
        <f t="shared" si="13"/>
        <v>FR0.BAL_ELC</v>
      </c>
      <c r="AA31" s="29">
        <f t="shared" si="14"/>
        <v>0</v>
      </c>
      <c r="AB31" s="29"/>
      <c r="AE31" t="s">
        <v>22</v>
      </c>
      <c r="AF31" t="s">
        <v>12</v>
      </c>
      <c r="AG31">
        <v>0</v>
      </c>
    </row>
    <row r="32" spans="2:35">
      <c r="B32" t="str">
        <f t="shared" si="3"/>
        <v>WIN_ONS</v>
      </c>
      <c r="C32">
        <f t="shared" si="4"/>
        <v>2035</v>
      </c>
      <c r="D32" t="str">
        <f t="shared" si="5"/>
        <v>hi_gas</v>
      </c>
      <c r="E32" t="str">
        <f t="shared" si="6"/>
        <v>CH0</v>
      </c>
      <c r="F32" s="26">
        <f t="shared" si="7"/>
        <v>880.27520604122697</v>
      </c>
      <c r="H32">
        <f t="shared" si="8"/>
        <v>2</v>
      </c>
      <c r="I32">
        <f t="shared" si="9"/>
        <v>5</v>
      </c>
      <c r="J32">
        <f t="shared" si="10"/>
        <v>1</v>
      </c>
      <c r="K32">
        <f t="shared" si="11"/>
        <v>1</v>
      </c>
      <c r="M32" t="s">
        <v>16</v>
      </c>
      <c r="N32" t="s">
        <v>31</v>
      </c>
      <c r="O32" t="s">
        <v>110</v>
      </c>
      <c r="P32" s="26">
        <f t="shared" si="12"/>
        <v>779.92819999999995</v>
      </c>
      <c r="Q32" s="26">
        <f>INDEX(FR!$C$2:$K$18,MATCH($O32,FR!$B$2:$B$18,0),MATCH(Q$5,FR!$C$1:$K$1,0))</f>
        <v>779.92819999999995</v>
      </c>
      <c r="R32" s="26">
        <f>INDEX(FR!$C$2:$K$18,MATCH($O32,FR!$B$2:$B$18,0),MATCH(R$5,FR!$C$1:$K$1,0))</f>
        <v>1325.3763121995923</v>
      </c>
      <c r="S32" s="26">
        <f>INDEX(FR!$C$2:$K$18,MATCH($O32,FR!$B$2:$B$18,0),MATCH(S$5,FR!$C$1:$K$1,0))</f>
        <v>1509.656039216831</v>
      </c>
      <c r="T32" s="26">
        <f>INDEX(FR!$C$2:$K$18,MATCH($O32,FR!$B$2:$B$18,0),MATCH(T$5,FR!$C$1:$K$1,0))</f>
        <v>1571.5120080556321</v>
      </c>
      <c r="U32" s="26">
        <f>INDEX(FR!$C$2:$K$18,MATCH($O32,FR!$B$2:$B$18,0),MATCH(U$5,FR!$C$1:$K$1,0))</f>
        <v>1584.9702407563259</v>
      </c>
      <c r="V32" s="26">
        <f>INDEX(FR!$C$2:$K$18,MATCH($O32,FR!$B$2:$B$18,0),MATCH(V$5,FR!$C$1:$K$1,0))</f>
        <v>1606.7565199243179</v>
      </c>
      <c r="W32" s="26">
        <f>INDEX(FR!$C$2:$K$18,MATCH($O32,FR!$B$2:$B$18,0),MATCH(W$5,FR!$C$1:$K$1,0))</f>
        <v>1647.9244054451633</v>
      </c>
      <c r="X32" s="26">
        <f>INDEX(FR!$C$2:$K$18,MATCH($O32,FR!$B$2:$B$18,0),MATCH(X$5,FR!$C$1:$K$1,0))</f>
        <v>1665.206154022487</v>
      </c>
      <c r="Z32" t="str">
        <f t="shared" si="13"/>
        <v>FR0.WAS_ELC</v>
      </c>
      <c r="AA32" s="29">
        <f t="shared" si="14"/>
        <v>0</v>
      </c>
      <c r="AB32" s="29"/>
      <c r="AC32" t="s">
        <v>93</v>
      </c>
      <c r="AD32" t="s">
        <v>95</v>
      </c>
      <c r="AE32" t="s">
        <v>22</v>
      </c>
      <c r="AF32" t="s">
        <v>14</v>
      </c>
      <c r="AG32">
        <v>22095000</v>
      </c>
      <c r="AH32">
        <v>3333</v>
      </c>
      <c r="AI32">
        <v>6629.1629162916297</v>
      </c>
    </row>
    <row r="33" spans="2:35">
      <c r="B33" t="str">
        <f t="shared" si="3"/>
        <v>GEO_ELC</v>
      </c>
      <c r="C33">
        <f t="shared" si="4"/>
        <v>2035</v>
      </c>
      <c r="D33" t="str">
        <f t="shared" si="5"/>
        <v>hi_gas</v>
      </c>
      <c r="E33" t="str">
        <f t="shared" si="6"/>
        <v>CH0</v>
      </c>
      <c r="F33" s="26">
        <f t="shared" si="7"/>
        <v>172.628403222011</v>
      </c>
      <c r="H33">
        <f t="shared" si="8"/>
        <v>3</v>
      </c>
      <c r="I33">
        <f t="shared" si="9"/>
        <v>5</v>
      </c>
      <c r="J33">
        <f t="shared" si="10"/>
        <v>1</v>
      </c>
      <c r="K33">
        <f t="shared" si="11"/>
        <v>1</v>
      </c>
      <c r="M33" t="s">
        <v>16</v>
      </c>
      <c r="N33" t="s">
        <v>31</v>
      </c>
      <c r="O33" t="s">
        <v>91</v>
      </c>
      <c r="P33" s="26">
        <f t="shared" si="12"/>
        <v>0</v>
      </c>
      <c r="Q33" s="26">
        <f>INDEX(FR!$C$2:$K$18,MATCH($O33,FR!$B$2:$B$18,0),MATCH(Q$5,FR!$C$1:$K$1,0))</f>
        <v>0</v>
      </c>
      <c r="R33" s="26">
        <f>INDEX(FR!$C$2:$K$18,MATCH($O33,FR!$B$2:$B$18,0),MATCH(R$5,FR!$C$1:$K$1,0))</f>
        <v>0</v>
      </c>
      <c r="S33" s="26">
        <f>INDEX(FR!$C$2:$K$18,MATCH($O33,FR!$B$2:$B$18,0),MATCH(S$5,FR!$C$1:$K$1,0))</f>
        <v>0</v>
      </c>
      <c r="T33" s="26">
        <f>INDEX(FR!$C$2:$K$18,MATCH($O33,FR!$B$2:$B$18,0),MATCH(T$5,FR!$C$1:$K$1,0))</f>
        <v>0</v>
      </c>
      <c r="U33" s="26">
        <f>INDEX(FR!$C$2:$K$18,MATCH($O33,FR!$B$2:$B$18,0),MATCH(U$5,FR!$C$1:$K$1,0))</f>
        <v>0</v>
      </c>
      <c r="V33" s="26">
        <f>INDEX(FR!$C$2:$K$18,MATCH($O33,FR!$B$2:$B$18,0),MATCH(V$5,FR!$C$1:$K$1,0))</f>
        <v>0</v>
      </c>
      <c r="W33" s="26">
        <f>INDEX(FR!$C$2:$K$18,MATCH($O33,FR!$B$2:$B$18,0),MATCH(W$5,FR!$C$1:$K$1,0))</f>
        <v>0</v>
      </c>
      <c r="X33" s="26">
        <f>INDEX(FR!$C$2:$K$18,MATCH($O33,FR!$B$2:$B$18,0),MATCH(X$5,FR!$C$1:$K$1,0))</f>
        <v>0</v>
      </c>
      <c r="Z33" t="str">
        <f t="shared" si="13"/>
        <v>FR0.LIG_LIN</v>
      </c>
      <c r="AA33" s="29" t="e">
        <f t="shared" si="14"/>
        <v>#DIV/0!</v>
      </c>
      <c r="AB33" s="29"/>
      <c r="AC33" t="s">
        <v>94</v>
      </c>
      <c r="AD33" t="s">
        <v>95</v>
      </c>
      <c r="AE33" t="s">
        <v>22</v>
      </c>
      <c r="AF33" t="s">
        <v>15</v>
      </c>
      <c r="AG33">
        <v>86738063.894999996</v>
      </c>
      <c r="AH33">
        <v>10800</v>
      </c>
      <c r="AI33">
        <v>8031.3022124999998</v>
      </c>
    </row>
    <row r="34" spans="2:35">
      <c r="B34" t="str">
        <f t="shared" si="3"/>
        <v>GAS_NEW</v>
      </c>
      <c r="C34">
        <f t="shared" si="4"/>
        <v>2035</v>
      </c>
      <c r="D34" t="str">
        <f t="shared" si="5"/>
        <v>hi_gas</v>
      </c>
      <c r="E34" t="str">
        <f t="shared" si="6"/>
        <v>CH0</v>
      </c>
      <c r="F34" s="26">
        <f t="shared" si="7"/>
        <v>552.94442908487702</v>
      </c>
      <c r="H34">
        <f t="shared" si="8"/>
        <v>4</v>
      </c>
      <c r="I34">
        <f t="shared" si="9"/>
        <v>5</v>
      </c>
      <c r="J34">
        <f t="shared" si="10"/>
        <v>1</v>
      </c>
      <c r="K34">
        <f t="shared" si="11"/>
        <v>1</v>
      </c>
      <c r="M34" t="s">
        <v>16</v>
      </c>
      <c r="N34" t="s">
        <v>31</v>
      </c>
      <c r="O34" t="s">
        <v>70</v>
      </c>
      <c r="P34" s="26">
        <f t="shared" si="12"/>
        <v>3007</v>
      </c>
      <c r="Q34" s="26">
        <f>INDEX(FR!$C$2:$K$18,MATCH($O34,FR!$B$2:$B$18,0),MATCH(Q$5,FR!$C$1:$K$1,0))</f>
        <v>5384.8374999999996</v>
      </c>
      <c r="R34" s="26">
        <f>INDEX(FR!$C$2:$K$18,MATCH($O34,FR!$B$2:$B$18,0),MATCH(R$5,FR!$C$1:$K$1,0))</f>
        <v>3855.5255000000002</v>
      </c>
      <c r="S34" s="26">
        <f>INDEX(FR!$C$2:$K$18,MATCH($O34,FR!$B$2:$B$18,0),MATCH(S$5,FR!$C$1:$K$1,0))</f>
        <v>3833.5329999999999</v>
      </c>
      <c r="T34" s="26">
        <f>INDEX(FR!$C$2:$K$18,MATCH($O34,FR!$B$2:$B$18,0),MATCH(T$5,FR!$C$1:$K$1,0))</f>
        <v>3779.5729999999999</v>
      </c>
      <c r="U34" s="26">
        <f>INDEX(FR!$C$2:$K$18,MATCH($O34,FR!$B$2:$B$18,0),MATCH(U$5,FR!$C$1:$K$1,0))</f>
        <v>3479.9</v>
      </c>
      <c r="V34" s="26">
        <f>INDEX(FR!$C$2:$K$18,MATCH($O34,FR!$B$2:$B$18,0),MATCH(V$5,FR!$C$1:$K$1,0))</f>
        <v>2891.56</v>
      </c>
      <c r="W34" s="26">
        <f>INDEX(FR!$C$2:$K$18,MATCH($O34,FR!$B$2:$B$18,0),MATCH(W$5,FR!$C$1:$K$1,0))</f>
        <v>2891.56</v>
      </c>
      <c r="X34" s="26">
        <f>INDEX(FR!$C$2:$K$18,MATCH($O34,FR!$B$2:$B$18,0),MATCH(X$5,FR!$C$1:$K$1,0))</f>
        <v>2891.56</v>
      </c>
      <c r="Z34" t="str">
        <f t="shared" si="13"/>
        <v>FR0.HCO_LIN</v>
      </c>
      <c r="AA34" s="29">
        <f t="shared" si="14"/>
        <v>0.79076737612238102</v>
      </c>
      <c r="AB34" s="29"/>
      <c r="AC34" t="s">
        <v>96</v>
      </c>
      <c r="AD34" t="s">
        <v>95</v>
      </c>
      <c r="AE34" t="s">
        <v>22</v>
      </c>
      <c r="AF34" t="s">
        <v>16</v>
      </c>
      <c r="AG34">
        <v>416795000</v>
      </c>
      <c r="AH34">
        <v>63130</v>
      </c>
      <c r="AI34">
        <v>6602.1701251386003</v>
      </c>
    </row>
    <row r="35" spans="2:35">
      <c r="B35" t="str">
        <f t="shared" si="3"/>
        <v>BAL_ELC</v>
      </c>
      <c r="C35">
        <f t="shared" si="4"/>
        <v>2035</v>
      </c>
      <c r="D35" t="str">
        <f t="shared" si="5"/>
        <v>hi_gas</v>
      </c>
      <c r="E35" t="str">
        <f t="shared" si="6"/>
        <v>CH0</v>
      </c>
      <c r="F35" s="26">
        <f t="shared" si="7"/>
        <v>639.17823617344402</v>
      </c>
      <c r="H35">
        <f t="shared" si="8"/>
        <v>5</v>
      </c>
      <c r="I35">
        <f t="shared" si="9"/>
        <v>5</v>
      </c>
      <c r="J35">
        <f t="shared" si="10"/>
        <v>1</v>
      </c>
      <c r="K35">
        <f t="shared" si="11"/>
        <v>1</v>
      </c>
      <c r="M35" t="s">
        <v>16</v>
      </c>
      <c r="N35" t="s">
        <v>31</v>
      </c>
      <c r="O35" t="s">
        <v>65</v>
      </c>
      <c r="P35" s="26">
        <f t="shared" si="12"/>
        <v>0</v>
      </c>
      <c r="Q35" s="26">
        <f>INDEX(FR!$C$2:$K$18,MATCH($O35,FR!$B$2:$B$18,0),MATCH(Q$5,FR!$C$1:$K$1,0))</f>
        <v>2</v>
      </c>
      <c r="R35" s="26">
        <f>INDEX(FR!$C$2:$K$18,MATCH($O35,FR!$B$2:$B$18,0),MATCH(R$5,FR!$C$1:$K$1,0))</f>
        <v>3.1213716085118901</v>
      </c>
      <c r="S35" s="26">
        <f>INDEX(FR!$C$2:$K$18,MATCH($O35,FR!$B$2:$B$18,0),MATCH(S$5,FR!$C$1:$K$1,0))</f>
        <v>3.1213716085118901</v>
      </c>
      <c r="T35" s="26">
        <f>INDEX(FR!$C$2:$K$18,MATCH($O35,FR!$B$2:$B$18,0),MATCH(T$5,FR!$C$1:$K$1,0))</f>
        <v>3.1213716085118901</v>
      </c>
      <c r="U35" s="26">
        <f>INDEX(FR!$C$2:$K$18,MATCH($O35,FR!$B$2:$B$18,0),MATCH(U$5,FR!$C$1:$K$1,0))</f>
        <v>3.1213716085118901</v>
      </c>
      <c r="V35" s="26">
        <f>INDEX(FR!$C$2:$K$18,MATCH($O35,FR!$B$2:$B$18,0),MATCH(V$5,FR!$C$1:$K$1,0))</f>
        <v>3.1213716085118901</v>
      </c>
      <c r="W35" s="26">
        <f>INDEX(FR!$C$2:$K$18,MATCH($O35,FR!$B$2:$B$18,0),MATCH(W$5,FR!$C$1:$K$1,0))</f>
        <v>3.1213716085118901</v>
      </c>
      <c r="X35" s="26">
        <f>INDEX(FR!$C$2:$K$18,MATCH($O35,FR!$B$2:$B$18,0),MATCH(X$5,FR!$C$1:$K$1,0))</f>
        <v>3.1213716085118901</v>
      </c>
      <c r="Z35" t="str">
        <f t="shared" si="13"/>
        <v>FR0.GEO_ELC</v>
      </c>
      <c r="AA35" s="29" t="e">
        <f t="shared" si="14"/>
        <v>#DIV/0!</v>
      </c>
      <c r="AB35" s="29"/>
      <c r="AE35" t="s">
        <v>22</v>
      </c>
      <c r="AF35" t="s">
        <v>17</v>
      </c>
      <c r="AG35">
        <v>0</v>
      </c>
    </row>
    <row r="36" spans="2:35">
      <c r="B36" t="str">
        <f t="shared" si="3"/>
        <v>SOL_PHO</v>
      </c>
      <c r="C36">
        <f t="shared" si="4"/>
        <v>2040</v>
      </c>
      <c r="D36" t="str">
        <f t="shared" si="5"/>
        <v>hi_gas</v>
      </c>
      <c r="E36" t="str">
        <f t="shared" si="6"/>
        <v>CH0</v>
      </c>
      <c r="F36" s="26">
        <f t="shared" si="7"/>
        <v>8797.3473131893006</v>
      </c>
      <c r="H36">
        <f t="shared" si="8"/>
        <v>1</v>
      </c>
      <c r="I36">
        <f t="shared" si="9"/>
        <v>6</v>
      </c>
      <c r="J36">
        <f t="shared" si="10"/>
        <v>1</v>
      </c>
      <c r="K36">
        <f t="shared" si="11"/>
        <v>1</v>
      </c>
      <c r="M36" t="s">
        <v>16</v>
      </c>
      <c r="N36" t="s">
        <v>31</v>
      </c>
      <c r="O36" t="s">
        <v>115</v>
      </c>
      <c r="P36" s="26">
        <f t="shared" si="12"/>
        <v>0</v>
      </c>
      <c r="Q36" s="26">
        <f>INDEX(FR!$C$2:$K$18,MATCH($O36,FR!$B$2:$B$18,0),MATCH(Q$5,FR!$C$1:$K$1,0))</f>
        <v>0</v>
      </c>
      <c r="R36" s="26">
        <f>INDEX(FR!$C$2:$K$18,MATCH($O36,FR!$B$2:$B$18,0),MATCH(R$5,FR!$C$1:$K$1,0))</f>
        <v>1659.7267559155648</v>
      </c>
      <c r="S36" s="26">
        <f>INDEX(FR!$C$2:$K$18,MATCH($O36,FR!$B$2:$B$18,0),MATCH(S$5,FR!$C$1:$K$1,0))</f>
        <v>4150.4089199417222</v>
      </c>
      <c r="T36" s="26">
        <f>INDEX(FR!$C$2:$K$18,MATCH($O36,FR!$B$2:$B$18,0),MATCH(T$5,FR!$C$1:$K$1,0))</f>
        <v>7856.5412190754469</v>
      </c>
      <c r="U36" s="26">
        <f>INDEX(FR!$C$2:$K$18,MATCH($O36,FR!$B$2:$B$18,0),MATCH(U$5,FR!$C$1:$K$1,0))</f>
        <v>7856.5412190754469</v>
      </c>
      <c r="V36" s="26">
        <f>INDEX(FR!$C$2:$K$18,MATCH($O36,FR!$B$2:$B$18,0),MATCH(V$5,FR!$C$1:$K$1,0))</f>
        <v>9416.0721782968085</v>
      </c>
      <c r="W36" s="26">
        <f>INDEX(FR!$C$2:$K$18,MATCH($O36,FR!$B$2:$B$18,0),MATCH(W$5,FR!$C$1:$K$1,0))</f>
        <v>10938.213369812502</v>
      </c>
      <c r="X36" s="26">
        <f>INDEX(FR!$C$2:$K$18,MATCH($O36,FR!$B$2:$B$18,0),MATCH(X$5,FR!$C$1:$K$1,0))</f>
        <v>14698.430882287914</v>
      </c>
      <c r="Z36" t="str">
        <f t="shared" si="13"/>
        <v>FR0.WIN_OFF</v>
      </c>
      <c r="AA36" s="29" t="e">
        <f t="shared" si="14"/>
        <v>#DIV/0!</v>
      </c>
      <c r="AB36" s="29"/>
      <c r="AC36" t="s">
        <v>103</v>
      </c>
      <c r="AD36" t="s">
        <v>105</v>
      </c>
      <c r="AE36" t="s">
        <v>131</v>
      </c>
      <c r="AF36" t="s">
        <v>12</v>
      </c>
      <c r="AG36">
        <v>937098</v>
      </c>
      <c r="AH36">
        <v>931.56299999999999</v>
      </c>
      <c r="AI36">
        <v>1005.94162713633</v>
      </c>
    </row>
    <row r="37" spans="2:35">
      <c r="B37" t="str">
        <f t="shared" si="3"/>
        <v>WIN_ONS</v>
      </c>
      <c r="C37">
        <f t="shared" si="4"/>
        <v>2040</v>
      </c>
      <c r="D37" t="str">
        <f t="shared" si="5"/>
        <v>hi_gas</v>
      </c>
      <c r="E37" t="str">
        <f t="shared" si="6"/>
        <v>CH0</v>
      </c>
      <c r="F37" s="26">
        <f t="shared" si="7"/>
        <v>1362.96271030663</v>
      </c>
      <c r="H37">
        <f t="shared" si="8"/>
        <v>2</v>
      </c>
      <c r="I37">
        <f t="shared" si="9"/>
        <v>6</v>
      </c>
      <c r="J37">
        <f t="shared" si="10"/>
        <v>1</v>
      </c>
      <c r="K37">
        <f t="shared" si="11"/>
        <v>1</v>
      </c>
      <c r="AA37" s="29"/>
      <c r="AB37" s="29"/>
      <c r="AC37" t="s">
        <v>104</v>
      </c>
      <c r="AD37" t="s">
        <v>105</v>
      </c>
      <c r="AE37" t="s">
        <v>131</v>
      </c>
      <c r="AF37" t="s">
        <v>14</v>
      </c>
      <c r="AG37">
        <v>1118550</v>
      </c>
      <c r="AH37">
        <v>1390.1</v>
      </c>
      <c r="AI37">
        <v>804.65434141428705</v>
      </c>
    </row>
    <row r="38" spans="2:35">
      <c r="B38" t="str">
        <f t="shared" si="3"/>
        <v>GEO_ELC</v>
      </c>
      <c r="C38">
        <f t="shared" si="4"/>
        <v>2040</v>
      </c>
      <c r="D38" t="str">
        <f t="shared" si="5"/>
        <v>hi_gas</v>
      </c>
      <c r="E38" t="str">
        <f t="shared" si="6"/>
        <v>CH0</v>
      </c>
      <c r="F38" s="26">
        <f t="shared" si="7"/>
        <v>299.82827928033402</v>
      </c>
      <c r="H38">
        <f t="shared" si="8"/>
        <v>3</v>
      </c>
      <c r="I38">
        <f t="shared" si="9"/>
        <v>6</v>
      </c>
      <c r="J38">
        <f t="shared" si="10"/>
        <v>1</v>
      </c>
      <c r="K38">
        <f t="shared" si="11"/>
        <v>1</v>
      </c>
      <c r="M38" t="s">
        <v>17</v>
      </c>
      <c r="N38" t="s">
        <v>31</v>
      </c>
      <c r="O38" t="s">
        <v>95</v>
      </c>
      <c r="P38" s="26">
        <f t="shared" ref="P38:P52" si="15">SUMIFS($AH$8:$AH$73,$AD$8:$AD$73,O38,$AF$8:$AF$73,M38)</f>
        <v>0</v>
      </c>
      <c r="Q38" s="26">
        <f>INDEX(IT!$C$2:$K$20,MATCH($O38,IT!$B$2:$B$20,0),MATCH(Q$5,IT!$C$1:$K$1,0))</f>
        <v>0</v>
      </c>
      <c r="R38" s="26">
        <f>INDEX(IT!$C$2:$K$20,MATCH($O38,IT!$B$2:$B$20,0),MATCH(R$5,IT!$C$1:$K$1,0))</f>
        <v>0</v>
      </c>
      <c r="S38" s="26">
        <f>INDEX(IT!$C$2:$K$20,MATCH($O38,IT!$B$2:$B$20,0),MATCH(S$5,IT!$C$1:$K$1,0))</f>
        <v>0</v>
      </c>
      <c r="T38" s="26">
        <f>INDEX(IT!$C$2:$K$20,MATCH($O38,IT!$B$2:$B$20,0),MATCH(T$5,IT!$C$1:$K$1,0))</f>
        <v>0</v>
      </c>
      <c r="U38" s="26">
        <f>INDEX(IT!$C$2:$K$20,MATCH($O38,IT!$B$2:$B$20,0),MATCH(U$5,IT!$C$1:$K$1,0))</f>
        <v>0</v>
      </c>
      <c r="V38" s="26">
        <f>INDEX(IT!$C$2:$K$20,MATCH($O38,IT!$B$2:$B$20,0),MATCH(V$5,IT!$C$1:$K$1,0))</f>
        <v>0</v>
      </c>
      <c r="W38" s="26">
        <f>INDEX(IT!$C$2:$K$20,MATCH($O38,IT!$B$2:$B$20,0),MATCH(W$5,IT!$C$1:$K$1,0))</f>
        <v>0</v>
      </c>
      <c r="X38" s="26">
        <f>INDEX(IT!$C$2:$K$20,MATCH($O38,IT!$B$2:$B$20,0),MATCH(X$5,IT!$C$1:$K$1,0))</f>
        <v>0</v>
      </c>
      <c r="Z38" t="str">
        <f t="shared" ref="Z38:Z52" si="16">M38&amp;"."&amp;O38</f>
        <v>IT0.NUC_ELC</v>
      </c>
      <c r="AA38" s="29" t="e">
        <f t="shared" ref="AA38:AA52" si="17">(Q38-P38)/P38</f>
        <v>#DIV/0!</v>
      </c>
      <c r="AB38" s="29"/>
      <c r="AC38" t="s">
        <v>106</v>
      </c>
      <c r="AD38" t="s">
        <v>105</v>
      </c>
      <c r="AE38" t="s">
        <v>131</v>
      </c>
      <c r="AF38" t="s">
        <v>15</v>
      </c>
      <c r="AG38">
        <v>38726000</v>
      </c>
      <c r="AH38">
        <v>39224</v>
      </c>
      <c r="AI38">
        <v>987.30369161737701</v>
      </c>
    </row>
    <row r="39" spans="2:35">
      <c r="B39" t="str">
        <f t="shared" si="3"/>
        <v>GAS_NEW</v>
      </c>
      <c r="C39">
        <f t="shared" si="4"/>
        <v>2040</v>
      </c>
      <c r="D39" t="str">
        <f t="shared" si="5"/>
        <v>hi_gas</v>
      </c>
      <c r="E39" t="str">
        <f t="shared" si="6"/>
        <v>CH0</v>
      </c>
      <c r="F39" s="26">
        <f t="shared" si="7"/>
        <v>619.43599668233401</v>
      </c>
      <c r="H39">
        <f t="shared" si="8"/>
        <v>4</v>
      </c>
      <c r="I39">
        <f t="shared" si="9"/>
        <v>6</v>
      </c>
      <c r="J39">
        <f t="shared" si="10"/>
        <v>1</v>
      </c>
      <c r="K39">
        <f t="shared" si="11"/>
        <v>1</v>
      </c>
      <c r="M39" t="s">
        <v>17</v>
      </c>
      <c r="N39" t="s">
        <v>31</v>
      </c>
      <c r="O39" t="s">
        <v>105</v>
      </c>
      <c r="P39" s="26">
        <f t="shared" si="15"/>
        <v>18900.79</v>
      </c>
      <c r="Q39" s="26">
        <f>INDEX(IT!$C$2:$K$20,MATCH($O39,IT!$B$2:$B$20,0),MATCH(Q$5,IT!$C$1:$K$1,0))</f>
        <v>18904.953000000001</v>
      </c>
      <c r="R39" s="26">
        <f>INDEX(IT!$C$2:$K$20,MATCH($O39,IT!$B$2:$B$20,0),MATCH(R$5,IT!$C$1:$K$1,0))</f>
        <v>20056.8173441047</v>
      </c>
      <c r="S39" s="26">
        <f>INDEX(IT!$C$2:$K$20,MATCH($O39,IT!$B$2:$B$20,0),MATCH(S$5,IT!$C$1:$K$1,0))</f>
        <v>23014.953000000001</v>
      </c>
      <c r="T39" s="26">
        <f>INDEX(IT!$C$2:$K$20,MATCH($O39,IT!$B$2:$B$20,0),MATCH(T$5,IT!$C$1:$K$1,0))</f>
        <v>24562.015301829899</v>
      </c>
      <c r="U39" s="26">
        <f>INDEX(IT!$C$2:$K$20,MATCH($O39,IT!$B$2:$B$20,0),MATCH(U$5,IT!$C$1:$K$1,0))</f>
        <v>25711.015301829899</v>
      </c>
      <c r="V39" s="26">
        <f>INDEX(IT!$C$2:$K$20,MATCH($O39,IT!$B$2:$B$20,0),MATCH(V$5,IT!$C$1:$K$1,0))</f>
        <v>27050.465516039501</v>
      </c>
      <c r="W39" s="26">
        <f>INDEX(IT!$C$2:$K$20,MATCH($O39,IT!$B$2:$B$20,0),MATCH(W$5,IT!$C$1:$K$1,0))</f>
        <v>49227.450865438797</v>
      </c>
      <c r="X39" s="26">
        <f>INDEX(IT!$C$2:$K$20,MATCH($O39,IT!$B$2:$B$20,0),MATCH(X$5,IT!$C$1:$K$1,0))</f>
        <v>56764.634816520003</v>
      </c>
      <c r="Z39" t="str">
        <f t="shared" si="16"/>
        <v>IT0.SOL_PHO</v>
      </c>
      <c r="AA39" s="29">
        <f t="shared" si="17"/>
        <v>2.2025534382427746E-4</v>
      </c>
      <c r="AB39" s="29"/>
      <c r="AC39" t="s">
        <v>107</v>
      </c>
      <c r="AD39" t="s">
        <v>105</v>
      </c>
      <c r="AE39" t="s">
        <v>131</v>
      </c>
      <c r="AF39" t="s">
        <v>16</v>
      </c>
      <c r="AG39">
        <v>7262000</v>
      </c>
      <c r="AH39">
        <v>6196.2</v>
      </c>
      <c r="AI39">
        <v>1172.00865046319</v>
      </c>
    </row>
    <row r="40" spans="2:35">
      <c r="B40" t="str">
        <f t="shared" si="3"/>
        <v>BAL_ELC</v>
      </c>
      <c r="C40">
        <f t="shared" si="4"/>
        <v>2040</v>
      </c>
      <c r="D40" t="str">
        <f t="shared" si="5"/>
        <v>hi_gas</v>
      </c>
      <c r="E40" t="str">
        <f t="shared" si="6"/>
        <v>CH0</v>
      </c>
      <c r="F40" s="26">
        <f t="shared" si="7"/>
        <v>662.08297490975701</v>
      </c>
      <c r="H40">
        <f t="shared" si="8"/>
        <v>5</v>
      </c>
      <c r="I40">
        <f t="shared" si="9"/>
        <v>6</v>
      </c>
      <c r="J40">
        <f t="shared" si="10"/>
        <v>1</v>
      </c>
      <c r="K40">
        <f t="shared" si="11"/>
        <v>1</v>
      </c>
      <c r="M40" t="s">
        <v>17</v>
      </c>
      <c r="N40" t="s">
        <v>31</v>
      </c>
      <c r="O40" t="s">
        <v>120</v>
      </c>
      <c r="P40" s="26">
        <f t="shared" si="15"/>
        <v>9136.6291141882502</v>
      </c>
      <c r="Q40" s="26">
        <f>INDEX(IT!$C$2:$K$20,MATCH($O40,IT!$B$2:$B$20,0),MATCH(Q$5,IT!$C$1:$K$1,0))</f>
        <v>8957.7999999999993</v>
      </c>
      <c r="R40" s="26">
        <f>INDEX(IT!$C$2:$K$20,MATCH($O40,IT!$B$2:$B$20,0),MATCH(R$5,IT!$C$1:$K$1,0))</f>
        <v>8963.4827562516202</v>
      </c>
      <c r="S40" s="26">
        <f>INDEX(IT!$C$2:$K$20,MATCH($O40,IT!$B$2:$B$20,0),MATCH(S$5,IT!$C$1:$K$1,0))</f>
        <v>12569.6664818425</v>
      </c>
      <c r="T40" s="26">
        <f>INDEX(IT!$C$2:$K$20,MATCH($O40,IT!$B$2:$B$20,0),MATCH(T$5,IT!$C$1:$K$1,0))</f>
        <v>15577.442076106499</v>
      </c>
      <c r="U40" s="26">
        <f>INDEX(IT!$C$2:$K$20,MATCH($O40,IT!$B$2:$B$20,0),MATCH(U$5,IT!$C$1:$K$1,0))</f>
        <v>15846.2694302456</v>
      </c>
      <c r="V40" s="26">
        <f>INDEX(IT!$C$2:$K$20,MATCH($O40,IT!$B$2:$B$20,0),MATCH(V$5,IT!$C$1:$K$1,0))</f>
        <v>17735.692239690401</v>
      </c>
      <c r="W40" s="26">
        <f>INDEX(IT!$C$2:$K$20,MATCH($O40,IT!$B$2:$B$20,0),MATCH(W$5,IT!$C$1:$K$1,0))</f>
        <v>19793.164398544501</v>
      </c>
      <c r="X40" s="26">
        <f>INDEX(IT!$C$2:$K$20,MATCH($O40,IT!$B$2:$B$20,0),MATCH(X$5,IT!$C$1:$K$1,0))</f>
        <v>25957.2787707973</v>
      </c>
      <c r="Z40" t="str">
        <f t="shared" si="16"/>
        <v>IT0.WIN_ONS</v>
      </c>
      <c r="AA40" s="29">
        <f t="shared" si="17"/>
        <v>-1.9572767150036512E-2</v>
      </c>
      <c r="AB40" s="29"/>
      <c r="AC40" t="s">
        <v>108</v>
      </c>
      <c r="AD40" t="s">
        <v>105</v>
      </c>
      <c r="AE40" t="s">
        <v>131</v>
      </c>
      <c r="AF40" t="s">
        <v>17</v>
      </c>
      <c r="AG40">
        <v>22942200</v>
      </c>
      <c r="AH40">
        <v>18900.79</v>
      </c>
      <c r="AI40">
        <v>1213.8222793862101</v>
      </c>
    </row>
    <row r="41" spans="2:35">
      <c r="B41" t="str">
        <f t="shared" si="3"/>
        <v>SOL_PHO</v>
      </c>
      <c r="C41">
        <f t="shared" si="4"/>
        <v>2045</v>
      </c>
      <c r="D41" t="str">
        <f t="shared" si="5"/>
        <v>hi_gas</v>
      </c>
      <c r="E41" t="str">
        <f t="shared" si="6"/>
        <v>CH0</v>
      </c>
      <c r="F41" s="26">
        <f t="shared" si="7"/>
        <v>11652.462763629101</v>
      </c>
      <c r="H41">
        <f t="shared" si="8"/>
        <v>1</v>
      </c>
      <c r="I41">
        <f t="shared" si="9"/>
        <v>7</v>
      </c>
      <c r="J41">
        <f t="shared" si="10"/>
        <v>1</v>
      </c>
      <c r="K41">
        <f t="shared" si="11"/>
        <v>1</v>
      </c>
      <c r="M41" t="s">
        <v>17</v>
      </c>
      <c r="N41" t="s">
        <v>31</v>
      </c>
      <c r="O41" t="s">
        <v>80</v>
      </c>
      <c r="P41" s="26">
        <f t="shared" si="15"/>
        <v>5203.3</v>
      </c>
      <c r="Q41" s="26">
        <f>INDEX(IT!$C$2:$K$20,MATCH($O41,IT!$B$2:$B$20,0),MATCH(Q$5,IT!$C$1:$K$1,0))</f>
        <v>5228.0961778530418</v>
      </c>
      <c r="R41" s="26">
        <f>INDEX(IT!$C$2:$K$20,MATCH($O41,IT!$B$2:$B$20,0),MATCH(R$5,IT!$C$1:$K$1,0))</f>
        <v>5311.7741878489278</v>
      </c>
      <c r="S41" s="26">
        <f>INDEX(IT!$C$2:$K$20,MATCH($O41,IT!$B$2:$B$20,0),MATCH(S$5,IT!$C$1:$K$1,0))</f>
        <v>5311.7741878489278</v>
      </c>
      <c r="T41" s="26">
        <f>INDEX(IT!$C$2:$K$20,MATCH($O41,IT!$B$2:$B$20,0),MATCH(T$5,IT!$C$1:$K$1,0))</f>
        <v>5348.6329321956609</v>
      </c>
      <c r="U41" s="26">
        <f>INDEX(IT!$C$2:$K$20,MATCH($O41,IT!$B$2:$B$20,0),MATCH(U$5,IT!$C$1:$K$1,0))</f>
        <v>5423.7180119674185</v>
      </c>
      <c r="V41" s="26">
        <f>INDEX(IT!$C$2:$K$20,MATCH($O41,IT!$B$2:$B$20,0),MATCH(V$5,IT!$C$1:$K$1,0))</f>
        <v>5483.9599771668736</v>
      </c>
      <c r="W41" s="26">
        <f>INDEX(IT!$C$2:$K$20,MATCH($O41,IT!$B$2:$B$20,0),MATCH(W$5,IT!$C$1:$K$1,0))</f>
        <v>5513.9411734747673</v>
      </c>
      <c r="X41" s="26">
        <f>INDEX(IT!$C$2:$K$20,MATCH($O41,IT!$B$2:$B$20,0),MATCH(X$5,IT!$C$1:$K$1,0))</f>
        <v>5531.9545189318396</v>
      </c>
      <c r="Z41" t="str">
        <f t="shared" si="16"/>
        <v>IT0.HYD_ROR</v>
      </c>
      <c r="AA41" s="29">
        <f t="shared" si="17"/>
        <v>4.7654714994410522E-3</v>
      </c>
      <c r="AB41" s="29"/>
      <c r="AC41" t="s">
        <v>86</v>
      </c>
      <c r="AD41" t="s">
        <v>85</v>
      </c>
      <c r="AE41" t="s">
        <v>132</v>
      </c>
      <c r="AF41" t="s">
        <v>12</v>
      </c>
      <c r="AG41">
        <v>3847637.8580743899</v>
      </c>
      <c r="AH41">
        <v>4000.53958894879</v>
      </c>
      <c r="AI41">
        <v>961.77972309116001</v>
      </c>
    </row>
    <row r="42" spans="2:35">
      <c r="B42" t="str">
        <f t="shared" si="3"/>
        <v>WIN_ONS</v>
      </c>
      <c r="C42">
        <f t="shared" si="4"/>
        <v>2045</v>
      </c>
      <c r="D42" t="str">
        <f t="shared" si="5"/>
        <v>hi_gas</v>
      </c>
      <c r="E42" t="str">
        <f t="shared" si="6"/>
        <v>CH0</v>
      </c>
      <c r="F42" s="26">
        <f t="shared" si="7"/>
        <v>1851.4657266716199</v>
      </c>
      <c r="H42">
        <f t="shared" si="8"/>
        <v>2</v>
      </c>
      <c r="I42">
        <f t="shared" si="9"/>
        <v>7</v>
      </c>
      <c r="J42">
        <f t="shared" si="10"/>
        <v>1</v>
      </c>
      <c r="K42">
        <f t="shared" si="11"/>
        <v>1</v>
      </c>
      <c r="M42" t="s">
        <v>17</v>
      </c>
      <c r="N42" t="s">
        <v>31</v>
      </c>
      <c r="O42" t="s">
        <v>75</v>
      </c>
      <c r="P42" s="26">
        <f t="shared" si="15"/>
        <v>13220.9</v>
      </c>
      <c r="Q42" s="26">
        <f>INDEX(IT!$C$2:$K$20,MATCH($O42,IT!$B$2:$B$20,0),MATCH(Q$5,IT!$C$1:$K$1,0))</f>
        <v>13283.903822146958</v>
      </c>
      <c r="R42" s="26">
        <f>INDEX(IT!$C$2:$K$20,MATCH($O42,IT!$B$2:$B$20,0),MATCH(R$5,IT!$C$1:$K$1,0))</f>
        <v>13496.518624744273</v>
      </c>
      <c r="S42" s="26">
        <f>INDEX(IT!$C$2:$K$20,MATCH($O42,IT!$B$2:$B$20,0),MATCH(S$5,IT!$C$1:$K$1,0))</f>
        <v>13496.518624744273</v>
      </c>
      <c r="T42" s="26">
        <f>INDEX(IT!$C$2:$K$20,MATCH($O42,IT!$B$2:$B$20,0),MATCH(T$5,IT!$C$1:$K$1,0))</f>
        <v>13590.171839652838</v>
      </c>
      <c r="U42" s="26">
        <f>INDEX(IT!$C$2:$K$20,MATCH($O42,IT!$B$2:$B$20,0),MATCH(U$5,IT!$C$1:$K$1,0))</f>
        <v>13780.953138281482</v>
      </c>
      <c r="V42" s="26">
        <f>INDEX(IT!$C$2:$K$20,MATCH($O42,IT!$B$2:$B$20,0),MATCH(V$5,IT!$C$1:$K$1,0))</f>
        <v>13934.020037692526</v>
      </c>
      <c r="W42" s="26">
        <f>INDEX(IT!$C$2:$K$20,MATCH($O42,IT!$B$2:$B$20,0),MATCH(W$5,IT!$C$1:$K$1,0))</f>
        <v>14010.198308841032</v>
      </c>
      <c r="X42" s="26">
        <f>INDEX(IT!$C$2:$K$20,MATCH($O42,IT!$B$2:$B$20,0),MATCH(X$5,IT!$C$1:$K$1,0))</f>
        <v>14055.967847201959</v>
      </c>
      <c r="Z42" t="str">
        <f t="shared" si="16"/>
        <v>IT0.HYD_RES</v>
      </c>
      <c r="AA42" s="29">
        <f t="shared" si="17"/>
        <v>4.7654714994409273E-3</v>
      </c>
      <c r="AB42" s="29"/>
      <c r="AC42" t="s">
        <v>87</v>
      </c>
      <c r="AD42" t="s">
        <v>85</v>
      </c>
      <c r="AE42" t="s">
        <v>132</v>
      </c>
      <c r="AF42" t="s">
        <v>14</v>
      </c>
      <c r="AG42">
        <v>1722000</v>
      </c>
      <c r="AH42">
        <v>1898.3</v>
      </c>
      <c r="AI42">
        <v>907.12742980561598</v>
      </c>
    </row>
    <row r="43" spans="2:35">
      <c r="B43" t="str">
        <f t="shared" ref="B43:B74" si="18">INDEX(H$2:H$11,H43)</f>
        <v>GEO_ELC</v>
      </c>
      <c r="C43">
        <f t="shared" ref="C43:C74" si="19">INDEX(I$2:I$11,I43)</f>
        <v>2045</v>
      </c>
      <c r="D43" t="str">
        <f t="shared" ref="D43:D74" si="20">INDEX(J$2:J$11,J43)</f>
        <v>hi_gas</v>
      </c>
      <c r="E43" t="str">
        <f t="shared" ref="E43:E74" si="21">INDEX(K$2:K$11,K43)</f>
        <v>CH0</v>
      </c>
      <c r="F43" s="26">
        <f t="shared" ref="F43:F74" si="22">INDEX($P$87:$X$97,MATCH(B43&amp;"."&amp;D43,$AB$87:$AB$97,0),MATCH(C43,$P$5:$X$5,0))</f>
        <v>438.70977660931999</v>
      </c>
      <c r="H43">
        <f t="shared" si="8"/>
        <v>3</v>
      </c>
      <c r="I43">
        <f t="shared" si="9"/>
        <v>7</v>
      </c>
      <c r="J43">
        <f t="shared" si="10"/>
        <v>1</v>
      </c>
      <c r="K43">
        <f t="shared" si="11"/>
        <v>1</v>
      </c>
      <c r="M43" t="s">
        <v>17</v>
      </c>
      <c r="N43" t="s">
        <v>31</v>
      </c>
      <c r="O43" t="s">
        <v>85</v>
      </c>
      <c r="P43" s="26">
        <f t="shared" si="15"/>
        <v>3795.9</v>
      </c>
      <c r="Q43" s="26">
        <f>INDEX(IT!$C$2:$K$20,MATCH($O43,IT!$B$2:$B$20,0),MATCH(Q$5,IT!$C$1:$K$1,0))</f>
        <v>3795.9</v>
      </c>
      <c r="R43" s="26">
        <f>INDEX(IT!$C$2:$K$20,MATCH($O43,IT!$B$2:$B$20,0),MATCH(R$5,IT!$C$1:$K$1,0))</f>
        <v>3795.9</v>
      </c>
      <c r="S43" s="26">
        <f>INDEX(IT!$C$2:$K$20,MATCH($O43,IT!$B$2:$B$20,0),MATCH(S$5,IT!$C$1:$K$1,0))</f>
        <v>3795.9</v>
      </c>
      <c r="T43" s="26">
        <f>INDEX(IT!$C$2:$K$20,MATCH($O43,IT!$B$2:$B$20,0),MATCH(T$5,IT!$C$1:$K$1,0))</f>
        <v>3795.9</v>
      </c>
      <c r="U43" s="26">
        <f>INDEX(IT!$C$2:$K$20,MATCH($O43,IT!$B$2:$B$20,0),MATCH(U$5,IT!$C$1:$K$1,0))</f>
        <v>3795.9</v>
      </c>
      <c r="V43" s="26">
        <f>INDEX(IT!$C$2:$K$20,MATCH($O43,IT!$B$2:$B$20,0),MATCH(V$5,IT!$C$1:$K$1,0))</f>
        <v>3795.9</v>
      </c>
      <c r="W43" s="26">
        <f>INDEX(IT!$C$2:$K$20,MATCH($O43,IT!$B$2:$B$20,0),MATCH(W$5,IT!$C$1:$K$1,0))</f>
        <v>3795.9</v>
      </c>
      <c r="X43" s="26">
        <f>INDEX(IT!$C$2:$K$20,MATCH($O43,IT!$B$2:$B$20,0),MATCH(X$5,IT!$C$1:$K$1,0))</f>
        <v>3795.9</v>
      </c>
      <c r="Z43" t="str">
        <f t="shared" si="16"/>
        <v>IT0.HYD_STO</v>
      </c>
      <c r="AA43" s="29">
        <f t="shared" si="17"/>
        <v>0</v>
      </c>
      <c r="AB43" s="29"/>
      <c r="AC43" t="s">
        <v>88</v>
      </c>
      <c r="AD43" t="s">
        <v>85</v>
      </c>
      <c r="AE43" t="s">
        <v>132</v>
      </c>
      <c r="AF43" t="s">
        <v>15</v>
      </c>
      <c r="AG43">
        <v>5921000</v>
      </c>
      <c r="AH43">
        <v>8149.2</v>
      </c>
      <c r="AI43">
        <v>726.57438766995494</v>
      </c>
    </row>
    <row r="44" spans="2:35">
      <c r="B44" t="str">
        <f t="shared" si="18"/>
        <v>GAS_NEW</v>
      </c>
      <c r="C44">
        <f t="shared" si="19"/>
        <v>2045</v>
      </c>
      <c r="D44" t="str">
        <f t="shared" si="20"/>
        <v>hi_gas</v>
      </c>
      <c r="E44" t="str">
        <f t="shared" si="21"/>
        <v>CH0</v>
      </c>
      <c r="F44" s="26">
        <f t="shared" si="22"/>
        <v>707.76886922864298</v>
      </c>
      <c r="H44">
        <f t="shared" ref="H44:H75" si="23">IF(H43=$H$1,1,H43+1)</f>
        <v>4</v>
      </c>
      <c r="I44">
        <f t="shared" ref="I44:I75" si="24">IF(H44=1,IF(I43=$I$1,1,I43+1),I43)</f>
        <v>7</v>
      </c>
      <c r="J44">
        <f t="shared" ref="J44:J75" si="25">IF(AND(I44=1,I43&gt;1),IF(J43=$J$1,1,J43+1),J43)</f>
        <v>1</v>
      </c>
      <c r="K44">
        <f t="shared" ref="K44:K75" si="26">IF(AND(J44=1,J43&gt;1),IF(K43=$K$1,1,K43+1),K43)</f>
        <v>1</v>
      </c>
      <c r="M44" t="s">
        <v>17</v>
      </c>
      <c r="N44" t="s">
        <v>31</v>
      </c>
      <c r="O44" t="s">
        <v>60</v>
      </c>
      <c r="P44" s="26">
        <f t="shared" si="15"/>
        <v>43923.990978955298</v>
      </c>
      <c r="Q44" s="26">
        <f>INDEX(IT!$C$2:$K$20,MATCH($O44,IT!$B$2:$B$20,0),MATCH(Q$5,IT!$C$1:$K$1,0))</f>
        <v>52044.520140000001</v>
      </c>
      <c r="R44" s="26">
        <f>INDEX(IT!$C$2:$K$20,MATCH($O44,IT!$B$2:$B$20,0),MATCH(R$5,IT!$C$1:$K$1,0))</f>
        <v>51352.575464723202</v>
      </c>
      <c r="S44" s="26">
        <f>INDEX(IT!$C$2:$K$20,MATCH($O44,IT!$B$2:$B$20,0),MATCH(S$5,IT!$C$1:$K$1,0))</f>
        <v>47623.093404199499</v>
      </c>
      <c r="T44" s="26">
        <f>INDEX(IT!$C$2:$K$20,MATCH($O44,IT!$B$2:$B$20,0),MATCH(T$5,IT!$C$1:$K$1,0))</f>
        <v>41739.442986253198</v>
      </c>
      <c r="U44" s="26">
        <f>INDEX(IT!$C$2:$K$20,MATCH($O44,IT!$B$2:$B$20,0),MATCH(U$5,IT!$C$1:$K$1,0))</f>
        <v>35862.127868081101</v>
      </c>
      <c r="V44" s="26">
        <f>INDEX(IT!$C$2:$K$20,MATCH($O44,IT!$B$2:$B$20,0),MATCH(V$5,IT!$C$1:$K$1,0))</f>
        <v>35862.127868081101</v>
      </c>
      <c r="W44" s="26">
        <f>INDEX(IT!$C$2:$K$20,MATCH($O44,IT!$B$2:$B$20,0),MATCH(W$5,IT!$C$1:$K$1,0))</f>
        <v>35862.127868081101</v>
      </c>
      <c r="X44" s="26">
        <f>INDEX(IT!$C$2:$K$20,MATCH($O44,IT!$B$2:$B$20,0),MATCH(X$5,IT!$C$1:$K$1,0))</f>
        <v>35862.127868081101</v>
      </c>
      <c r="Z44" t="str">
        <f t="shared" si="16"/>
        <v>IT0.GAS_LIN</v>
      </c>
      <c r="AA44" s="29">
        <f t="shared" si="17"/>
        <v>0.18487685158061753</v>
      </c>
      <c r="AB44" s="29"/>
      <c r="AC44" t="s">
        <v>89</v>
      </c>
      <c r="AD44" t="s">
        <v>85</v>
      </c>
      <c r="AE44" t="s">
        <v>132</v>
      </c>
      <c r="AF44" t="s">
        <v>16</v>
      </c>
      <c r="AG44">
        <v>4896000</v>
      </c>
      <c r="AH44">
        <v>4965</v>
      </c>
      <c r="AI44">
        <v>986.10271903323303</v>
      </c>
    </row>
    <row r="45" spans="2:35">
      <c r="B45" t="str">
        <f t="shared" si="18"/>
        <v>BAL_ELC</v>
      </c>
      <c r="C45">
        <f t="shared" si="19"/>
        <v>2045</v>
      </c>
      <c r="D45" t="str">
        <f t="shared" si="20"/>
        <v>hi_gas</v>
      </c>
      <c r="E45" t="str">
        <f t="shared" si="21"/>
        <v>CH0</v>
      </c>
      <c r="F45" s="26">
        <f t="shared" si="22"/>
        <v>672.26285879256295</v>
      </c>
      <c r="H45">
        <f t="shared" si="23"/>
        <v>5</v>
      </c>
      <c r="I45">
        <f t="shared" si="24"/>
        <v>7</v>
      </c>
      <c r="J45">
        <f t="shared" si="25"/>
        <v>1</v>
      </c>
      <c r="K45">
        <f t="shared" si="26"/>
        <v>1</v>
      </c>
      <c r="M45" t="s">
        <v>17</v>
      </c>
      <c r="N45" t="s">
        <v>31</v>
      </c>
      <c r="O45" t="s">
        <v>441</v>
      </c>
      <c r="P45" s="26">
        <f t="shared" si="15"/>
        <v>0</v>
      </c>
      <c r="Q45" s="26">
        <f>INDEX(IT!$C$2:$K$20,MATCH($O45,IT!$B$2:$B$20,0),MATCH(Q$5,IT!$C$1:$K$1,0))</f>
        <v>0</v>
      </c>
      <c r="R45" s="26">
        <f>INDEX(IT!$C$2:$K$20,MATCH($O45,IT!$B$2:$B$20,0),MATCH(R$5,IT!$C$1:$K$1,0))</f>
        <v>0</v>
      </c>
      <c r="S45" s="26">
        <f>INDEX(IT!$C$2:$K$20,MATCH($O45,IT!$B$2:$B$20,0),MATCH(S$5,IT!$C$1:$K$1,0))</f>
        <v>0</v>
      </c>
      <c r="T45" s="26">
        <f>INDEX(IT!$C$2:$K$20,MATCH($O45,IT!$B$2:$B$20,0),MATCH(T$5,IT!$C$1:$K$1,0))</f>
        <v>0</v>
      </c>
      <c r="U45" s="26">
        <f>INDEX(IT!$C$2:$K$20,MATCH($O45,IT!$B$2:$B$20,0),MATCH(U$5,IT!$C$1:$K$1,0))</f>
        <v>0</v>
      </c>
      <c r="V45" s="26">
        <f>INDEX(IT!$C$2:$K$20,MATCH($O45,IT!$B$2:$B$20,0),MATCH(V$5,IT!$C$1:$K$1,0))</f>
        <v>9350.9504850730955</v>
      </c>
      <c r="W45" s="26">
        <f>INDEX(IT!$C$2:$K$20,MATCH($O45,IT!$B$2:$B$20,0),MATCH(W$5,IT!$C$1:$K$1,0))</f>
        <v>9219.3718435810006</v>
      </c>
      <c r="X45" s="26">
        <f>INDEX(IT!$C$2:$K$20,MATCH($O45,IT!$B$2:$B$20,0),MATCH(X$5,IT!$C$1:$K$1,0))</f>
        <v>9199.5035090357997</v>
      </c>
      <c r="Z45" t="str">
        <f t="shared" si="16"/>
        <v>IT0.GAS_NEW</v>
      </c>
      <c r="AA45" s="29" t="e">
        <f t="shared" si="17"/>
        <v>#DIV/0!</v>
      </c>
      <c r="AB45" s="29"/>
      <c r="AC45" t="s">
        <v>90</v>
      </c>
      <c r="AD45" t="s">
        <v>85</v>
      </c>
      <c r="AE45" t="s">
        <v>132</v>
      </c>
      <c r="AF45" t="s">
        <v>17</v>
      </c>
      <c r="AG45">
        <v>1432100</v>
      </c>
      <c r="AH45">
        <v>3795.9</v>
      </c>
      <c r="AI45">
        <v>377.27548144050201</v>
      </c>
    </row>
    <row r="46" spans="2:35">
      <c r="B46" t="str">
        <f t="shared" si="18"/>
        <v>SOL_PHO</v>
      </c>
      <c r="C46">
        <f t="shared" si="19"/>
        <v>2050</v>
      </c>
      <c r="D46" t="str">
        <f t="shared" si="20"/>
        <v>hi_gas</v>
      </c>
      <c r="E46" t="str">
        <f t="shared" si="21"/>
        <v>CH0</v>
      </c>
      <c r="F46" s="26">
        <f t="shared" si="22"/>
        <v>13819.598587457</v>
      </c>
      <c r="H46">
        <f t="shared" si="23"/>
        <v>1</v>
      </c>
      <c r="I46">
        <f t="shared" si="24"/>
        <v>8</v>
      </c>
      <c r="J46">
        <f t="shared" si="25"/>
        <v>1</v>
      </c>
      <c r="K46">
        <f t="shared" si="26"/>
        <v>1</v>
      </c>
      <c r="M46" t="s">
        <v>17</v>
      </c>
      <c r="N46" t="s">
        <v>31</v>
      </c>
      <c r="O46" t="s">
        <v>100</v>
      </c>
      <c r="P46" s="26">
        <f t="shared" si="15"/>
        <v>3197.9</v>
      </c>
      <c r="Q46" s="26">
        <f>INDEX(IT!$C$2:$K$20,MATCH($O46,IT!$B$2:$B$20,0),MATCH(Q$5,IT!$C$1:$K$1,0))</f>
        <v>13927.99768</v>
      </c>
      <c r="R46" s="26">
        <f>INDEX(IT!$C$2:$K$20,MATCH($O46,IT!$B$2:$B$20,0),MATCH(R$5,IT!$C$1:$K$1,0))</f>
        <v>8629.2116280374794</v>
      </c>
      <c r="S46" s="26">
        <f>INDEX(IT!$C$2:$K$20,MATCH($O46,IT!$B$2:$B$20,0),MATCH(S$5,IT!$C$1:$K$1,0))</f>
        <v>6039.6877909933601</v>
      </c>
      <c r="T46" s="26">
        <f>INDEX(IT!$C$2:$K$20,MATCH($O46,IT!$B$2:$B$20,0),MATCH(T$5,IT!$C$1:$K$1,0))</f>
        <v>2331.9670034559199</v>
      </c>
      <c r="U46" s="26">
        <f>INDEX(IT!$C$2:$K$20,MATCH($O46,IT!$B$2:$B$20,0),MATCH(U$5,IT!$C$1:$K$1,0))</f>
        <v>797.77677413312904</v>
      </c>
      <c r="V46" s="26">
        <f>INDEX(IT!$C$2:$K$20,MATCH($O46,IT!$B$2:$B$20,0),MATCH(V$5,IT!$C$1:$K$1,0))</f>
        <v>603.40888901077199</v>
      </c>
      <c r="W46" s="26">
        <f>INDEX(IT!$C$2:$K$20,MATCH($O46,IT!$B$2:$B$20,0),MATCH(W$5,IT!$C$1:$K$1,0))</f>
        <v>483.39818350521301</v>
      </c>
      <c r="X46" s="26">
        <f>INDEX(IT!$C$2:$K$20,MATCH($O46,IT!$B$2:$B$20,0),MATCH(X$5,IT!$C$1:$K$1,0))</f>
        <v>128.12163478751401</v>
      </c>
      <c r="Z46" t="str">
        <f t="shared" si="16"/>
        <v>IT0.OIL_LIN</v>
      </c>
      <c r="AA46" s="29">
        <f t="shared" si="17"/>
        <v>3.3553574783451641</v>
      </c>
      <c r="AB46" s="29"/>
      <c r="AC46" t="s">
        <v>73</v>
      </c>
      <c r="AD46" t="s">
        <v>75</v>
      </c>
      <c r="AE46" t="s">
        <v>25</v>
      </c>
      <c r="AF46" t="s">
        <v>12</v>
      </c>
      <c r="AG46">
        <v>9350141.4459256101</v>
      </c>
      <c r="AH46">
        <v>3992.46041105121</v>
      </c>
      <c r="AI46">
        <v>2341.9496959930302</v>
      </c>
    </row>
    <row r="47" spans="2:35">
      <c r="B47" t="str">
        <f t="shared" si="18"/>
        <v>WIN_ONS</v>
      </c>
      <c r="C47">
        <f t="shared" si="19"/>
        <v>2050</v>
      </c>
      <c r="D47" t="str">
        <f t="shared" si="20"/>
        <v>hi_gas</v>
      </c>
      <c r="E47" t="str">
        <f t="shared" si="21"/>
        <v>CH0</v>
      </c>
      <c r="F47" s="26">
        <f t="shared" si="22"/>
        <v>2334.15323093702</v>
      </c>
      <c r="H47">
        <f t="shared" si="23"/>
        <v>2</v>
      </c>
      <c r="I47">
        <f t="shared" si="24"/>
        <v>8</v>
      </c>
      <c r="J47">
        <f t="shared" si="25"/>
        <v>1</v>
      </c>
      <c r="K47">
        <f t="shared" si="26"/>
        <v>1</v>
      </c>
      <c r="M47" t="s">
        <v>17</v>
      </c>
      <c r="N47" t="s">
        <v>31</v>
      </c>
      <c r="O47" t="s">
        <v>55</v>
      </c>
      <c r="P47" s="26">
        <f t="shared" si="15"/>
        <v>2984.4095869118501</v>
      </c>
      <c r="Q47" s="26">
        <f>INDEX(IT!$C$2:$K$20,MATCH($O47,IT!$B$2:$B$20,0),MATCH(Q$5,IT!$C$1:$K$1,0))</f>
        <v>2984.4095869118501</v>
      </c>
      <c r="R47" s="26">
        <f>INDEX(IT!$C$2:$K$20,MATCH($O47,IT!$B$2:$B$20,0),MATCH(R$5,IT!$C$1:$K$1,0))</f>
        <v>3734.3996342659284</v>
      </c>
      <c r="S47" s="26">
        <f>INDEX(IT!$C$2:$K$20,MATCH($O47,IT!$B$2:$B$20,0),MATCH(S$5,IT!$C$1:$K$1,0))</f>
        <v>3805.945295235153</v>
      </c>
      <c r="T47" s="26">
        <f>INDEX(IT!$C$2:$K$20,MATCH($O47,IT!$B$2:$B$20,0),MATCH(T$5,IT!$C$1:$K$1,0))</f>
        <v>3762.1678645948364</v>
      </c>
      <c r="U47" s="26">
        <f>INDEX(IT!$C$2:$K$20,MATCH($O47,IT!$B$2:$B$20,0),MATCH(U$5,IT!$C$1:$K$1,0))</f>
        <v>3860.927558151986</v>
      </c>
      <c r="V47" s="26">
        <f>INDEX(IT!$C$2:$K$20,MATCH($O47,IT!$B$2:$B$20,0),MATCH(V$5,IT!$C$1:$K$1,0))</f>
        <v>4724.8927970343557</v>
      </c>
      <c r="W47" s="26">
        <f>INDEX(IT!$C$2:$K$20,MATCH($O47,IT!$B$2:$B$20,0),MATCH(W$5,IT!$C$1:$K$1,0))</f>
        <v>4733.2848507149974</v>
      </c>
      <c r="X47" s="26">
        <f>INDEX(IT!$C$2:$K$20,MATCH($O47,IT!$B$2:$B$20,0),MATCH(X$5,IT!$C$1:$K$1,0))</f>
        <v>4676.9421972070086</v>
      </c>
      <c r="Z47" t="str">
        <f t="shared" si="16"/>
        <v>IT0.BAL_ELC</v>
      </c>
      <c r="AA47" s="29">
        <f t="shared" si="17"/>
        <v>0</v>
      </c>
      <c r="AB47" s="29"/>
      <c r="AC47" t="s">
        <v>74</v>
      </c>
      <c r="AD47" t="s">
        <v>75</v>
      </c>
      <c r="AE47" t="s">
        <v>25</v>
      </c>
      <c r="AF47" t="s">
        <v>14</v>
      </c>
      <c r="AG47">
        <v>21169000</v>
      </c>
      <c r="AH47">
        <v>7559.2</v>
      </c>
      <c r="AI47">
        <v>2800.42861678485</v>
      </c>
    </row>
    <row r="48" spans="2:35">
      <c r="B48" t="str">
        <f t="shared" si="18"/>
        <v>GEO_ELC</v>
      </c>
      <c r="C48">
        <f t="shared" si="19"/>
        <v>2050</v>
      </c>
      <c r="D48" t="str">
        <f t="shared" si="20"/>
        <v>hi_gas</v>
      </c>
      <c r="E48" t="str">
        <f t="shared" si="21"/>
        <v>CH0</v>
      </c>
      <c r="F48" s="26">
        <f t="shared" si="22"/>
        <v>556.82394723490597</v>
      </c>
      <c r="H48">
        <f t="shared" si="23"/>
        <v>3</v>
      </c>
      <c r="I48">
        <f t="shared" si="24"/>
        <v>8</v>
      </c>
      <c r="J48">
        <f t="shared" si="25"/>
        <v>1</v>
      </c>
      <c r="K48">
        <f t="shared" si="26"/>
        <v>1</v>
      </c>
      <c r="M48" t="s">
        <v>17</v>
      </c>
      <c r="N48" t="s">
        <v>31</v>
      </c>
      <c r="O48" t="s">
        <v>110</v>
      </c>
      <c r="P48" s="26">
        <f t="shared" si="15"/>
        <v>916.759056476757</v>
      </c>
      <c r="Q48" s="26">
        <f>INDEX(IT!$C$2:$K$20,MATCH($O48,IT!$B$2:$B$20,0),MATCH(Q$5,IT!$C$1:$K$1,0))</f>
        <v>916.759056476757</v>
      </c>
      <c r="R48" s="26">
        <f>INDEX(IT!$C$2:$K$20,MATCH($O48,IT!$B$2:$B$20,0),MATCH(R$5,IT!$C$1:$K$1,0))</f>
        <v>1147.1430396922588</v>
      </c>
      <c r="S48" s="26">
        <f>INDEX(IT!$C$2:$K$20,MATCH($O48,IT!$B$2:$B$20,0),MATCH(S$5,IT!$C$1:$K$1,0))</f>
        <v>1169.1206304803327</v>
      </c>
      <c r="T48" s="26">
        <f>INDEX(IT!$C$2:$K$20,MATCH($O48,IT!$B$2:$B$20,0),MATCH(T$5,IT!$C$1:$K$1,0))</f>
        <v>1155.6729602326564</v>
      </c>
      <c r="U48" s="26">
        <f>INDEX(IT!$C$2:$K$20,MATCH($O48,IT!$B$2:$B$20,0),MATCH(U$5,IT!$C$1:$K$1,0))</f>
        <v>1186.0102315912679</v>
      </c>
      <c r="V48" s="26">
        <f>INDEX(IT!$C$2:$K$20,MATCH($O48,IT!$B$2:$B$20,0),MATCH(V$5,IT!$C$1:$K$1,0))</f>
        <v>1451.4054242283808</v>
      </c>
      <c r="W48" s="26">
        <f>INDEX(IT!$C$2:$K$20,MATCH($O48,IT!$B$2:$B$20,0),MATCH(W$5,IT!$C$1:$K$1,0))</f>
        <v>1453.9833181099407</v>
      </c>
      <c r="X48" s="26">
        <f>INDEX(IT!$C$2:$K$20,MATCH($O48,IT!$B$2:$B$20,0),MATCH(X$5,IT!$C$1:$K$1,0))</f>
        <v>1436.6758285160511</v>
      </c>
      <c r="Z48" t="str">
        <f t="shared" si="16"/>
        <v>IT0.WAS_ELC</v>
      </c>
      <c r="AA48" s="29">
        <f t="shared" si="17"/>
        <v>0</v>
      </c>
      <c r="AB48" s="29"/>
      <c r="AC48" t="s">
        <v>76</v>
      </c>
      <c r="AD48" t="s">
        <v>75</v>
      </c>
      <c r="AE48" t="s">
        <v>25</v>
      </c>
      <c r="AF48" t="s">
        <v>15</v>
      </c>
      <c r="AG48">
        <v>987626.25370606501</v>
      </c>
      <c r="AH48">
        <v>1543.5</v>
      </c>
      <c r="AI48">
        <v>639.86151843606399</v>
      </c>
    </row>
    <row r="49" spans="2:35">
      <c r="B49" t="str">
        <f t="shared" si="18"/>
        <v>GAS_NEW</v>
      </c>
      <c r="C49">
        <f t="shared" si="19"/>
        <v>2050</v>
      </c>
      <c r="D49" t="str">
        <f t="shared" si="20"/>
        <v>hi_gas</v>
      </c>
      <c r="E49" t="str">
        <f t="shared" si="21"/>
        <v>CH0</v>
      </c>
      <c r="F49" s="26">
        <f t="shared" si="22"/>
        <v>730.024882499309</v>
      </c>
      <c r="H49">
        <f t="shared" si="23"/>
        <v>4</v>
      </c>
      <c r="I49">
        <f t="shared" si="24"/>
        <v>8</v>
      </c>
      <c r="J49">
        <f t="shared" si="25"/>
        <v>1</v>
      </c>
      <c r="K49">
        <f t="shared" si="26"/>
        <v>1</v>
      </c>
      <c r="M49" t="s">
        <v>17</v>
      </c>
      <c r="N49" t="s">
        <v>31</v>
      </c>
      <c r="O49" t="s">
        <v>91</v>
      </c>
      <c r="P49" s="26">
        <f t="shared" si="15"/>
        <v>0</v>
      </c>
      <c r="Q49" s="26">
        <f>INDEX(IT!$C$2:$K$20,MATCH($O49,IT!$B$2:$B$20,0),MATCH(Q$5,IT!$C$1:$K$1,0))</f>
        <v>0</v>
      </c>
      <c r="R49" s="26">
        <f>INDEX(IT!$C$2:$K$20,MATCH($O49,IT!$B$2:$B$20,0),MATCH(R$5,IT!$C$1:$K$1,0))</f>
        <v>0</v>
      </c>
      <c r="S49" s="26">
        <f>INDEX(IT!$C$2:$K$20,MATCH($O49,IT!$B$2:$B$20,0),MATCH(S$5,IT!$C$1:$K$1,0))</f>
        <v>0</v>
      </c>
      <c r="T49" s="26">
        <f>INDEX(IT!$C$2:$K$20,MATCH($O49,IT!$B$2:$B$20,0),MATCH(T$5,IT!$C$1:$K$1,0))</f>
        <v>0</v>
      </c>
      <c r="U49" s="26">
        <f>INDEX(IT!$C$2:$K$20,MATCH($O49,IT!$B$2:$B$20,0),MATCH(U$5,IT!$C$1:$K$1,0))</f>
        <v>0</v>
      </c>
      <c r="V49" s="26">
        <f>INDEX(IT!$C$2:$K$20,MATCH($O49,IT!$B$2:$B$20,0),MATCH(V$5,IT!$C$1:$K$1,0))</f>
        <v>0</v>
      </c>
      <c r="W49" s="26">
        <f>INDEX(IT!$C$2:$K$20,MATCH($O49,IT!$B$2:$B$20,0),MATCH(W$5,IT!$C$1:$K$1,0))</f>
        <v>0</v>
      </c>
      <c r="X49" s="26">
        <f>INDEX(IT!$C$2:$K$20,MATCH($O49,IT!$B$2:$B$20,0),MATCH(X$5,IT!$C$1:$K$1,0))</f>
        <v>0</v>
      </c>
      <c r="Z49" t="str">
        <f t="shared" si="16"/>
        <v>IT0.LIG_LIN</v>
      </c>
      <c r="AA49" s="29" t="e">
        <f t="shared" si="17"/>
        <v>#DIV/0!</v>
      </c>
      <c r="AB49" s="29"/>
      <c r="AC49" t="s">
        <v>77</v>
      </c>
      <c r="AD49" t="s">
        <v>75</v>
      </c>
      <c r="AE49" t="s">
        <v>25</v>
      </c>
      <c r="AF49" t="s">
        <v>16</v>
      </c>
      <c r="AG49">
        <v>16337343.5789703</v>
      </c>
      <c r="AH49">
        <v>8214</v>
      </c>
      <c r="AI49">
        <v>1988.9631822461999</v>
      </c>
    </row>
    <row r="50" spans="2:35">
      <c r="B50" t="str">
        <f t="shared" si="18"/>
        <v>BAL_ELC</v>
      </c>
      <c r="C50">
        <f t="shared" si="19"/>
        <v>2050</v>
      </c>
      <c r="D50" t="str">
        <f t="shared" si="20"/>
        <v>hi_gas</v>
      </c>
      <c r="E50" t="str">
        <f t="shared" si="21"/>
        <v>CH0</v>
      </c>
      <c r="F50" s="26">
        <f t="shared" si="22"/>
        <v>674.80782976326498</v>
      </c>
      <c r="H50">
        <f t="shared" si="23"/>
        <v>5</v>
      </c>
      <c r="I50">
        <f t="shared" si="24"/>
        <v>8</v>
      </c>
      <c r="J50">
        <f t="shared" si="25"/>
        <v>1</v>
      </c>
      <c r="K50">
        <f t="shared" si="26"/>
        <v>1</v>
      </c>
      <c r="M50" t="s">
        <v>17</v>
      </c>
      <c r="N50" t="s">
        <v>31</v>
      </c>
      <c r="O50" t="s">
        <v>70</v>
      </c>
      <c r="P50" s="26">
        <f t="shared" si="15"/>
        <v>8700.2000000000007</v>
      </c>
      <c r="Q50" s="26">
        <f>INDEX(IT!$C$2:$K$20,MATCH($O50,IT!$B$2:$B$20,0),MATCH(Q$5,IT!$C$1:$K$1,0))</f>
        <v>9511.49</v>
      </c>
      <c r="R50" s="26">
        <f>INDEX(IT!$C$2:$K$20,MATCH($O50,IT!$B$2:$B$20,0),MATCH(R$5,IT!$C$1:$K$1,0))</f>
        <v>8858.0188836439702</v>
      </c>
      <c r="S50" s="26">
        <f>INDEX(IT!$C$2:$K$20,MATCH($O50,IT!$B$2:$B$20,0),MATCH(S$5,IT!$C$1:$K$1,0))</f>
        <v>5103.4988836439697</v>
      </c>
      <c r="T50" s="26">
        <f>INDEX(IT!$C$2:$K$20,MATCH($O50,IT!$B$2:$B$20,0),MATCH(T$5,IT!$C$1:$K$1,0))</f>
        <v>5098.3688836439696</v>
      </c>
      <c r="U50" s="26">
        <f>INDEX(IT!$C$2:$K$20,MATCH($O50,IT!$B$2:$B$20,0),MATCH(U$5,IT!$C$1:$K$1,0))</f>
        <v>4803.0488836439699</v>
      </c>
      <c r="V50" s="26">
        <f>INDEX(IT!$C$2:$K$20,MATCH($O50,IT!$B$2:$B$20,0),MATCH(V$5,IT!$C$1:$K$1,0))</f>
        <v>2226.1288836439699</v>
      </c>
      <c r="W50" s="26">
        <f>INDEX(IT!$C$2:$K$20,MATCH($O50,IT!$B$2:$B$20,0),MATCH(W$5,IT!$C$1:$K$1,0))</f>
        <v>2214.1688836439698</v>
      </c>
      <c r="X50" s="26">
        <f>INDEX(IT!$C$2:$K$20,MATCH($O50,IT!$B$2:$B$20,0),MATCH(X$5,IT!$C$1:$K$1,0))</f>
        <v>1901.3688836439701</v>
      </c>
      <c r="Z50" t="str">
        <f t="shared" si="16"/>
        <v>IT0.HCO_LIN</v>
      </c>
      <c r="AA50" s="29">
        <f t="shared" si="17"/>
        <v>9.3249580469414381E-2</v>
      </c>
      <c r="AB50" s="29"/>
      <c r="AC50" t="s">
        <v>78</v>
      </c>
      <c r="AD50" t="s">
        <v>75</v>
      </c>
      <c r="AE50" t="s">
        <v>25</v>
      </c>
      <c r="AF50" t="s">
        <v>17</v>
      </c>
      <c r="AG50">
        <v>24618600</v>
      </c>
      <c r="AH50">
        <v>13220.9</v>
      </c>
      <c r="AI50">
        <v>1862.09713408316</v>
      </c>
    </row>
    <row r="51" spans="2:35">
      <c r="B51" t="str">
        <f t="shared" si="18"/>
        <v>SOL_PHO</v>
      </c>
      <c r="C51">
        <f t="shared" si="19"/>
        <v>2015</v>
      </c>
      <c r="D51" t="str">
        <f t="shared" si="20"/>
        <v>hi_ren</v>
      </c>
      <c r="E51" t="str">
        <f t="shared" si="21"/>
        <v>CH0</v>
      </c>
      <c r="F51" s="26">
        <f t="shared" si="22"/>
        <v>1390.1</v>
      </c>
      <c r="H51">
        <f t="shared" si="23"/>
        <v>1</v>
      </c>
      <c r="I51">
        <f t="shared" si="24"/>
        <v>1</v>
      </c>
      <c r="J51">
        <f t="shared" si="25"/>
        <v>2</v>
      </c>
      <c r="K51">
        <f t="shared" si="26"/>
        <v>1</v>
      </c>
      <c r="M51" t="s">
        <v>17</v>
      </c>
      <c r="N51" t="s">
        <v>31</v>
      </c>
      <c r="O51" t="s">
        <v>65</v>
      </c>
      <c r="P51" s="26">
        <f t="shared" si="15"/>
        <v>773.21817824699201</v>
      </c>
      <c r="Q51" s="26">
        <f>INDEX(IT!$C$2:$K$20,MATCH($O51,IT!$B$2:$B$20,0),MATCH(Q$5,IT!$C$1:$K$1,0))</f>
        <v>773</v>
      </c>
      <c r="R51" s="26">
        <f>INDEX(IT!$C$2:$K$20,MATCH($O51,IT!$B$2:$B$20,0),MATCH(R$5,IT!$C$1:$K$1,0))</f>
        <v>773</v>
      </c>
      <c r="S51" s="26">
        <f>INDEX(IT!$C$2:$K$20,MATCH($O51,IT!$B$2:$B$20,0),MATCH(S$5,IT!$C$1:$K$1,0))</f>
        <v>773</v>
      </c>
      <c r="T51" s="26">
        <f>INDEX(IT!$C$2:$K$20,MATCH($O51,IT!$B$2:$B$20,0),MATCH(T$5,IT!$C$1:$K$1,0))</f>
        <v>773</v>
      </c>
      <c r="U51" s="26">
        <f>INDEX(IT!$C$2:$K$20,MATCH($O51,IT!$B$2:$B$20,0),MATCH(U$5,IT!$C$1:$K$1,0))</f>
        <v>773</v>
      </c>
      <c r="V51" s="26">
        <f>INDEX(IT!$C$2:$K$20,MATCH($O51,IT!$B$2:$B$20,0),MATCH(V$5,IT!$C$1:$K$1,0))</f>
        <v>773</v>
      </c>
      <c r="W51" s="26">
        <f>INDEX(IT!$C$2:$K$20,MATCH($O51,IT!$B$2:$B$20,0),MATCH(W$5,IT!$C$1:$K$1,0))</f>
        <v>692</v>
      </c>
      <c r="X51" s="26">
        <f>INDEX(IT!$C$2:$K$20,MATCH($O51,IT!$B$2:$B$20,0),MATCH(X$5,IT!$C$1:$K$1,0))</f>
        <v>692</v>
      </c>
      <c r="Z51" t="str">
        <f t="shared" si="16"/>
        <v>IT0.GEO_ELC</v>
      </c>
      <c r="AA51" s="29">
        <f t="shared" si="17"/>
        <v>-2.8216906059639653E-4</v>
      </c>
      <c r="AB51" s="29"/>
      <c r="AC51" t="s">
        <v>79</v>
      </c>
      <c r="AD51" t="s">
        <v>80</v>
      </c>
      <c r="AE51" t="s">
        <v>26</v>
      </c>
      <c r="AF51" t="s">
        <v>12</v>
      </c>
      <c r="AG51">
        <v>26717190.677999999</v>
      </c>
      <c r="AH51">
        <v>5656</v>
      </c>
      <c r="AI51">
        <v>4723.6900067185297</v>
      </c>
    </row>
    <row r="52" spans="2:35">
      <c r="B52" t="str">
        <f t="shared" si="18"/>
        <v>WIN_ONS</v>
      </c>
      <c r="C52">
        <f t="shared" si="19"/>
        <v>2015</v>
      </c>
      <c r="D52" t="str">
        <f t="shared" si="20"/>
        <v>hi_ren</v>
      </c>
      <c r="E52" t="str">
        <f t="shared" si="21"/>
        <v>CH0</v>
      </c>
      <c r="F52" s="26">
        <f t="shared" si="22"/>
        <v>60.287999999999997</v>
      </c>
      <c r="H52">
        <f t="shared" si="23"/>
        <v>2</v>
      </c>
      <c r="I52">
        <f t="shared" si="24"/>
        <v>1</v>
      </c>
      <c r="J52">
        <f t="shared" si="25"/>
        <v>2</v>
      </c>
      <c r="K52">
        <f t="shared" si="26"/>
        <v>1</v>
      </c>
      <c r="M52" t="s">
        <v>17</v>
      </c>
      <c r="N52" t="s">
        <v>31</v>
      </c>
      <c r="O52" t="s">
        <v>115</v>
      </c>
      <c r="P52" s="26">
        <f t="shared" si="15"/>
        <v>0</v>
      </c>
      <c r="Q52" s="26">
        <f>INDEX(IT!$C$2:$K$20,MATCH($O52,IT!$B$2:$B$20,0),MATCH(Q$5,IT!$C$1:$K$1,0))</f>
        <v>0</v>
      </c>
      <c r="R52" s="26">
        <f>INDEX(IT!$C$2:$K$20,MATCH($O52,IT!$B$2:$B$20,0),MATCH(R$5,IT!$C$1:$K$1,0))</f>
        <v>0</v>
      </c>
      <c r="S52" s="26">
        <f>INDEX(IT!$C$2:$K$20,MATCH($O52,IT!$B$2:$B$20,0),MATCH(S$5,IT!$C$1:$K$1,0))</f>
        <v>0</v>
      </c>
      <c r="T52" s="26">
        <f>INDEX(IT!$C$2:$K$20,MATCH($O52,IT!$B$2:$B$20,0),MATCH(T$5,IT!$C$1:$K$1,0))</f>
        <v>0</v>
      </c>
      <c r="U52" s="26">
        <f>INDEX(IT!$C$2:$K$20,MATCH($O52,IT!$B$2:$B$20,0),MATCH(U$5,IT!$C$1:$K$1,0))</f>
        <v>0</v>
      </c>
      <c r="V52" s="26">
        <f>INDEX(IT!$C$2:$K$20,MATCH($O52,IT!$B$2:$B$20,0),MATCH(V$5,IT!$C$1:$K$1,0))</f>
        <v>0</v>
      </c>
      <c r="W52" s="26">
        <f>INDEX(IT!$C$2:$K$20,MATCH($O52,IT!$B$2:$B$20,0),MATCH(W$5,IT!$C$1:$K$1,0))</f>
        <v>0</v>
      </c>
      <c r="X52" s="26">
        <f>INDEX(IT!$C$2:$K$20,MATCH($O52,IT!$B$2:$B$20,0),MATCH(X$5,IT!$C$1:$K$1,0))</f>
        <v>0</v>
      </c>
      <c r="Z52" t="str">
        <f t="shared" si="16"/>
        <v>IT0.WIN_OFF</v>
      </c>
      <c r="AA52" s="29" t="e">
        <f t="shared" si="17"/>
        <v>#DIV/0!</v>
      </c>
      <c r="AB52" s="29"/>
      <c r="AC52" t="s">
        <v>81</v>
      </c>
      <c r="AD52" t="s">
        <v>80</v>
      </c>
      <c r="AE52" t="s">
        <v>26</v>
      </c>
      <c r="AF52" t="s">
        <v>14</v>
      </c>
      <c r="AG52">
        <v>16595000</v>
      </c>
      <c r="AH52">
        <v>4157.78</v>
      </c>
      <c r="AI52">
        <v>3991.31267166613</v>
      </c>
    </row>
    <row r="53" spans="2:35">
      <c r="B53" t="str">
        <f t="shared" si="18"/>
        <v>GEO_ELC</v>
      </c>
      <c r="C53">
        <f t="shared" si="19"/>
        <v>2015</v>
      </c>
      <c r="D53" t="str">
        <f t="shared" si="20"/>
        <v>hi_ren</v>
      </c>
      <c r="E53" t="str">
        <f t="shared" si="21"/>
        <v>CH0</v>
      </c>
      <c r="F53" s="26">
        <f t="shared" si="22"/>
        <v>0</v>
      </c>
      <c r="H53">
        <f t="shared" si="23"/>
        <v>3</v>
      </c>
      <c r="I53">
        <f t="shared" si="24"/>
        <v>1</v>
      </c>
      <c r="J53">
        <f t="shared" si="25"/>
        <v>2</v>
      </c>
      <c r="K53">
        <f t="shared" si="26"/>
        <v>1</v>
      </c>
      <c r="AA53" s="29"/>
      <c r="AB53" s="29"/>
      <c r="AC53" t="s">
        <v>82</v>
      </c>
      <c r="AD53" t="s">
        <v>80</v>
      </c>
      <c r="AE53" t="s">
        <v>26</v>
      </c>
      <c r="AF53" t="s">
        <v>15</v>
      </c>
      <c r="AG53">
        <v>17989532.626293901</v>
      </c>
      <c r="AH53">
        <v>3842.2</v>
      </c>
      <c r="AI53">
        <v>4682.0916730763502</v>
      </c>
    </row>
    <row r="54" spans="2:35">
      <c r="B54" t="str">
        <f t="shared" si="18"/>
        <v>GAS_NEW</v>
      </c>
      <c r="C54">
        <f t="shared" si="19"/>
        <v>2015</v>
      </c>
      <c r="D54" t="str">
        <f t="shared" si="20"/>
        <v>hi_ren</v>
      </c>
      <c r="E54" t="str">
        <f t="shared" si="21"/>
        <v>CH0</v>
      </c>
      <c r="F54" s="26">
        <f t="shared" si="22"/>
        <v>154.919845218353</v>
      </c>
      <c r="H54">
        <f t="shared" si="23"/>
        <v>4</v>
      </c>
      <c r="I54">
        <f t="shared" si="24"/>
        <v>1</v>
      </c>
      <c r="J54">
        <f t="shared" si="25"/>
        <v>2</v>
      </c>
      <c r="K54">
        <f t="shared" si="26"/>
        <v>1</v>
      </c>
      <c r="M54" t="s">
        <v>12</v>
      </c>
      <c r="N54" t="s">
        <v>31</v>
      </c>
      <c r="O54" t="s">
        <v>95</v>
      </c>
      <c r="P54" s="26">
        <f t="shared" ref="P54:P68" si="27">SUMIFS($AH$8:$AH$73,$AD$8:$AD$73,O54,$AF$8:$AF$73,M54)</f>
        <v>0</v>
      </c>
      <c r="Q54" s="26">
        <f>INDEX(AT!$C$2:$K$18,MATCH($O54,AT!$B$2:$B$18,0),MATCH(Q$5,AT!$C$1:$K$1,0))</f>
        <v>0</v>
      </c>
      <c r="R54" s="26">
        <f>INDEX(AT!$C$2:$K$18,MATCH($O54,AT!$B$2:$B$18,0),MATCH(R$5,AT!$C$1:$K$1,0))</f>
        <v>0</v>
      </c>
      <c r="S54" s="26">
        <f>INDEX(AT!$C$2:$K$18,MATCH($O54,AT!$B$2:$B$18,0),MATCH(S$5,AT!$C$1:$K$1,0))</f>
        <v>0</v>
      </c>
      <c r="T54" s="26">
        <f>INDEX(AT!$C$2:$K$18,MATCH($O54,AT!$B$2:$B$18,0),MATCH(T$5,AT!$C$1:$K$1,0))</f>
        <v>0</v>
      </c>
      <c r="U54" s="26">
        <f>INDEX(AT!$C$2:$K$18,MATCH($O54,AT!$B$2:$B$18,0),MATCH(U$5,AT!$C$1:$K$1,0))</f>
        <v>0</v>
      </c>
      <c r="V54" s="26">
        <f>INDEX(AT!$C$2:$K$18,MATCH($O54,AT!$B$2:$B$18,0),MATCH(V$5,AT!$C$1:$K$1,0))</f>
        <v>0</v>
      </c>
      <c r="W54" s="26">
        <f>INDEX(AT!$C$2:$K$18,MATCH($O54,AT!$B$2:$B$18,0),MATCH(W$5,AT!$C$1:$K$1,0))</f>
        <v>0</v>
      </c>
      <c r="X54" s="26">
        <f>INDEX(AT!$C$2:$K$18,MATCH($O54,AT!$B$2:$B$18,0),MATCH(X$5,AT!$C$1:$K$1,0))</f>
        <v>0</v>
      </c>
      <c r="Z54" t="str">
        <f t="shared" ref="Z54:Z68" si="28">M54&amp;"."&amp;O54</f>
        <v>AT0.NUC_ELC</v>
      </c>
      <c r="AA54" s="29" t="e">
        <f t="shared" ref="AA54:AA68" si="29">(Q54-P54)/P54</f>
        <v>#DIV/0!</v>
      </c>
      <c r="AB54" s="29"/>
      <c r="AC54" t="s">
        <v>83</v>
      </c>
      <c r="AD54" t="s">
        <v>80</v>
      </c>
      <c r="AE54" t="s">
        <v>26</v>
      </c>
      <c r="AF54" t="s">
        <v>16</v>
      </c>
      <c r="AG54">
        <v>42336656.421029702</v>
      </c>
      <c r="AH54">
        <v>10322.333333</v>
      </c>
      <c r="AI54">
        <v>4101.4618551099702</v>
      </c>
    </row>
    <row r="55" spans="2:35">
      <c r="B55" t="str">
        <f t="shared" si="18"/>
        <v>BAL_ELC</v>
      </c>
      <c r="C55">
        <f t="shared" si="19"/>
        <v>2015</v>
      </c>
      <c r="D55" t="str">
        <f t="shared" si="20"/>
        <v>hi_ren</v>
      </c>
      <c r="E55" t="str">
        <f t="shared" si="21"/>
        <v>CH0</v>
      </c>
      <c r="F55" s="26">
        <f t="shared" si="22"/>
        <v>46.2</v>
      </c>
      <c r="H55">
        <f t="shared" si="23"/>
        <v>5</v>
      </c>
      <c r="I55">
        <f t="shared" si="24"/>
        <v>1</v>
      </c>
      <c r="J55">
        <f t="shared" si="25"/>
        <v>2</v>
      </c>
      <c r="K55">
        <f t="shared" si="26"/>
        <v>1</v>
      </c>
      <c r="M55" t="s">
        <v>12</v>
      </c>
      <c r="N55" t="s">
        <v>31</v>
      </c>
      <c r="O55" t="s">
        <v>105</v>
      </c>
      <c r="P55" s="26">
        <f t="shared" si="27"/>
        <v>931.56299999999999</v>
      </c>
      <c r="Q55" s="26">
        <f>INDEX(AT!$C$2:$K$18,MATCH($O55,AT!$B$2:$B$18,0),MATCH(Q$5,AT!$C$1:$K$1,0))</f>
        <v>876</v>
      </c>
      <c r="R55" s="26">
        <f>INDEX(AT!$C$2:$K$18,MATCH($O55,AT!$B$2:$B$18,0),MATCH(R$5,AT!$C$1:$K$1,0))</f>
        <v>1089.65065061156</v>
      </c>
      <c r="S55" s="26">
        <f>INDEX(AT!$C$2:$K$18,MATCH($O55,AT!$B$2:$B$18,0),MATCH(S$5,AT!$C$1:$K$1,0))</f>
        <v>2692.0255474526298</v>
      </c>
      <c r="T55" s="26">
        <f>INDEX(AT!$C$2:$K$18,MATCH($O55,AT!$B$2:$B$18,0),MATCH(T$5,AT!$C$1:$K$1,0))</f>
        <v>2821.0255474526298</v>
      </c>
      <c r="U55" s="26">
        <f>INDEX(AT!$C$2:$K$18,MATCH($O55,AT!$B$2:$B$18,0),MATCH(U$5,AT!$C$1:$K$1,0))</f>
        <v>2888.0255474526298</v>
      </c>
      <c r="V55" s="26">
        <f>INDEX(AT!$C$2:$K$18,MATCH($O55,AT!$B$2:$B$18,0),MATCH(V$5,AT!$C$1:$K$1,0))</f>
        <v>2930.0255474526298</v>
      </c>
      <c r="W55" s="26">
        <f>INDEX(AT!$C$2:$K$18,MATCH($O55,AT!$B$2:$B$18,0),MATCH(W$5,AT!$C$1:$K$1,0))</f>
        <v>3196.7875074344702</v>
      </c>
      <c r="X55" s="26">
        <f>INDEX(AT!$C$2:$K$18,MATCH($O55,AT!$B$2:$B$18,0),MATCH(X$5,AT!$C$1:$K$1,0))</f>
        <v>4008.7875074344702</v>
      </c>
      <c r="Z55" t="str">
        <f t="shared" si="28"/>
        <v>AT0.SOL_PHO</v>
      </c>
      <c r="AA55" s="29">
        <f t="shared" si="29"/>
        <v>-5.9644919345229461E-2</v>
      </c>
      <c r="AB55" s="29"/>
      <c r="AC55" t="s">
        <v>84</v>
      </c>
      <c r="AD55" t="s">
        <v>80</v>
      </c>
      <c r="AE55" t="s">
        <v>26</v>
      </c>
      <c r="AF55" t="s">
        <v>17</v>
      </c>
      <c r="AG55">
        <v>20918800</v>
      </c>
      <c r="AH55">
        <v>5203.3</v>
      </c>
      <c r="AI55">
        <v>4020.2948129071901</v>
      </c>
    </row>
    <row r="56" spans="2:35">
      <c r="B56" t="str">
        <f t="shared" si="18"/>
        <v>SOL_PHO</v>
      </c>
      <c r="C56">
        <f t="shared" si="19"/>
        <v>2020</v>
      </c>
      <c r="D56" t="str">
        <f t="shared" si="20"/>
        <v>hi_ren</v>
      </c>
      <c r="E56" t="str">
        <f t="shared" si="21"/>
        <v>CH0</v>
      </c>
      <c r="F56" s="26">
        <f t="shared" si="22"/>
        <v>1525.95333242366</v>
      </c>
      <c r="H56">
        <f t="shared" si="23"/>
        <v>1</v>
      </c>
      <c r="I56">
        <f t="shared" si="24"/>
        <v>2</v>
      </c>
      <c r="J56">
        <f t="shared" si="25"/>
        <v>2</v>
      </c>
      <c r="K56">
        <f t="shared" si="26"/>
        <v>1</v>
      </c>
      <c r="M56" t="s">
        <v>12</v>
      </c>
      <c r="N56" t="s">
        <v>31</v>
      </c>
      <c r="O56" t="s">
        <v>120</v>
      </c>
      <c r="P56" s="26">
        <f t="shared" si="27"/>
        <v>2421</v>
      </c>
      <c r="Q56" s="26">
        <f>INDEX(AT!$C$2:$K$18,MATCH($O56,AT!$B$2:$B$18,0),MATCH(Q$5,AT!$C$1:$K$1,0))</f>
        <v>2411.5</v>
      </c>
      <c r="R56" s="26">
        <f>INDEX(AT!$C$2:$K$18,MATCH($O56,AT!$B$2:$B$18,0),MATCH(R$5,AT!$C$1:$K$1,0))</f>
        <v>2582.7889976764</v>
      </c>
      <c r="S56" s="26">
        <f>INDEX(AT!$C$2:$K$18,MATCH($O56,AT!$B$2:$B$18,0),MATCH(S$5,AT!$C$1:$K$1,0))</f>
        <v>3663.84</v>
      </c>
      <c r="T56" s="26">
        <f>INDEX(AT!$C$2:$K$18,MATCH($O56,AT!$B$2:$B$18,0),MATCH(T$5,AT!$C$1:$K$1,0))</f>
        <v>4544.5888077801101</v>
      </c>
      <c r="U56" s="26">
        <f>INDEX(AT!$C$2:$K$18,MATCH($O56,AT!$B$2:$B$18,0),MATCH(U$5,AT!$C$1:$K$1,0))</f>
        <v>4544.5888077801101</v>
      </c>
      <c r="V56" s="26">
        <f>INDEX(AT!$C$2:$K$18,MATCH($O56,AT!$B$2:$B$18,0),MATCH(V$5,AT!$C$1:$K$1,0))</f>
        <v>5025.6844286095502</v>
      </c>
      <c r="W56" s="26">
        <f>INDEX(AT!$C$2:$K$18,MATCH($O56,AT!$B$2:$B$18,0),MATCH(W$5,AT!$C$1:$K$1,0))</f>
        <v>5986.2263881033696</v>
      </c>
      <c r="X56" s="26">
        <f>INDEX(AT!$C$2:$K$18,MATCH($O56,AT!$B$2:$B$18,0),MATCH(X$5,AT!$C$1:$K$1,0))</f>
        <v>6802.6646620974898</v>
      </c>
      <c r="Z56" t="str">
        <f t="shared" si="28"/>
        <v>AT0.WIN_ONS</v>
      </c>
      <c r="AA56" s="29">
        <f t="shared" si="29"/>
        <v>-3.9239983477901696E-3</v>
      </c>
      <c r="AB56" s="29"/>
      <c r="AC56" t="s">
        <v>133</v>
      </c>
      <c r="AD56" t="s">
        <v>134</v>
      </c>
      <c r="AE56" t="s">
        <v>135</v>
      </c>
      <c r="AF56" t="s">
        <v>12</v>
      </c>
      <c r="AG56">
        <v>0</v>
      </c>
      <c r="AH56">
        <v>1</v>
      </c>
      <c r="AI56">
        <v>0</v>
      </c>
    </row>
    <row r="57" spans="2:35">
      <c r="B57" t="str">
        <f t="shared" si="18"/>
        <v>WIN_ONS</v>
      </c>
      <c r="C57">
        <f t="shared" si="19"/>
        <v>2020</v>
      </c>
      <c r="D57" t="str">
        <f t="shared" si="20"/>
        <v>hi_ren</v>
      </c>
      <c r="E57" t="str">
        <f t="shared" si="21"/>
        <v>CH0</v>
      </c>
      <c r="F57" s="26">
        <f t="shared" si="22"/>
        <v>87.268448637974799</v>
      </c>
      <c r="H57">
        <f t="shared" si="23"/>
        <v>2</v>
      </c>
      <c r="I57">
        <f t="shared" si="24"/>
        <v>2</v>
      </c>
      <c r="J57">
        <f t="shared" si="25"/>
        <v>2</v>
      </c>
      <c r="K57">
        <f t="shared" si="26"/>
        <v>1</v>
      </c>
      <c r="M57" t="s">
        <v>12</v>
      </c>
      <c r="N57" t="s">
        <v>31</v>
      </c>
      <c r="O57" t="s">
        <v>80</v>
      </c>
      <c r="P57" s="26">
        <f t="shared" si="27"/>
        <v>5656</v>
      </c>
      <c r="Q57" s="26">
        <f>INDEX(AT!$C$2:$K$18,MATCH($O57,AT!$B$2:$B$18,0),MATCH(Q$5,AT!$C$1:$K$1,0))</f>
        <v>5448.8053337240826</v>
      </c>
      <c r="R57" s="26">
        <f>INDEX(AT!$C$2:$K$18,MATCH($O57,AT!$B$2:$B$18,0),MATCH(R$5,AT!$C$1:$K$1,0))</f>
        <v>5698.2677119202872</v>
      </c>
      <c r="S57" s="26">
        <f>INDEX(AT!$C$2:$K$18,MATCH($O57,AT!$B$2:$B$18,0),MATCH(S$5,AT!$C$1:$K$1,0))</f>
        <v>5698.2677119202872</v>
      </c>
      <c r="T57" s="26">
        <f>INDEX(AT!$C$2:$K$18,MATCH($O57,AT!$B$2:$B$18,0),MATCH(T$5,AT!$C$1:$K$1,0))</f>
        <v>5700.1679848773992</v>
      </c>
      <c r="U57" s="26">
        <f>INDEX(AT!$C$2:$K$18,MATCH($O57,AT!$B$2:$B$18,0),MATCH(U$5,AT!$C$1:$K$1,0))</f>
        <v>5738.8907189513684</v>
      </c>
      <c r="V57" s="26">
        <f>INDEX(AT!$C$2:$K$18,MATCH($O57,AT!$B$2:$B$18,0),MATCH(V$5,AT!$C$1:$K$1,0))</f>
        <v>5752.1909970841516</v>
      </c>
      <c r="W57" s="26">
        <f>INDEX(AT!$C$2:$K$18,MATCH($O57,AT!$B$2:$B$18,0),MATCH(W$5,AT!$C$1:$K$1,0))</f>
        <v>5752.1909970841516</v>
      </c>
      <c r="X57" s="26">
        <f>INDEX(AT!$C$2:$K$18,MATCH($O57,AT!$B$2:$B$18,0),MATCH(X$5,AT!$C$1:$K$1,0))</f>
        <v>5819.0469548194942</v>
      </c>
      <c r="Z57" t="str">
        <f t="shared" si="28"/>
        <v>AT0.HYD_ROR</v>
      </c>
      <c r="AA57" s="29">
        <f t="shared" si="29"/>
        <v>-3.663272034581283E-2</v>
      </c>
      <c r="AB57" s="29"/>
      <c r="AC57" t="s">
        <v>136</v>
      </c>
      <c r="AD57" t="s">
        <v>134</v>
      </c>
      <c r="AE57" t="s">
        <v>135</v>
      </c>
      <c r="AF57" t="s">
        <v>14</v>
      </c>
      <c r="AG57">
        <v>0</v>
      </c>
      <c r="AH57">
        <v>1</v>
      </c>
      <c r="AI57">
        <v>0</v>
      </c>
    </row>
    <row r="58" spans="2:35">
      <c r="B58" t="str">
        <f t="shared" si="18"/>
        <v>GEO_ELC</v>
      </c>
      <c r="C58">
        <f t="shared" si="19"/>
        <v>2020</v>
      </c>
      <c r="D58" t="str">
        <f t="shared" si="20"/>
        <v>hi_ren</v>
      </c>
      <c r="E58" t="str">
        <f t="shared" si="21"/>
        <v>CH0</v>
      </c>
      <c r="F58" s="26">
        <f t="shared" si="22"/>
        <v>9.5617218904890091</v>
      </c>
      <c r="H58">
        <f t="shared" si="23"/>
        <v>3</v>
      </c>
      <c r="I58">
        <f t="shared" si="24"/>
        <v>2</v>
      </c>
      <c r="J58">
        <f t="shared" si="25"/>
        <v>2</v>
      </c>
      <c r="K58">
        <f t="shared" si="26"/>
        <v>1</v>
      </c>
      <c r="M58" t="s">
        <v>12</v>
      </c>
      <c r="N58" t="s">
        <v>31</v>
      </c>
      <c r="O58" t="s">
        <v>75</v>
      </c>
      <c r="P58" s="26">
        <f t="shared" si="27"/>
        <v>3992.46041105121</v>
      </c>
      <c r="Q58" s="26">
        <f>INDEX(AT!$C$2:$K$18,MATCH($O58,AT!$B$2:$B$18,0),MATCH(Q$5,AT!$C$1:$K$1,0))</f>
        <v>3846.2057253214416</v>
      </c>
      <c r="R58" s="26">
        <f>INDEX(AT!$C$2:$K$18,MATCH($O58,AT!$B$2:$B$18,0),MATCH(R$5,AT!$C$1:$K$1,0))</f>
        <v>4022.2963669400824</v>
      </c>
      <c r="S58" s="26">
        <f>INDEX(AT!$C$2:$K$18,MATCH($O58,AT!$B$2:$B$18,0),MATCH(S$5,AT!$C$1:$K$1,0))</f>
        <v>4022.2963669400824</v>
      </c>
      <c r="T58" s="26">
        <f>INDEX(AT!$C$2:$K$18,MATCH($O58,AT!$B$2:$B$18,0),MATCH(T$5,AT!$C$1:$K$1,0))</f>
        <v>4023.6377326670031</v>
      </c>
      <c r="U58" s="26">
        <f>INDEX(AT!$C$2:$K$18,MATCH($O58,AT!$B$2:$B$18,0),MATCH(U$5,AT!$C$1:$K$1,0))</f>
        <v>4050.9713576312861</v>
      </c>
      <c r="V58" s="26">
        <f>INDEX(AT!$C$2:$K$18,MATCH($O58,AT!$B$2:$B$18,0),MATCH(V$5,AT!$C$1:$K$1,0))</f>
        <v>4060.3597653224292</v>
      </c>
      <c r="W58" s="26">
        <f>INDEX(AT!$C$2:$K$18,MATCH($O58,AT!$B$2:$B$18,0),MATCH(W$5,AT!$C$1:$K$1,0))</f>
        <v>4060.3597653224292</v>
      </c>
      <c r="X58" s="26">
        <f>INDEX(AT!$C$2:$K$18,MATCH($O58,AT!$B$2:$B$18,0),MATCH(X$5,AT!$C$1:$K$1,0))</f>
        <v>4107.5520857788069</v>
      </c>
      <c r="Z58" t="str">
        <f t="shared" si="28"/>
        <v>AT0.HYD_RES</v>
      </c>
      <c r="AA58" s="29">
        <f t="shared" si="29"/>
        <v>-3.6632720345812955E-2</v>
      </c>
      <c r="AB58" s="29"/>
      <c r="AC58" t="s">
        <v>137</v>
      </c>
      <c r="AD58" t="s">
        <v>134</v>
      </c>
      <c r="AE58" t="s">
        <v>135</v>
      </c>
      <c r="AF58" t="s">
        <v>15</v>
      </c>
      <c r="AG58">
        <v>0</v>
      </c>
      <c r="AH58">
        <v>1</v>
      </c>
      <c r="AI58">
        <v>0</v>
      </c>
    </row>
    <row r="59" spans="2:35">
      <c r="B59" t="str">
        <f t="shared" si="18"/>
        <v>GAS_NEW</v>
      </c>
      <c r="C59">
        <f t="shared" si="19"/>
        <v>2020</v>
      </c>
      <c r="D59" t="str">
        <f t="shared" si="20"/>
        <v>hi_ren</v>
      </c>
      <c r="E59" t="str">
        <f t="shared" si="21"/>
        <v>CH0</v>
      </c>
      <c r="F59" s="26">
        <f t="shared" si="22"/>
        <v>398.00995024875601</v>
      </c>
      <c r="H59">
        <f t="shared" si="23"/>
        <v>4</v>
      </c>
      <c r="I59">
        <f t="shared" si="24"/>
        <v>2</v>
      </c>
      <c r="J59">
        <f t="shared" si="25"/>
        <v>2</v>
      </c>
      <c r="K59">
        <f t="shared" si="26"/>
        <v>1</v>
      </c>
      <c r="M59" t="s">
        <v>12</v>
      </c>
      <c r="N59" t="s">
        <v>31</v>
      </c>
      <c r="O59" t="s">
        <v>85</v>
      </c>
      <c r="P59" s="26">
        <f t="shared" si="27"/>
        <v>4000.53958894879</v>
      </c>
      <c r="Q59" s="26">
        <f>INDEX(AT!$C$2:$K$18,MATCH($O59,AT!$B$2:$B$18,0),MATCH(Q$5,AT!$C$1:$K$1,0))</f>
        <v>3853.9889409544758</v>
      </c>
      <c r="R59" s="26">
        <f>INDEX(AT!$C$2:$K$18,MATCH($O59,AT!$B$2:$B$18,0),MATCH(R$5,AT!$C$1:$K$1,0))</f>
        <v>4030.4359211396304</v>
      </c>
      <c r="S59" s="26">
        <f>INDEX(AT!$C$2:$K$18,MATCH($O59,AT!$B$2:$B$18,0),MATCH(S$5,AT!$C$1:$K$1,0))</f>
        <v>4030.4359211396304</v>
      </c>
      <c r="T59" s="26">
        <f>INDEX(AT!$C$2:$K$18,MATCH($O59,AT!$B$2:$B$18,0),MATCH(T$5,AT!$C$1:$K$1,0))</f>
        <v>4031.7800012659977</v>
      </c>
      <c r="U59" s="26">
        <f>INDEX(AT!$C$2:$K$18,MATCH($O59,AT!$B$2:$B$18,0),MATCH(U$5,AT!$C$1:$K$1,0))</f>
        <v>4059.1689387934462</v>
      </c>
      <c r="V59" s="26">
        <f>INDEX(AT!$C$2:$K$18,MATCH($O59,AT!$B$2:$B$18,0),MATCH(V$5,AT!$C$1:$K$1,0))</f>
        <v>4068.5763449487199</v>
      </c>
      <c r="W59" s="26">
        <f>INDEX(AT!$C$2:$K$18,MATCH($O59,AT!$B$2:$B$18,0),MATCH(W$5,AT!$C$1:$K$1,0))</f>
        <v>4068.5763449487199</v>
      </c>
      <c r="X59" s="26">
        <f>INDEX(AT!$C$2:$K$18,MATCH($O59,AT!$B$2:$B$18,0),MATCH(X$5,AT!$C$1:$K$1,0))</f>
        <v>4115.8641641986005</v>
      </c>
      <c r="Y59" s="26"/>
      <c r="Z59" t="str">
        <f t="shared" si="28"/>
        <v>AT0.HYD_STO</v>
      </c>
      <c r="AA59" s="29">
        <f t="shared" si="29"/>
        <v>-3.6632720345812872E-2</v>
      </c>
      <c r="AB59" s="29"/>
      <c r="AC59" t="s">
        <v>138</v>
      </c>
      <c r="AD59" t="s">
        <v>134</v>
      </c>
      <c r="AE59" t="s">
        <v>135</v>
      </c>
      <c r="AF59" t="s">
        <v>16</v>
      </c>
      <c r="AG59">
        <v>0</v>
      </c>
      <c r="AH59">
        <v>1</v>
      </c>
      <c r="AI59">
        <v>0</v>
      </c>
    </row>
    <row r="60" spans="2:35">
      <c r="B60" t="str">
        <f t="shared" si="18"/>
        <v>BAL_ELC</v>
      </c>
      <c r="C60">
        <f t="shared" si="19"/>
        <v>2020</v>
      </c>
      <c r="D60" t="str">
        <f t="shared" si="20"/>
        <v>hi_ren</v>
      </c>
      <c r="E60" t="str">
        <f t="shared" si="21"/>
        <v>CH0</v>
      </c>
      <c r="F60" s="26">
        <f t="shared" si="22"/>
        <v>126.737463241436</v>
      </c>
      <c r="H60">
        <f t="shared" si="23"/>
        <v>5</v>
      </c>
      <c r="I60">
        <f t="shared" si="24"/>
        <v>2</v>
      </c>
      <c r="J60">
        <f t="shared" si="25"/>
        <v>2</v>
      </c>
      <c r="K60">
        <f t="shared" si="26"/>
        <v>1</v>
      </c>
      <c r="M60" t="s">
        <v>12</v>
      </c>
      <c r="N60" t="s">
        <v>31</v>
      </c>
      <c r="O60" t="s">
        <v>60</v>
      </c>
      <c r="P60" s="26">
        <f t="shared" si="27"/>
        <v>3996.3</v>
      </c>
      <c r="Q60" s="26">
        <f>INDEX(AT!$C$2:$K$18,MATCH($O60,AT!$B$2:$B$18,0),MATCH(Q$5,AT!$C$1:$K$1,0))</f>
        <v>4073.8726499999998</v>
      </c>
      <c r="R60" s="26">
        <f>INDEX(AT!$C$2:$K$18,MATCH($O60,AT!$B$2:$B$18,0),MATCH(R$5,AT!$C$1:$K$1,0))</f>
        <v>3527.0057198664999</v>
      </c>
      <c r="S60" s="26">
        <f>INDEX(AT!$C$2:$K$18,MATCH($O60,AT!$B$2:$B$18,0),MATCH(S$5,AT!$C$1:$K$1,0))</f>
        <v>3194.6868892017701</v>
      </c>
      <c r="T60" s="26">
        <f>INDEX(AT!$C$2:$K$18,MATCH($O60,AT!$B$2:$B$18,0),MATCH(T$5,AT!$C$1:$K$1,0))</f>
        <v>2902.3660922104</v>
      </c>
      <c r="U60" s="26">
        <f>INDEX(AT!$C$2:$K$18,MATCH($O60,AT!$B$2:$B$18,0),MATCH(U$5,AT!$C$1:$K$1,0))</f>
        <v>3114.7595411872298</v>
      </c>
      <c r="V60" s="26">
        <f>INDEX(AT!$C$2:$K$18,MATCH($O60,AT!$B$2:$B$18,0),MATCH(V$5,AT!$C$1:$K$1,0))</f>
        <v>3045.50220700512</v>
      </c>
      <c r="W60" s="26">
        <f>INDEX(AT!$C$2:$K$18,MATCH($O60,AT!$B$2:$B$18,0),MATCH(W$5,AT!$C$1:$K$1,0))</f>
        <v>3062.8146136684099</v>
      </c>
      <c r="X60" s="26">
        <f>INDEX(AT!$C$2:$K$18,MATCH($O60,AT!$B$2:$B$18,0),MATCH(X$5,AT!$C$1:$K$1,0))</f>
        <v>2850.4510158637399</v>
      </c>
      <c r="Y60" s="26"/>
      <c r="Z60" t="str">
        <f t="shared" si="28"/>
        <v>AT0.GAS_LIN</v>
      </c>
      <c r="AA60" s="29">
        <f t="shared" si="29"/>
        <v>1.9411117783950056E-2</v>
      </c>
      <c r="AB60" s="29"/>
      <c r="AC60" t="s">
        <v>139</v>
      </c>
      <c r="AD60" t="s">
        <v>134</v>
      </c>
      <c r="AE60" t="s">
        <v>135</v>
      </c>
      <c r="AF60" t="s">
        <v>17</v>
      </c>
      <c r="AG60">
        <v>0</v>
      </c>
      <c r="AH60">
        <v>1</v>
      </c>
      <c r="AI60">
        <v>0</v>
      </c>
    </row>
    <row r="61" spans="2:35">
      <c r="B61" t="str">
        <f t="shared" si="18"/>
        <v>SOL_PHO</v>
      </c>
      <c r="C61">
        <f t="shared" si="19"/>
        <v>2025</v>
      </c>
      <c r="D61" t="str">
        <f t="shared" si="20"/>
        <v>hi_ren</v>
      </c>
      <c r="E61" t="str">
        <f t="shared" si="21"/>
        <v>CH0</v>
      </c>
      <c r="F61" s="26">
        <f t="shared" si="22"/>
        <v>1745.40871556958</v>
      </c>
      <c r="H61">
        <f t="shared" si="23"/>
        <v>1</v>
      </c>
      <c r="I61">
        <f t="shared" si="24"/>
        <v>3</v>
      </c>
      <c r="J61">
        <f t="shared" si="25"/>
        <v>2</v>
      </c>
      <c r="K61">
        <f t="shared" si="26"/>
        <v>1</v>
      </c>
      <c r="M61" t="s">
        <v>12</v>
      </c>
      <c r="N61" t="s">
        <v>31</v>
      </c>
      <c r="O61" t="s">
        <v>441</v>
      </c>
      <c r="P61" s="26">
        <f t="shared" si="27"/>
        <v>0</v>
      </c>
      <c r="Q61" s="26">
        <f>INDEX(AT!$C$2:$K$18,MATCH($O61,AT!$B$2:$B$18,0),MATCH(Q$5,AT!$C$1:$K$1,0))</f>
        <v>0</v>
      </c>
      <c r="R61" s="26">
        <f>INDEX(AT!$C$2:$K$18,MATCH($O61,AT!$B$2:$B$18,0),MATCH(R$5,AT!$C$1:$K$1,0))</f>
        <v>0</v>
      </c>
      <c r="S61" s="26">
        <f>INDEX(AT!$C$2:$K$18,MATCH($O61,AT!$B$2:$B$18,0),MATCH(S$5,AT!$C$1:$K$1,0))</f>
        <v>0</v>
      </c>
      <c r="T61" s="26">
        <f>INDEX(AT!$C$2:$K$18,MATCH($O61,AT!$B$2:$B$18,0),MATCH(T$5,AT!$C$1:$K$1,0))</f>
        <v>0</v>
      </c>
      <c r="U61" s="26">
        <f>INDEX(AT!$C$2:$K$18,MATCH($O61,AT!$B$2:$B$18,0),MATCH(U$5,AT!$C$1:$K$1,0))</f>
        <v>0</v>
      </c>
      <c r="V61" s="26">
        <f>INDEX(AT!$C$2:$K$18,MATCH($O61,AT!$B$2:$B$18,0),MATCH(V$5,AT!$C$1:$K$1,0))</f>
        <v>0</v>
      </c>
      <c r="W61" s="26">
        <f>INDEX(AT!$C$2:$K$18,MATCH($O61,AT!$B$2:$B$18,0),MATCH(W$5,AT!$C$1:$K$1,0))</f>
        <v>0</v>
      </c>
      <c r="X61" s="26">
        <f>INDEX(AT!$C$2:$K$18,MATCH($O61,AT!$B$2:$B$18,0),MATCH(X$5,AT!$C$1:$K$1,0))</f>
        <v>0</v>
      </c>
      <c r="Z61" t="str">
        <f t="shared" si="28"/>
        <v>AT0.GAS_NEW</v>
      </c>
      <c r="AA61" s="29" t="e">
        <f t="shared" si="29"/>
        <v>#DIV/0!</v>
      </c>
      <c r="AB61" s="29"/>
      <c r="AC61" t="s">
        <v>109</v>
      </c>
      <c r="AD61" t="s">
        <v>110</v>
      </c>
      <c r="AE61" t="s">
        <v>24</v>
      </c>
      <c r="AF61" t="s">
        <v>12</v>
      </c>
      <c r="AG61">
        <v>1069365.737</v>
      </c>
      <c r="AH61">
        <v>368.98248725878699</v>
      </c>
      <c r="AI61">
        <v>2898.1476734693902</v>
      </c>
    </row>
    <row r="62" spans="2:35">
      <c r="B62" t="str">
        <f t="shared" si="18"/>
        <v>WIN_ONS</v>
      </c>
      <c r="C62">
        <f t="shared" si="19"/>
        <v>2025</v>
      </c>
      <c r="D62" t="str">
        <f t="shared" si="20"/>
        <v>hi_ren</v>
      </c>
      <c r="E62" t="str">
        <f t="shared" si="21"/>
        <v>CH0</v>
      </c>
      <c r="F62" s="26">
        <f t="shared" si="22"/>
        <v>146.625435641519</v>
      </c>
      <c r="H62">
        <f t="shared" si="23"/>
        <v>2</v>
      </c>
      <c r="I62">
        <f t="shared" si="24"/>
        <v>3</v>
      </c>
      <c r="J62">
        <f t="shared" si="25"/>
        <v>2</v>
      </c>
      <c r="K62">
        <f t="shared" si="26"/>
        <v>1</v>
      </c>
      <c r="M62" t="s">
        <v>12</v>
      </c>
      <c r="N62" t="s">
        <v>31</v>
      </c>
      <c r="O62" t="s">
        <v>100</v>
      </c>
      <c r="P62" s="26">
        <f t="shared" si="27"/>
        <v>174</v>
      </c>
      <c r="Q62" s="26">
        <f>INDEX(AT!$C$2:$K$18,MATCH($O62,AT!$B$2:$B$18,0),MATCH(Q$5,AT!$C$1:$K$1,0))</f>
        <v>970.58312000000001</v>
      </c>
      <c r="R62" s="26">
        <f>INDEX(AT!$C$2:$K$18,MATCH($O62,AT!$B$2:$B$18,0),MATCH(R$5,AT!$C$1:$K$1,0))</f>
        <v>815.01612</v>
      </c>
      <c r="S62" s="26">
        <f>INDEX(AT!$C$2:$K$18,MATCH($O62,AT!$B$2:$B$18,0),MATCH(S$5,AT!$C$1:$K$1,0))</f>
        <v>482.888652858483</v>
      </c>
      <c r="T62" s="26">
        <f>INDEX(AT!$C$2:$K$18,MATCH($O62,AT!$B$2:$B$18,0),MATCH(T$5,AT!$C$1:$K$1,0))</f>
        <v>422.957882858483</v>
      </c>
      <c r="U62" s="26">
        <f>INDEX(AT!$C$2:$K$18,MATCH($O62,AT!$B$2:$B$18,0),MATCH(U$5,AT!$C$1:$K$1,0))</f>
        <v>384.78213285848301</v>
      </c>
      <c r="V62" s="26">
        <f>INDEX(AT!$C$2:$K$18,MATCH($O62,AT!$B$2:$B$18,0),MATCH(V$5,AT!$C$1:$K$1,0))</f>
        <v>8.4376999999999995</v>
      </c>
      <c r="W62" s="26">
        <f>INDEX(AT!$C$2:$K$18,MATCH($O62,AT!$B$2:$B$18,0),MATCH(W$5,AT!$C$1:$K$1,0))</f>
        <v>3.2204999999999999</v>
      </c>
      <c r="X62" s="26">
        <f>INDEX(AT!$C$2:$K$18,MATCH($O62,AT!$B$2:$B$18,0),MATCH(X$5,AT!$C$1:$K$1,0))</f>
        <v>0</v>
      </c>
      <c r="Z62" t="str">
        <f t="shared" si="28"/>
        <v>AT0.OIL_LIN</v>
      </c>
      <c r="AA62" s="29">
        <f t="shared" si="29"/>
        <v>4.5780639080459773</v>
      </c>
      <c r="AB62" s="29"/>
      <c r="AC62" t="s">
        <v>111</v>
      </c>
      <c r="AD62" t="s">
        <v>110</v>
      </c>
      <c r="AE62" t="s">
        <v>24</v>
      </c>
      <c r="AF62" t="s">
        <v>14</v>
      </c>
      <c r="AG62">
        <v>2184173.5</v>
      </c>
      <c r="AH62">
        <v>439.268492108766</v>
      </c>
      <c r="AI62">
        <v>4972.2972151145796</v>
      </c>
    </row>
    <row r="63" spans="2:35">
      <c r="B63" t="str">
        <f t="shared" si="18"/>
        <v>GEO_ELC</v>
      </c>
      <c r="C63">
        <f t="shared" si="19"/>
        <v>2025</v>
      </c>
      <c r="D63" t="str">
        <f t="shared" si="20"/>
        <v>hi_ren</v>
      </c>
      <c r="E63" t="str">
        <f t="shared" si="21"/>
        <v>CH0</v>
      </c>
      <c r="F63" s="26">
        <f t="shared" si="22"/>
        <v>23.221324591187599</v>
      </c>
      <c r="H63">
        <f t="shared" si="23"/>
        <v>3</v>
      </c>
      <c r="I63">
        <f t="shared" si="24"/>
        <v>3</v>
      </c>
      <c r="J63">
        <f t="shared" si="25"/>
        <v>2</v>
      </c>
      <c r="K63">
        <f t="shared" si="26"/>
        <v>1</v>
      </c>
      <c r="M63" t="s">
        <v>12</v>
      </c>
      <c r="N63" t="s">
        <v>31</v>
      </c>
      <c r="O63" t="s">
        <v>55</v>
      </c>
      <c r="P63" s="26">
        <f t="shared" si="27"/>
        <v>616.39374999999995</v>
      </c>
      <c r="Q63" s="26">
        <f>INDEX(AT!$C$2:$K$18,MATCH($O63,AT!$B$2:$B$18,0),MATCH(Q$5,AT!$C$1:$K$1,0))</f>
        <v>396.1445356688493</v>
      </c>
      <c r="R63" s="26">
        <f>INDEX(AT!$C$2:$K$18,MATCH($O63,AT!$B$2:$B$18,0),MATCH(R$5,AT!$C$1:$K$1,0))</f>
        <v>486.35976488291192</v>
      </c>
      <c r="S63" s="26">
        <f>INDEX(AT!$C$2:$K$18,MATCH($O63,AT!$B$2:$B$18,0),MATCH(S$5,AT!$C$1:$K$1,0))</f>
        <v>478.17033788343144</v>
      </c>
      <c r="T63" s="26">
        <f>INDEX(AT!$C$2:$K$18,MATCH($O63,AT!$B$2:$B$18,0),MATCH(T$5,AT!$C$1:$K$1,0))</f>
        <v>508.69259006292907</v>
      </c>
      <c r="U63" s="26">
        <f>INDEX(AT!$C$2:$K$18,MATCH($O63,AT!$B$2:$B$18,0),MATCH(U$5,AT!$C$1:$K$1,0))</f>
        <v>504.38789552898044</v>
      </c>
      <c r="V63" s="26">
        <f>INDEX(AT!$C$2:$K$18,MATCH($O63,AT!$B$2:$B$18,0),MATCH(V$5,AT!$C$1:$K$1,0))</f>
        <v>646.13331068299544</v>
      </c>
      <c r="W63" s="26">
        <f>INDEX(AT!$C$2:$K$18,MATCH($O63,AT!$B$2:$B$18,0),MATCH(W$5,AT!$C$1:$K$1,0))</f>
        <v>620.1035116491372</v>
      </c>
      <c r="X63" s="26">
        <f>INDEX(AT!$C$2:$K$18,MATCH($O63,AT!$B$2:$B$18,0),MATCH(X$5,AT!$C$1:$K$1,0))</f>
        <v>529.18233019291483</v>
      </c>
      <c r="Z63" t="str">
        <f t="shared" si="28"/>
        <v>AT0.BAL_ELC</v>
      </c>
      <c r="AA63" s="29">
        <f t="shared" si="29"/>
        <v>-0.35731902591671422</v>
      </c>
      <c r="AB63" s="29"/>
      <c r="AC63" t="s">
        <v>112</v>
      </c>
      <c r="AD63" t="s">
        <v>110</v>
      </c>
      <c r="AE63" t="s">
        <v>24</v>
      </c>
      <c r="AF63" t="s">
        <v>15</v>
      </c>
      <c r="AG63">
        <v>11536853</v>
      </c>
      <c r="AH63">
        <v>1924</v>
      </c>
      <c r="AI63">
        <v>5996.2853430353398</v>
      </c>
    </row>
    <row r="64" spans="2:35">
      <c r="B64" t="str">
        <f t="shared" si="18"/>
        <v>GAS_NEW</v>
      </c>
      <c r="C64">
        <f t="shared" si="19"/>
        <v>2025</v>
      </c>
      <c r="D64" t="str">
        <f t="shared" si="20"/>
        <v>hi_ren</v>
      </c>
      <c r="E64" t="str">
        <f t="shared" si="21"/>
        <v>CH0</v>
      </c>
      <c r="F64" s="26">
        <f t="shared" si="22"/>
        <v>1614.2896627971231</v>
      </c>
      <c r="H64">
        <f t="shared" si="23"/>
        <v>4</v>
      </c>
      <c r="I64">
        <f t="shared" si="24"/>
        <v>3</v>
      </c>
      <c r="J64">
        <f t="shared" si="25"/>
        <v>2</v>
      </c>
      <c r="K64">
        <f t="shared" si="26"/>
        <v>1</v>
      </c>
      <c r="M64" t="s">
        <v>12</v>
      </c>
      <c r="N64" t="s">
        <v>31</v>
      </c>
      <c r="O64" t="s">
        <v>110</v>
      </c>
      <c r="P64" s="26">
        <f t="shared" si="27"/>
        <v>368.98248725878699</v>
      </c>
      <c r="Q64" s="26">
        <f>INDEX(AT!$C$2:$K$18,MATCH($O64,AT!$B$2:$B$18,0),MATCH(Q$5,AT!$C$1:$K$1,0))</f>
        <v>237.13802433115077</v>
      </c>
      <c r="R64" s="26">
        <f>INDEX(AT!$C$2:$K$18,MATCH($O64,AT!$B$2:$B$18,0),MATCH(R$5,AT!$C$1:$K$1,0))</f>
        <v>291.1422053664491</v>
      </c>
      <c r="S64" s="26">
        <f>INDEX(AT!$C$2:$K$18,MATCH($O64,AT!$B$2:$B$18,0),MATCH(S$5,AT!$C$1:$K$1,0))</f>
        <v>286.23989228573964</v>
      </c>
      <c r="T64" s="26">
        <f>INDEX(AT!$C$2:$K$18,MATCH($O64,AT!$B$2:$B$18,0),MATCH(T$5,AT!$C$1:$K$1,0))</f>
        <v>304.51096743199309</v>
      </c>
      <c r="U64" s="26">
        <f>INDEX(AT!$C$2:$K$18,MATCH($O64,AT!$B$2:$B$18,0),MATCH(U$5,AT!$C$1:$K$1,0))</f>
        <v>301.93411311439871</v>
      </c>
      <c r="V64" s="26">
        <f>INDEX(AT!$C$2:$K$18,MATCH($O64,AT!$B$2:$B$18,0),MATCH(V$5,AT!$C$1:$K$1,0))</f>
        <v>386.7850316077446</v>
      </c>
      <c r="W64" s="26">
        <f>INDEX(AT!$C$2:$K$18,MATCH($O64,AT!$B$2:$B$18,0),MATCH(W$5,AT!$C$1:$K$1,0))</f>
        <v>371.20320588293902</v>
      </c>
      <c r="X64" s="26">
        <f>INDEX(AT!$C$2:$K$18,MATCH($O64,AT!$B$2:$B$18,0),MATCH(X$5,AT!$C$1:$K$1,0))</f>
        <v>316.77643131193724</v>
      </c>
      <c r="Z64" t="str">
        <f t="shared" si="28"/>
        <v>AT0.WAS_ELC</v>
      </c>
      <c r="AA64" s="29">
        <f t="shared" si="29"/>
        <v>-0.35731902591671433</v>
      </c>
      <c r="AB64" s="29"/>
      <c r="AC64" t="s">
        <v>113</v>
      </c>
      <c r="AD64" t="s">
        <v>110</v>
      </c>
      <c r="AE64" t="s">
        <v>24</v>
      </c>
      <c r="AF64" t="s">
        <v>16</v>
      </c>
      <c r="AG64">
        <v>4244000</v>
      </c>
      <c r="AH64">
        <v>779.92819999999995</v>
      </c>
      <c r="AI64">
        <v>5441.5265405200098</v>
      </c>
    </row>
    <row r="65" spans="2:35">
      <c r="B65" t="str">
        <f t="shared" si="18"/>
        <v>BAL_ELC</v>
      </c>
      <c r="C65">
        <f t="shared" si="19"/>
        <v>2025</v>
      </c>
      <c r="D65" t="str">
        <f t="shared" si="20"/>
        <v>hi_ren</v>
      </c>
      <c r="E65" t="str">
        <f t="shared" si="21"/>
        <v>CH0</v>
      </c>
      <c r="F65" s="26">
        <f t="shared" si="22"/>
        <v>225.17214053652401</v>
      </c>
      <c r="H65">
        <f t="shared" si="23"/>
        <v>5</v>
      </c>
      <c r="I65">
        <f t="shared" si="24"/>
        <v>3</v>
      </c>
      <c r="J65">
        <f t="shared" si="25"/>
        <v>2</v>
      </c>
      <c r="K65">
        <f t="shared" si="26"/>
        <v>1</v>
      </c>
      <c r="M65" t="s">
        <v>12</v>
      </c>
      <c r="N65" t="s">
        <v>31</v>
      </c>
      <c r="O65" t="s">
        <v>91</v>
      </c>
      <c r="P65" s="26">
        <f t="shared" si="27"/>
        <v>0</v>
      </c>
      <c r="Q65" s="26">
        <f>INDEX(AT!$C$2:$K$18,MATCH($O65,AT!$B$2:$B$18,0),MATCH(Q$5,AT!$C$1:$K$1,0))</f>
        <v>0</v>
      </c>
      <c r="R65" s="26">
        <f>INDEX(AT!$C$2:$K$18,MATCH($O65,AT!$B$2:$B$18,0),MATCH(R$5,AT!$C$1:$K$1,0))</f>
        <v>0</v>
      </c>
      <c r="S65" s="26">
        <f>INDEX(AT!$C$2:$K$18,MATCH($O65,AT!$B$2:$B$18,0),MATCH(S$5,AT!$C$1:$K$1,0))</f>
        <v>0</v>
      </c>
      <c r="T65" s="26">
        <f>INDEX(AT!$C$2:$K$18,MATCH($O65,AT!$B$2:$B$18,0),MATCH(T$5,AT!$C$1:$K$1,0))</f>
        <v>0</v>
      </c>
      <c r="U65" s="26">
        <f>INDEX(AT!$C$2:$K$18,MATCH($O65,AT!$B$2:$B$18,0),MATCH(U$5,AT!$C$1:$K$1,0))</f>
        <v>0</v>
      </c>
      <c r="V65" s="26">
        <f>INDEX(AT!$C$2:$K$18,MATCH($O65,AT!$B$2:$B$18,0),MATCH(V$5,AT!$C$1:$K$1,0))</f>
        <v>0</v>
      </c>
      <c r="W65" s="26">
        <f>INDEX(AT!$C$2:$K$18,MATCH($O65,AT!$B$2:$B$18,0),MATCH(W$5,AT!$C$1:$K$1,0))</f>
        <v>0</v>
      </c>
      <c r="X65" s="26">
        <f>INDEX(AT!$C$2:$K$18,MATCH($O65,AT!$B$2:$B$18,0),MATCH(X$5,AT!$C$1:$K$1,0))</f>
        <v>0</v>
      </c>
      <c r="Z65" t="str">
        <f t="shared" si="28"/>
        <v>AT0.LIG_LIN</v>
      </c>
      <c r="AA65" s="29" t="e">
        <f t="shared" si="29"/>
        <v>#DIV/0!</v>
      </c>
      <c r="AB65" s="29"/>
      <c r="AC65" t="s">
        <v>114</v>
      </c>
      <c r="AD65" t="s">
        <v>110</v>
      </c>
      <c r="AE65" t="s">
        <v>24</v>
      </c>
      <c r="AF65" t="s">
        <v>17</v>
      </c>
      <c r="AG65">
        <v>2439800</v>
      </c>
      <c r="AH65">
        <v>916.759056476757</v>
      </c>
      <c r="AI65">
        <v>2661.3317673419201</v>
      </c>
    </row>
    <row r="66" spans="2:35">
      <c r="B66" t="str">
        <f t="shared" si="18"/>
        <v>SOL_PHO</v>
      </c>
      <c r="C66">
        <f t="shared" si="19"/>
        <v>2030</v>
      </c>
      <c r="D66" t="str">
        <f t="shared" si="20"/>
        <v>hi_ren</v>
      </c>
      <c r="E66" t="str">
        <f t="shared" si="21"/>
        <v>CH0</v>
      </c>
      <c r="F66" s="26">
        <f t="shared" si="22"/>
        <v>2173.8692255211199</v>
      </c>
      <c r="H66">
        <f t="shared" si="23"/>
        <v>1</v>
      </c>
      <c r="I66">
        <f t="shared" si="24"/>
        <v>4</v>
      </c>
      <c r="J66">
        <f t="shared" si="25"/>
        <v>2</v>
      </c>
      <c r="K66">
        <f t="shared" si="26"/>
        <v>1</v>
      </c>
      <c r="M66" t="s">
        <v>12</v>
      </c>
      <c r="N66" t="s">
        <v>31</v>
      </c>
      <c r="O66" t="s">
        <v>70</v>
      </c>
      <c r="P66" s="26">
        <f t="shared" si="27"/>
        <v>1100</v>
      </c>
      <c r="Q66" s="26">
        <f>INDEX(AT!$C$2:$K$18,MATCH($O66,AT!$B$2:$B$18,0),MATCH(Q$5,AT!$C$1:$K$1,0))</f>
        <v>872.75400000000002</v>
      </c>
      <c r="R66" s="26">
        <f>INDEX(AT!$C$2:$K$18,MATCH($O66,AT!$B$2:$B$18,0),MATCH(R$5,AT!$C$1:$K$1,0))</f>
        <v>804.16070107564599</v>
      </c>
      <c r="S66" s="26">
        <f>INDEX(AT!$C$2:$K$18,MATCH($O66,AT!$B$2:$B$18,0),MATCH(S$5,AT!$C$1:$K$1,0))</f>
        <v>778.21670107564603</v>
      </c>
      <c r="T66" s="26">
        <f>INDEX(AT!$C$2:$K$18,MATCH($O66,AT!$B$2:$B$18,0),MATCH(T$5,AT!$C$1:$K$1,0))</f>
        <v>778.21670107564603</v>
      </c>
      <c r="U66" s="26">
        <f>INDEX(AT!$C$2:$K$18,MATCH($O66,AT!$B$2:$B$18,0),MATCH(U$5,AT!$C$1:$K$1,0))</f>
        <v>80.8567010756462</v>
      </c>
      <c r="V66" s="26">
        <f>INDEX(AT!$C$2:$K$18,MATCH($O66,AT!$B$2:$B$18,0),MATCH(V$5,AT!$C$1:$K$1,0))</f>
        <v>72.116701075646205</v>
      </c>
      <c r="W66" s="26">
        <f>INDEX(AT!$C$2:$K$18,MATCH($O66,AT!$B$2:$B$18,0),MATCH(W$5,AT!$C$1:$K$1,0))</f>
        <v>36.396701075646199</v>
      </c>
      <c r="X66" s="26">
        <f>INDEX(AT!$C$2:$K$18,MATCH($O66,AT!$B$2:$B$18,0),MATCH(X$5,AT!$C$1:$K$1,0))</f>
        <v>36.396701075646199</v>
      </c>
      <c r="Z66" t="str">
        <f t="shared" si="28"/>
        <v>AT0.HCO_LIN</v>
      </c>
      <c r="AA66" s="29">
        <f t="shared" si="29"/>
        <v>-0.2065872727272727</v>
      </c>
      <c r="AB66" s="29"/>
      <c r="AE66" t="s">
        <v>140</v>
      </c>
      <c r="AF66" t="s">
        <v>14</v>
      </c>
      <c r="AG66">
        <v>0</v>
      </c>
    </row>
    <row r="67" spans="2:35">
      <c r="B67" t="str">
        <f t="shared" si="18"/>
        <v>WIN_ONS</v>
      </c>
      <c r="C67">
        <f t="shared" si="19"/>
        <v>2030</v>
      </c>
      <c r="D67" t="str">
        <f t="shared" si="20"/>
        <v>hi_ren</v>
      </c>
      <c r="E67" t="str">
        <f t="shared" si="21"/>
        <v>CH0</v>
      </c>
      <c r="F67" s="26">
        <f t="shared" si="22"/>
        <v>319.30030692455801</v>
      </c>
      <c r="H67">
        <f t="shared" si="23"/>
        <v>2</v>
      </c>
      <c r="I67">
        <f t="shared" si="24"/>
        <v>4</v>
      </c>
      <c r="J67">
        <f t="shared" si="25"/>
        <v>2</v>
      </c>
      <c r="K67">
        <f t="shared" si="26"/>
        <v>1</v>
      </c>
      <c r="M67" t="s">
        <v>12</v>
      </c>
      <c r="N67" t="s">
        <v>31</v>
      </c>
      <c r="O67" t="s">
        <v>65</v>
      </c>
      <c r="P67" s="26">
        <f t="shared" si="27"/>
        <v>0</v>
      </c>
      <c r="Q67" s="26">
        <f>INDEX(AT!$C$2:$K$18,MATCH($O67,AT!$B$2:$B$18,0),MATCH(Q$5,AT!$C$1:$K$1,0))</f>
        <v>0</v>
      </c>
      <c r="R67" s="26">
        <f>INDEX(AT!$C$2:$K$18,MATCH($O67,AT!$B$2:$B$18,0),MATCH(R$5,AT!$C$1:$K$1,0))</f>
        <v>0</v>
      </c>
      <c r="S67" s="26">
        <f>INDEX(AT!$C$2:$K$18,MATCH($O67,AT!$B$2:$B$18,0),MATCH(S$5,AT!$C$1:$K$1,0))</f>
        <v>0</v>
      </c>
      <c r="T67" s="26">
        <f>INDEX(AT!$C$2:$K$18,MATCH($O67,AT!$B$2:$B$18,0),MATCH(T$5,AT!$C$1:$K$1,0))</f>
        <v>0</v>
      </c>
      <c r="U67" s="26">
        <f>INDEX(AT!$C$2:$K$18,MATCH($O67,AT!$B$2:$B$18,0),MATCH(U$5,AT!$C$1:$K$1,0))</f>
        <v>0</v>
      </c>
      <c r="V67" s="26">
        <f>INDEX(AT!$C$2:$K$18,MATCH($O67,AT!$B$2:$B$18,0),MATCH(V$5,AT!$C$1:$K$1,0))</f>
        <v>0</v>
      </c>
      <c r="W67" s="26">
        <f>INDEX(AT!$C$2:$K$18,MATCH($O67,AT!$B$2:$B$18,0),MATCH(W$5,AT!$C$1:$K$1,0))</f>
        <v>0</v>
      </c>
      <c r="X67" s="26">
        <f>INDEX(AT!$C$2:$K$18,MATCH($O67,AT!$B$2:$B$18,0),MATCH(X$5,AT!$C$1:$K$1,0))</f>
        <v>0</v>
      </c>
      <c r="Z67" t="str">
        <f t="shared" si="28"/>
        <v>AT0.GEO_ELC</v>
      </c>
      <c r="AA67" s="29" t="e">
        <f t="shared" si="29"/>
        <v>#DIV/0!</v>
      </c>
      <c r="AB67" s="29"/>
      <c r="AC67" t="s">
        <v>116</v>
      </c>
      <c r="AD67" t="s">
        <v>115</v>
      </c>
      <c r="AE67" t="s">
        <v>140</v>
      </c>
      <c r="AF67" t="s">
        <v>15</v>
      </c>
      <c r="AG67">
        <v>8284000</v>
      </c>
      <c r="AH67">
        <v>3283</v>
      </c>
      <c r="AI67">
        <v>2523.30185805666</v>
      </c>
    </row>
    <row r="68" spans="2:35">
      <c r="B68" t="str">
        <f t="shared" si="18"/>
        <v>GEO_ELC</v>
      </c>
      <c r="C68">
        <f t="shared" si="19"/>
        <v>2030</v>
      </c>
      <c r="D68" t="str">
        <f t="shared" si="20"/>
        <v>hi_ren</v>
      </c>
      <c r="E68" t="str">
        <f t="shared" si="21"/>
        <v>CH0</v>
      </c>
      <c r="F68" s="26">
        <f t="shared" si="22"/>
        <v>40.978808102095797</v>
      </c>
      <c r="H68">
        <f t="shared" si="23"/>
        <v>3</v>
      </c>
      <c r="I68">
        <f t="shared" si="24"/>
        <v>4</v>
      </c>
      <c r="J68">
        <f t="shared" si="25"/>
        <v>2</v>
      </c>
      <c r="K68">
        <f t="shared" si="26"/>
        <v>1</v>
      </c>
      <c r="M68" t="s">
        <v>12</v>
      </c>
      <c r="N68" t="s">
        <v>31</v>
      </c>
      <c r="O68" t="s">
        <v>115</v>
      </c>
      <c r="P68" s="26">
        <f t="shared" si="27"/>
        <v>0</v>
      </c>
      <c r="Q68" s="26">
        <f>INDEX(AT!$C$2:$K$18,MATCH($O68,AT!$B$2:$B$18,0),MATCH(Q$5,AT!$C$1:$K$1,0))</f>
        <v>0</v>
      </c>
      <c r="R68" s="26">
        <f>INDEX(AT!$C$2:$K$18,MATCH($O68,AT!$B$2:$B$18,0),MATCH(R$5,AT!$C$1:$K$1,0))</f>
        <v>0</v>
      </c>
      <c r="S68" s="26">
        <f>INDEX(AT!$C$2:$K$18,MATCH($O68,AT!$B$2:$B$18,0),MATCH(S$5,AT!$C$1:$K$1,0))</f>
        <v>0</v>
      </c>
      <c r="T68" s="26">
        <f>INDEX(AT!$C$2:$K$18,MATCH($O68,AT!$B$2:$B$18,0),MATCH(T$5,AT!$C$1:$K$1,0))</f>
        <v>0</v>
      </c>
      <c r="U68" s="26">
        <f>INDEX(AT!$C$2:$K$18,MATCH($O68,AT!$B$2:$B$18,0),MATCH(U$5,AT!$C$1:$K$1,0))</f>
        <v>0</v>
      </c>
      <c r="V68" s="26">
        <f>INDEX(AT!$C$2:$K$18,MATCH($O68,AT!$B$2:$B$18,0),MATCH(V$5,AT!$C$1:$K$1,0))</f>
        <v>0</v>
      </c>
      <c r="W68" s="26">
        <f>INDEX(AT!$C$2:$K$18,MATCH($O68,AT!$B$2:$B$18,0),MATCH(W$5,AT!$C$1:$K$1,0))</f>
        <v>0</v>
      </c>
      <c r="X68" s="26">
        <f>INDEX(AT!$C$2:$K$18,MATCH($O68,AT!$B$2:$B$18,0),MATCH(X$5,AT!$C$1:$K$1,0))</f>
        <v>0</v>
      </c>
      <c r="Z68" t="str">
        <f t="shared" si="28"/>
        <v>AT0.WIN_OFF</v>
      </c>
      <c r="AA68" s="29" t="e">
        <f t="shared" si="29"/>
        <v>#DIV/0!</v>
      </c>
      <c r="AB68" s="29"/>
      <c r="AE68" t="s">
        <v>140</v>
      </c>
      <c r="AF68" t="s">
        <v>16</v>
      </c>
      <c r="AG68">
        <v>0</v>
      </c>
    </row>
    <row r="69" spans="2:35">
      <c r="B69" t="str">
        <f t="shared" si="18"/>
        <v>GAS_NEW</v>
      </c>
      <c r="C69">
        <f t="shared" si="19"/>
        <v>2030</v>
      </c>
      <c r="D69" t="str">
        <f t="shared" si="20"/>
        <v>hi_ren</v>
      </c>
      <c r="E69" t="str">
        <f t="shared" si="21"/>
        <v>CH0</v>
      </c>
      <c r="F69" s="26">
        <f t="shared" si="22"/>
        <v>2211.3045881702569</v>
      </c>
      <c r="H69">
        <f t="shared" si="23"/>
        <v>4</v>
      </c>
      <c r="I69">
        <f t="shared" si="24"/>
        <v>4</v>
      </c>
      <c r="J69">
        <f t="shared" si="25"/>
        <v>2</v>
      </c>
      <c r="K69">
        <f t="shared" si="26"/>
        <v>1</v>
      </c>
      <c r="AA69" s="29"/>
      <c r="AB69" s="29"/>
      <c r="AC69" t="s">
        <v>118</v>
      </c>
      <c r="AD69" t="s">
        <v>120</v>
      </c>
      <c r="AE69" t="s">
        <v>141</v>
      </c>
      <c r="AF69" t="s">
        <v>12</v>
      </c>
      <c r="AG69">
        <v>4840320.6849378198</v>
      </c>
      <c r="AH69">
        <v>2421</v>
      </c>
      <c r="AI69">
        <v>1999.3063547863801</v>
      </c>
    </row>
    <row r="70" spans="2:35">
      <c r="B70" t="str">
        <f t="shared" si="18"/>
        <v>BAL_ELC</v>
      </c>
      <c r="C70">
        <f t="shared" si="19"/>
        <v>2030</v>
      </c>
      <c r="D70" t="str">
        <f t="shared" si="20"/>
        <v>hi_ren</v>
      </c>
      <c r="E70" t="str">
        <f t="shared" si="21"/>
        <v>CH0</v>
      </c>
      <c r="F70" s="26">
        <f t="shared" si="22"/>
        <v>305.70960377796001</v>
      </c>
      <c r="H70">
        <f t="shared" si="23"/>
        <v>5</v>
      </c>
      <c r="I70">
        <f t="shared" si="24"/>
        <v>4</v>
      </c>
      <c r="J70">
        <f t="shared" si="25"/>
        <v>2</v>
      </c>
      <c r="K70">
        <f t="shared" si="26"/>
        <v>1</v>
      </c>
      <c r="M70" t="s">
        <v>14</v>
      </c>
      <c r="N70" t="s">
        <v>31</v>
      </c>
      <c r="O70" t="s">
        <v>95</v>
      </c>
      <c r="P70" s="26">
        <f t="shared" ref="P70:P84" si="30">SUMIFS($AH$8:$AH$73,$AD$8:$AD$73,O70,$AF$8:$AF$73,M70)</f>
        <v>3333</v>
      </c>
      <c r="Q70" s="26">
        <f>INDEX(CH!$C$1:$K$19,MATCH($O70,CH!$B$1:$B$19,0),MATCH(Q$5,CH!$C$1:$K$1,0))</f>
        <v>3333</v>
      </c>
      <c r="R70" s="26">
        <f>INDEX(CH!$C$1:$K$19,MATCH($O70,CH!$B$1:$B$19,0),MATCH(R$5,CH!$C$1:$K$1,0))</f>
        <v>2874.5163073521298</v>
      </c>
      <c r="S70" s="26">
        <f>INDEX(CH!$C$1:$K$19,MATCH($O70,CH!$B$1:$B$19,0),MATCH(S$5,CH!$C$1:$K$1,0))</f>
        <v>2166.9430624654501</v>
      </c>
      <c r="T70" s="26">
        <f>INDEX(CH!$C$1:$K$19,MATCH($O70,CH!$B$1:$B$19,0),MATCH(T$5,CH!$C$1:$K$1,0))</f>
        <v>1194.0298507462701</v>
      </c>
      <c r="U70" s="26">
        <f>INDEX(CH!$C$1:$K$19,MATCH($O70,CH!$B$1:$B$19,0),MATCH(U$5,CH!$C$1:$K$1,0))</f>
        <v>0</v>
      </c>
      <c r="V70" s="26">
        <f>INDEX(CH!$C$1:$K$19,MATCH($O70,CH!$B$1:$B$19,0),MATCH(V$5,CH!$C$1:$K$1,0))</f>
        <v>0</v>
      </c>
      <c r="W70" s="26">
        <f>INDEX(CH!$C$1:$K$19,MATCH($O70,CH!$B$1:$B$19,0),MATCH(W$5,CH!$C$1:$K$1,0))</f>
        <v>0</v>
      </c>
      <c r="X70" s="26">
        <f>INDEX(CH!$C$1:$K$19,MATCH($O70,CH!$B$1:$B$19,0),MATCH(X$5,CH!$C$1:$K$1,0))</f>
        <v>0</v>
      </c>
      <c r="Z70" t="str">
        <f t="shared" ref="Z70:Z84" si="31">M70&amp;"."&amp;O70</f>
        <v>CH0.NUC_ELC</v>
      </c>
      <c r="AA70" s="29">
        <f t="shared" ref="AA70:AA84" si="32">(Q70-P70)/P70</f>
        <v>0</v>
      </c>
      <c r="AB70" s="29"/>
      <c r="AC70" t="s">
        <v>119</v>
      </c>
      <c r="AD70" t="s">
        <v>120</v>
      </c>
      <c r="AE70" t="s">
        <v>141</v>
      </c>
      <c r="AF70" t="s">
        <v>14</v>
      </c>
      <c r="AG70">
        <v>110030</v>
      </c>
      <c r="AH70">
        <v>60.287999999999997</v>
      </c>
      <c r="AI70">
        <v>1825.07298301486</v>
      </c>
    </row>
    <row r="71" spans="2:35">
      <c r="B71" t="str">
        <f t="shared" si="18"/>
        <v>SOL_PHO</v>
      </c>
      <c r="C71">
        <f t="shared" si="19"/>
        <v>2035</v>
      </c>
      <c r="D71" t="str">
        <f t="shared" si="20"/>
        <v>hi_ren</v>
      </c>
      <c r="E71" t="str">
        <f t="shared" si="21"/>
        <v>CH0</v>
      </c>
      <c r="F71" s="26">
        <f t="shared" si="22"/>
        <v>3804.1092146050701</v>
      </c>
      <c r="H71">
        <f t="shared" si="23"/>
        <v>1</v>
      </c>
      <c r="I71">
        <f t="shared" si="24"/>
        <v>5</v>
      </c>
      <c r="J71">
        <f t="shared" si="25"/>
        <v>2</v>
      </c>
      <c r="K71">
        <f t="shared" si="26"/>
        <v>1</v>
      </c>
      <c r="M71" t="s">
        <v>14</v>
      </c>
      <c r="N71" t="s">
        <v>31</v>
      </c>
      <c r="O71" t="s">
        <v>105</v>
      </c>
      <c r="P71" s="26">
        <f t="shared" si="30"/>
        <v>1390.1</v>
      </c>
      <c r="Q71" s="26">
        <f>INDEX(CH!$C$1:$K$19,MATCH($O71,CH!$B$1:$B$19,0),MATCH(Q$5,CH!$C$1:$K$1,0))</f>
        <v>1390.1</v>
      </c>
      <c r="R71" s="26">
        <f>INDEX(CH!$C$1:$K$19,MATCH($O71,CH!$B$1:$B$19,0),MATCH(R$5,CH!$C$1:$K$1,0))</f>
        <v>1665.2918506448</v>
      </c>
      <c r="S71" s="26">
        <f>INDEX(CH!$C$1:$K$19,MATCH($O71,CH!$B$1:$B$19,0),MATCH(S$5,CH!$C$1:$K$1,0))</f>
        <v>2192.7428977140098</v>
      </c>
      <c r="T71" s="26">
        <f>INDEX(CH!$C$1:$K$19,MATCH($O71,CH!$B$1:$B$19,0),MATCH(T$5,CH!$C$1:$K$1,0))</f>
        <v>3259.1113189626299</v>
      </c>
      <c r="U71" s="26">
        <f>INDEX(CH!$C$1:$K$19,MATCH($O71,CH!$B$1:$B$19,0),MATCH(U$5,CH!$C$1:$K$1,0))</f>
        <v>6160.0920778432701</v>
      </c>
      <c r="V71" s="26">
        <f>INDEX(CH!$C$1:$K$19,MATCH($O71,CH!$B$1:$B$19,0),MATCH(V$5,CH!$C$1:$K$1,0))</f>
        <v>8797.3473131893006</v>
      </c>
      <c r="W71" s="26">
        <f>INDEX(CH!$C$1:$K$19,MATCH($O71,CH!$B$1:$B$19,0),MATCH(W$5,CH!$C$1:$K$1,0))</f>
        <v>11652.462763629101</v>
      </c>
      <c r="X71" s="26">
        <f>INDEX(CH!$C$1:$K$19,MATCH($O71,CH!$B$1:$B$19,0),MATCH(X$5,CH!$C$1:$K$1,0))</f>
        <v>13819.598587457</v>
      </c>
      <c r="Z71" t="str">
        <f t="shared" si="31"/>
        <v>CH0.SOL_PHO</v>
      </c>
      <c r="AA71" s="29">
        <f t="shared" si="32"/>
        <v>0</v>
      </c>
      <c r="AB71" s="29"/>
      <c r="AC71" t="s">
        <v>121</v>
      </c>
      <c r="AD71" t="s">
        <v>120</v>
      </c>
      <c r="AE71" t="s">
        <v>141</v>
      </c>
      <c r="AF71" t="s">
        <v>15</v>
      </c>
      <c r="AG71">
        <v>72340000</v>
      </c>
      <c r="AH71">
        <v>41297</v>
      </c>
      <c r="AI71">
        <v>1751.70109208901</v>
      </c>
    </row>
    <row r="72" spans="2:35">
      <c r="B72" t="str">
        <f t="shared" si="18"/>
        <v>WIN_ONS</v>
      </c>
      <c r="C72">
        <f t="shared" si="19"/>
        <v>2035</v>
      </c>
      <c r="D72" t="str">
        <f t="shared" si="20"/>
        <v>hi_ren</v>
      </c>
      <c r="E72" t="str">
        <f t="shared" si="21"/>
        <v>CH0</v>
      </c>
      <c r="F72" s="26">
        <f t="shared" si="22"/>
        <v>427.222101476457</v>
      </c>
      <c r="H72">
        <f t="shared" si="23"/>
        <v>2</v>
      </c>
      <c r="I72">
        <f t="shared" si="24"/>
        <v>5</v>
      </c>
      <c r="J72">
        <f t="shared" si="25"/>
        <v>2</v>
      </c>
      <c r="K72">
        <f t="shared" si="26"/>
        <v>1</v>
      </c>
      <c r="M72" t="s">
        <v>14</v>
      </c>
      <c r="N72" t="s">
        <v>31</v>
      </c>
      <c r="O72" t="s">
        <v>120</v>
      </c>
      <c r="P72" s="26">
        <f t="shared" si="30"/>
        <v>60.287999999999997</v>
      </c>
      <c r="Q72" s="26">
        <f>INDEX(CH!$C$1:$K$19,MATCH($O72,CH!$B$1:$B$19,0),MATCH(Q$5,CH!$C$1:$K$1,0))</f>
        <v>60.287999999999997</v>
      </c>
      <c r="R72" s="26">
        <f>INDEX(CH!$C$1:$K$19,MATCH($O72,CH!$B$1:$B$19,0),MATCH(R$5,CH!$C$1:$K$1,0))</f>
        <v>240.568875087078</v>
      </c>
      <c r="S72" s="26">
        <f>INDEX(CH!$C$1:$K$19,MATCH($O72,CH!$B$1:$B$19,0),MATCH(S$5,CH!$C$1:$K$1,0))</f>
        <v>432.48077437332302</v>
      </c>
      <c r="T72" s="26">
        <f>INDEX(CH!$C$1:$K$19,MATCH($O72,CH!$B$1:$B$19,0),MATCH(T$5,CH!$C$1:$K$1,0))</f>
        <v>705.80984305373204</v>
      </c>
      <c r="U72" s="26">
        <f>INDEX(CH!$C$1:$K$19,MATCH($O72,CH!$B$1:$B$19,0),MATCH(U$5,CH!$C$1:$K$1,0))</f>
        <v>880.27520604122697</v>
      </c>
      <c r="V72" s="26">
        <f>INDEX(CH!$C$1:$K$19,MATCH($O72,CH!$B$1:$B$19,0),MATCH(V$5,CH!$C$1:$K$1,0))</f>
        <v>1362.96271030663</v>
      </c>
      <c r="W72" s="26">
        <f>INDEX(CH!$C$1:$K$19,MATCH($O72,CH!$B$1:$B$19,0),MATCH(W$5,CH!$C$1:$K$1,0))</f>
        <v>1851.4657266716199</v>
      </c>
      <c r="X72" s="26">
        <f>INDEX(CH!$C$1:$K$19,MATCH($O72,CH!$B$1:$B$19,0),MATCH(X$5,CH!$C$1:$K$1,0))</f>
        <v>2334.15323093702</v>
      </c>
      <c r="Z72" t="str">
        <f t="shared" si="31"/>
        <v>CH0.WIN_ONS</v>
      </c>
      <c r="AA72" s="29">
        <f t="shared" si="32"/>
        <v>0</v>
      </c>
      <c r="AB72" s="29"/>
      <c r="AC72" t="s">
        <v>122</v>
      </c>
      <c r="AD72" t="s">
        <v>120</v>
      </c>
      <c r="AE72" t="s">
        <v>141</v>
      </c>
      <c r="AF72" t="s">
        <v>16</v>
      </c>
      <c r="AG72">
        <v>21249000</v>
      </c>
      <c r="AH72">
        <v>10324.5</v>
      </c>
      <c r="AI72">
        <v>2058.1141943919802</v>
      </c>
    </row>
    <row r="73" spans="2:35">
      <c r="B73" t="str">
        <f t="shared" si="18"/>
        <v>GEO_ELC</v>
      </c>
      <c r="C73">
        <f t="shared" si="19"/>
        <v>2035</v>
      </c>
      <c r="D73" t="str">
        <f t="shared" si="20"/>
        <v>hi_ren</v>
      </c>
      <c r="E73" t="str">
        <f t="shared" si="21"/>
        <v>CH0</v>
      </c>
      <c r="F73" s="26">
        <f t="shared" si="22"/>
        <v>49.174569722514903</v>
      </c>
      <c r="H73">
        <f t="shared" si="23"/>
        <v>3</v>
      </c>
      <c r="I73">
        <f t="shared" si="24"/>
        <v>5</v>
      </c>
      <c r="J73">
        <f t="shared" si="25"/>
        <v>2</v>
      </c>
      <c r="K73">
        <f t="shared" si="26"/>
        <v>1</v>
      </c>
      <c r="M73" t="s">
        <v>14</v>
      </c>
      <c r="N73" t="s">
        <v>31</v>
      </c>
      <c r="O73" t="s">
        <v>80</v>
      </c>
      <c r="P73" s="26">
        <f t="shared" si="30"/>
        <v>4157.78</v>
      </c>
      <c r="Q73" s="26">
        <f>INDEX(CH!$C$1:$K$19,MATCH($O73,CH!$B$1:$B$19,0),MATCH(Q$5,CH!$C$1:$K$1,0))</f>
        <v>4199.8690228328906</v>
      </c>
      <c r="R73" s="26">
        <f>INDEX(CH!$C$1:$K$19,MATCH($O73,CH!$B$1:$B$19,0),MATCH(R$5,CH!$C$1:$K$1,0))</f>
        <v>5334.3737928055307</v>
      </c>
      <c r="S73" s="26">
        <f>INDEX(CH!$C$1:$K$19,MATCH($O73,CH!$B$1:$B$19,0),MATCH(S$5,CH!$C$1:$K$1,0))</f>
        <v>5381.6403960329208</v>
      </c>
      <c r="T73" s="26">
        <f>INDEX(CH!$C$1:$K$19,MATCH($O73,CH!$B$1:$B$19,0),MATCH(T$5,CH!$C$1:$K$1,0))</f>
        <v>5408.6498835914281</v>
      </c>
      <c r="U73" s="26">
        <f>INDEX(CH!$C$1:$K$19,MATCH($O73,CH!$B$1:$B$19,0),MATCH(U$5,CH!$C$1:$K$1,0))</f>
        <v>5455.958689143129</v>
      </c>
      <c r="V73" s="26">
        <f>INDEX(CH!$C$1:$K$19,MATCH($O73,CH!$B$1:$B$19,0),MATCH(V$5,CH!$C$1:$K$1,0))</f>
        <v>5503.1830900462091</v>
      </c>
      <c r="W73" s="26">
        <f>INDEX(CH!$C$1:$K$19,MATCH($O73,CH!$B$1:$B$19,0),MATCH(W$5,CH!$C$1:$K$1,0))</f>
        <v>5577.4591808321111</v>
      </c>
      <c r="X73" s="26">
        <f>INDEX(CH!$C$1:$K$19,MATCH($O73,CH!$B$1:$B$19,0),MATCH(X$5,CH!$C$1:$K$1,0))</f>
        <v>5651.7352716180121</v>
      </c>
      <c r="Z73" t="str">
        <f t="shared" si="31"/>
        <v>CH0.HYD_ROR</v>
      </c>
      <c r="AA73" s="29">
        <f t="shared" si="32"/>
        <v>1.0122955719853097E-2</v>
      </c>
      <c r="AB73" s="29"/>
      <c r="AC73" t="s">
        <v>123</v>
      </c>
      <c r="AD73" t="s">
        <v>120</v>
      </c>
      <c r="AE73" t="s">
        <v>141</v>
      </c>
      <c r="AF73" t="s">
        <v>17</v>
      </c>
      <c r="AG73">
        <v>14843900</v>
      </c>
      <c r="AH73">
        <v>9136.6291141882502</v>
      </c>
      <c r="AI73">
        <v>1624.6582644959201</v>
      </c>
    </row>
    <row r="74" spans="2:35">
      <c r="B74" t="str">
        <f t="shared" si="18"/>
        <v>GAS_NEW</v>
      </c>
      <c r="C74">
        <f t="shared" si="19"/>
        <v>2035</v>
      </c>
      <c r="D74" t="str">
        <f t="shared" si="20"/>
        <v>hi_ren</v>
      </c>
      <c r="E74" t="str">
        <f t="shared" si="21"/>
        <v>CH0</v>
      </c>
      <c r="F74" s="26">
        <f t="shared" si="22"/>
        <v>3980.2377003869578</v>
      </c>
      <c r="H74">
        <f t="shared" si="23"/>
        <v>4</v>
      </c>
      <c r="I74">
        <f t="shared" si="24"/>
        <v>5</v>
      </c>
      <c r="J74">
        <f t="shared" si="25"/>
        <v>2</v>
      </c>
      <c r="K74">
        <f t="shared" si="26"/>
        <v>1</v>
      </c>
      <c r="M74" t="s">
        <v>14</v>
      </c>
      <c r="N74" t="s">
        <v>31</v>
      </c>
      <c r="O74" t="s">
        <v>75</v>
      </c>
      <c r="P74" s="26">
        <f t="shared" si="30"/>
        <v>7559.2</v>
      </c>
      <c r="Q74" s="26">
        <f>INDEX(CH!$C$1:$K$19,MATCH($O74,CH!$B$1:$B$19,0),MATCH(Q$5,CH!$C$1:$K$1,0))</f>
        <v>7635.7214468775128</v>
      </c>
      <c r="R74" s="26">
        <f>INDEX(CH!$C$1:$K$19,MATCH($O74,CH!$B$1:$B$19,0),MATCH(R$5,CH!$C$1:$K$1,0))</f>
        <v>9698.3482470394229</v>
      </c>
      <c r="S74" s="26">
        <f>INDEX(CH!$C$1:$K$19,MATCH($O74,CH!$B$1:$B$19,0),MATCH(S$5,CH!$C$1:$K$1,0))</f>
        <v>9784.2829783423022</v>
      </c>
      <c r="T74" s="26">
        <f>INDEX(CH!$C$1:$K$19,MATCH($O74,CH!$B$1:$B$19,0),MATCH(T$5,CH!$C$1:$K$1,0))</f>
        <v>9833.3885390868036</v>
      </c>
      <c r="U74" s="26">
        <f>INDEX(CH!$C$1:$K$19,MATCH($O74,CH!$B$1:$B$19,0),MATCH(U$5,CH!$C$1:$K$1,0))</f>
        <v>9919.3999978283482</v>
      </c>
      <c r="V74" s="26">
        <f>INDEX(CH!$C$1:$K$19,MATCH($O74,CH!$B$1:$B$19,0),MATCH(V$5,CH!$C$1:$K$1,0))</f>
        <v>10005.258001692564</v>
      </c>
      <c r="W74" s="26">
        <f>INDEX(CH!$C$1:$K$19,MATCH($O74,CH!$B$1:$B$19,0),MATCH(W$5,CH!$C$1:$K$1,0))</f>
        <v>10140.298293739952</v>
      </c>
      <c r="X74" s="26">
        <f>INDEX(CH!$C$1:$K$19,MATCH($O74,CH!$B$1:$B$19,0),MATCH(X$5,CH!$C$1:$K$1,0))</f>
        <v>10275.33858578734</v>
      </c>
      <c r="Z74" t="str">
        <f t="shared" si="31"/>
        <v>CH0.HYD_RES</v>
      </c>
      <c r="AA74" s="29">
        <f t="shared" si="32"/>
        <v>1.0122955719853024E-2</v>
      </c>
      <c r="AB74" s="29"/>
    </row>
    <row r="75" spans="2:35">
      <c r="B75" t="str">
        <f t="shared" ref="B75:B90" si="33">INDEX(H$2:H$11,H75)</f>
        <v>BAL_ELC</v>
      </c>
      <c r="C75">
        <f t="shared" ref="C75:C90" si="34">INDEX(I$2:I$11,I75)</f>
        <v>2035</v>
      </c>
      <c r="D75" t="str">
        <f t="shared" ref="D75:D90" si="35">INDEX(J$2:J$11,J75)</f>
        <v>hi_ren</v>
      </c>
      <c r="E75" t="str">
        <f t="shared" ref="E75:E90" si="36">INDEX(K$2:K$11,K75)</f>
        <v>CH0</v>
      </c>
      <c r="F75" s="26">
        <f t="shared" ref="F75:F90" si="37">INDEX($P$87:$X$97,MATCH(B75&amp;"."&amp;D75,$AB$87:$AB$97,0),MATCH(C75,$P$5:$X$5,0))</f>
        <v>308.69247278690199</v>
      </c>
      <c r="H75">
        <f t="shared" si="23"/>
        <v>5</v>
      </c>
      <c r="I75">
        <f t="shared" si="24"/>
        <v>5</v>
      </c>
      <c r="J75">
        <f t="shared" si="25"/>
        <v>2</v>
      </c>
      <c r="K75">
        <f t="shared" si="26"/>
        <v>1</v>
      </c>
      <c r="M75" t="s">
        <v>14</v>
      </c>
      <c r="N75" t="s">
        <v>31</v>
      </c>
      <c r="O75" t="s">
        <v>85</v>
      </c>
      <c r="P75" s="26">
        <f t="shared" si="30"/>
        <v>1898.3</v>
      </c>
      <c r="Q75" s="26">
        <f>INDEX(CH!$C$1:$K$19,MATCH($O75,CH!$B$1:$B$19,0),MATCH(Q$5,CH!$C$1:$K$1,0))</f>
        <v>1917.516406842997</v>
      </c>
      <c r="R75" s="26">
        <f>INDEX(CH!$C$1:$K$19,MATCH($O75,CH!$B$1:$B$19,0),MATCH(R$5,CH!$C$1:$K$1,0))</f>
        <v>2435.4924432949165</v>
      </c>
      <c r="S75" s="26">
        <f>INDEX(CH!$C$1:$K$19,MATCH($O75,CH!$B$1:$B$19,0),MATCH(S$5,CH!$C$1:$K$1,0))</f>
        <v>2457.0727560836058</v>
      </c>
      <c r="T75" s="26">
        <f>INDEX(CH!$C$1:$K$19,MATCH($O75,CH!$B$1:$B$19,0),MATCH(T$5,CH!$C$1:$K$1,0))</f>
        <v>2469.4043633914275</v>
      </c>
      <c r="U75" s="26">
        <f>INDEX(CH!$C$1:$K$19,MATCH($O75,CH!$B$1:$B$19,0),MATCH(U$5,CH!$C$1:$K$1,0))</f>
        <v>2491.0039443165351</v>
      </c>
      <c r="V75" s="26">
        <f>INDEX(CH!$C$1:$K$19,MATCH($O75,CH!$B$1:$B$19,0),MATCH(V$5,CH!$C$1:$K$1,0))</f>
        <v>2512.5649889688052</v>
      </c>
      <c r="W75" s="26">
        <f>INDEX(CH!$C$1:$K$19,MATCH($O75,CH!$B$1:$B$19,0),MATCH(W$5,CH!$C$1:$K$1,0))</f>
        <v>2546.4769090653176</v>
      </c>
      <c r="X75" s="26">
        <f>INDEX(CH!$C$1:$K$19,MATCH($O75,CH!$B$1:$B$19,0),MATCH(X$5,CH!$C$1:$K$1,0))</f>
        <v>2580.38882916183</v>
      </c>
      <c r="Z75" t="str">
        <f t="shared" si="31"/>
        <v>CH0.HYD_STO</v>
      </c>
      <c r="AA75" s="29">
        <f t="shared" si="32"/>
        <v>1.0122955719853027E-2</v>
      </c>
      <c r="AB75" s="29"/>
    </row>
    <row r="76" spans="2:35">
      <c r="B76" t="str">
        <f t="shared" si="33"/>
        <v>SOL_PHO</v>
      </c>
      <c r="C76">
        <f t="shared" si="34"/>
        <v>2040</v>
      </c>
      <c r="D76" t="str">
        <f t="shared" si="35"/>
        <v>hi_ren</v>
      </c>
      <c r="E76" t="str">
        <f t="shared" si="36"/>
        <v>CH0</v>
      </c>
      <c r="F76" s="26">
        <f t="shared" si="37"/>
        <v>4807.3338232721098</v>
      </c>
      <c r="H76">
        <f t="shared" ref="H76:H90" si="38">IF(H75=$H$1,1,H75+1)</f>
        <v>1</v>
      </c>
      <c r="I76">
        <f t="shared" ref="I76:I90" si="39">IF(H76=1,IF(I75=$I$1,1,I75+1),I75)</f>
        <v>6</v>
      </c>
      <c r="J76">
        <f t="shared" ref="J76:J90" si="40">IF(AND(I76=1,I75&gt;1),IF(J75=$J$1,1,J75+1),J75)</f>
        <v>2</v>
      </c>
      <c r="K76">
        <f t="shared" ref="K76:K90" si="41">IF(AND(J76=1,J75&gt;1),IF(K75=$K$1,1,K75+1),K75)</f>
        <v>1</v>
      </c>
      <c r="M76" t="s">
        <v>14</v>
      </c>
      <c r="N76" t="s">
        <v>31</v>
      </c>
      <c r="O76" t="s">
        <v>60</v>
      </c>
      <c r="P76" s="26">
        <f t="shared" si="30"/>
        <v>310.85000000000002</v>
      </c>
      <c r="Q76" s="26">
        <f>INDEX(CH!$C$1:$K$19,MATCH($O76,CH!$B$1:$B$19,0),MATCH(Q$5,CH!$C$1:$K$1,0))</f>
        <v>266.98390957074196</v>
      </c>
      <c r="R76" s="26">
        <f>INDEX(CH!$C$1:$K$19,MATCH($O76,CH!$B$1:$B$19,0),MATCH(R$5,CH!$C$1:$K$1,0))</f>
        <v>267.20528926358645</v>
      </c>
      <c r="S76" s="26">
        <f>INDEX(CH!$C$1:$K$19,MATCH($O76,CH!$B$1:$B$19,0),MATCH(S$5,CH!$C$1:$K$1,0))</f>
        <v>124.58446611914741</v>
      </c>
      <c r="T76" s="26">
        <f>INDEX(CH!$C$1:$K$19,MATCH($O76,CH!$B$1:$B$19,0),MATCH(T$5,CH!$C$1:$K$1,0))</f>
        <v>71.143408266429944</v>
      </c>
      <c r="U76" s="26">
        <f>INDEX(CH!$C$1:$K$19,MATCH($O76,CH!$B$1:$B$19,0),MATCH(U$5,CH!$C$1:$K$1,0))</f>
        <v>71.032072729236802</v>
      </c>
      <c r="V76" s="26">
        <f>INDEX(CH!$C$1:$K$19,MATCH($O76,CH!$B$1:$B$19,0),MATCH(V$5,CH!$C$1:$K$1,0))</f>
        <v>0</v>
      </c>
      <c r="W76" s="26">
        <f>INDEX(CH!$C$1:$K$19,MATCH($O76,CH!$B$1:$B$19,0),MATCH(W$5,CH!$C$1:$K$1,0))</f>
        <v>0</v>
      </c>
      <c r="X76" s="26">
        <f>INDEX(CH!$C$1:$K$19,MATCH($O76,CH!$B$1:$B$19,0),MATCH(X$5,CH!$C$1:$K$1,0))</f>
        <v>0</v>
      </c>
      <c r="Z76" t="str">
        <f t="shared" si="31"/>
        <v>CH0.GAS_LIN</v>
      </c>
      <c r="AA76" s="29">
        <f t="shared" si="32"/>
        <v>-0.1411165849421202</v>
      </c>
      <c r="AB76" s="29"/>
    </row>
    <row r="77" spans="2:35">
      <c r="B77" t="str">
        <f t="shared" si="33"/>
        <v>WIN_ONS</v>
      </c>
      <c r="C77">
        <f t="shared" si="34"/>
        <v>2040</v>
      </c>
      <c r="D77" t="str">
        <f t="shared" si="35"/>
        <v>hi_ren</v>
      </c>
      <c r="E77" t="str">
        <f t="shared" si="36"/>
        <v>CH0</v>
      </c>
      <c r="F77" s="26">
        <f t="shared" si="37"/>
        <v>562.12434466633101</v>
      </c>
      <c r="H77">
        <f t="shared" si="38"/>
        <v>2</v>
      </c>
      <c r="I77">
        <f t="shared" si="39"/>
        <v>6</v>
      </c>
      <c r="J77">
        <f t="shared" si="40"/>
        <v>2</v>
      </c>
      <c r="K77">
        <f t="shared" si="41"/>
        <v>1</v>
      </c>
      <c r="M77" t="s">
        <v>14</v>
      </c>
      <c r="N77" t="s">
        <v>31</v>
      </c>
      <c r="O77" t="s">
        <v>441</v>
      </c>
      <c r="P77" s="26">
        <f t="shared" si="30"/>
        <v>0</v>
      </c>
      <c r="Q77" s="26">
        <f>INDEX(CH!$C$1:$K$19,MATCH($O77,CH!$B$1:$B$19,0),MATCH(Q$5,CH!$C$1:$K$1,0))</f>
        <v>154.51532725766401</v>
      </c>
      <c r="R77" s="26">
        <f>INDEX(CH!$C$1:$K$19,MATCH($O77,CH!$B$1:$B$19,0),MATCH(R$5,CH!$C$1:$K$1,0))</f>
        <v>331.67495854062997</v>
      </c>
      <c r="S77" s="26">
        <f>INDEX(CH!$C$1:$K$19,MATCH($O77,CH!$B$1:$B$19,0),MATCH(S$5,CH!$C$1:$K$1,0))</f>
        <v>1039.3864013267</v>
      </c>
      <c r="T77" s="26">
        <f>INDEX(CH!$C$1:$K$19,MATCH($O77,CH!$B$1:$B$19,0),MATCH(T$5,CH!$C$1:$K$1,0))</f>
        <v>1680.624654505247</v>
      </c>
      <c r="U77" s="26">
        <f>INDEX(CH!$C$1:$K$19,MATCH($O77,CH!$B$1:$B$19,0),MATCH(U$5,CH!$C$1:$K$1,0))</f>
        <v>3360.69651741294</v>
      </c>
      <c r="V77" s="26">
        <f>INDEX(CH!$C$1:$K$19,MATCH($O77,CH!$B$1:$B$19,0),MATCH(V$5,CH!$C$1:$K$1,0))</f>
        <v>3493.2283029297937</v>
      </c>
      <c r="W77" s="26">
        <f>INDEX(CH!$C$1:$K$19,MATCH($O77,CH!$B$1:$B$19,0),MATCH(W$5,CH!$C$1:$K$1,0))</f>
        <v>3516.0309563294659</v>
      </c>
      <c r="X77" s="26">
        <f>INDEX(CH!$C$1:$K$19,MATCH($O77,CH!$B$1:$B$19,0),MATCH(X$5,CH!$C$1:$K$1,0))</f>
        <v>3449.1431730237746</v>
      </c>
      <c r="Z77" t="str">
        <f t="shared" si="31"/>
        <v>CH0.GAS_NEW</v>
      </c>
      <c r="AA77" s="29" t="e">
        <f t="shared" si="32"/>
        <v>#DIV/0!</v>
      </c>
      <c r="AB77" s="29"/>
    </row>
    <row r="78" spans="2:35">
      <c r="B78" t="str">
        <f t="shared" si="33"/>
        <v>GEO_ELC</v>
      </c>
      <c r="C78">
        <f t="shared" si="34"/>
        <v>2040</v>
      </c>
      <c r="D78" t="str">
        <f t="shared" si="35"/>
        <v>hi_ren</v>
      </c>
      <c r="E78" t="str">
        <f t="shared" si="36"/>
        <v>CH0</v>
      </c>
      <c r="F78" s="26">
        <f t="shared" si="37"/>
        <v>49.174569722514903</v>
      </c>
      <c r="H78">
        <f t="shared" si="38"/>
        <v>3</v>
      </c>
      <c r="I78">
        <f t="shared" si="39"/>
        <v>6</v>
      </c>
      <c r="J78">
        <f t="shared" si="40"/>
        <v>2</v>
      </c>
      <c r="K78">
        <f t="shared" si="41"/>
        <v>1</v>
      </c>
      <c r="M78" t="s">
        <v>14</v>
      </c>
      <c r="N78" t="s">
        <v>31</v>
      </c>
      <c r="O78" t="s">
        <v>100</v>
      </c>
      <c r="P78" s="26">
        <f t="shared" si="30"/>
        <v>75</v>
      </c>
      <c r="Q78" s="26">
        <f>INDEX(CH!$C$1:$K$19,MATCH($O78,CH!$B$1:$B$19,0),MATCH(Q$5,CH!$C$1:$K$1,0))</f>
        <v>64.416256129340994</v>
      </c>
      <c r="R78" s="26">
        <f>INDEX(CH!$C$1:$K$19,MATCH($O78,CH!$B$1:$B$19,0),MATCH(R$5,CH!$C$1:$K$1,0))</f>
        <v>64.469669277043536</v>
      </c>
      <c r="S78" s="26">
        <f>INDEX(CH!$C$1:$K$19,MATCH($O78,CH!$B$1:$B$19,0),MATCH(S$5,CH!$C$1:$K$1,0))</f>
        <v>30.058983300421602</v>
      </c>
      <c r="T78" s="26">
        <f>INDEX(CH!$C$1:$K$19,MATCH($O78,CH!$B$1:$B$19,0),MATCH(T$5,CH!$C$1:$K$1,0))</f>
        <v>17.165049445012855</v>
      </c>
      <c r="U78" s="26">
        <f>INDEX(CH!$C$1:$K$19,MATCH($O78,CH!$B$1:$B$19,0),MATCH(U$5,CH!$C$1:$K$1,0))</f>
        <v>17.138187082814092</v>
      </c>
      <c r="V78" s="26">
        <f>INDEX(CH!$C$1:$K$19,MATCH($O78,CH!$B$1:$B$19,0),MATCH(V$5,CH!$C$1:$K$1,0))</f>
        <v>0</v>
      </c>
      <c r="W78" s="26">
        <f>INDEX(CH!$C$1:$K$19,MATCH($O78,CH!$B$1:$B$19,0),MATCH(W$5,CH!$C$1:$K$1,0))</f>
        <v>0</v>
      </c>
      <c r="X78" s="26">
        <f>INDEX(CH!$C$1:$K$19,MATCH($O78,CH!$B$1:$B$19,0),MATCH(X$5,CH!$C$1:$K$1,0))</f>
        <v>0</v>
      </c>
      <c r="Z78" t="str">
        <f t="shared" si="31"/>
        <v>CH0.OIL_LIN</v>
      </c>
      <c r="AA78" s="29">
        <f t="shared" si="32"/>
        <v>-0.14111658494212009</v>
      </c>
      <c r="AB78" s="29"/>
    </row>
    <row r="79" spans="2:35">
      <c r="B79" t="str">
        <f t="shared" si="33"/>
        <v>GAS_NEW</v>
      </c>
      <c r="C79">
        <f t="shared" si="34"/>
        <v>2040</v>
      </c>
      <c r="D79" t="str">
        <f t="shared" si="35"/>
        <v>hi_ren</v>
      </c>
      <c r="E79" t="str">
        <f t="shared" si="36"/>
        <v>CH0</v>
      </c>
      <c r="F79" s="26">
        <f t="shared" si="37"/>
        <v>4002.349364289666</v>
      </c>
      <c r="H79">
        <f t="shared" si="38"/>
        <v>4</v>
      </c>
      <c r="I79">
        <f t="shared" si="39"/>
        <v>6</v>
      </c>
      <c r="J79">
        <f t="shared" si="40"/>
        <v>2</v>
      </c>
      <c r="K79">
        <f t="shared" si="41"/>
        <v>1</v>
      </c>
      <c r="M79" t="s">
        <v>14</v>
      </c>
      <c r="N79" t="s">
        <v>31</v>
      </c>
      <c r="O79" t="s">
        <v>55</v>
      </c>
      <c r="P79" s="26">
        <f t="shared" si="30"/>
        <v>46.2</v>
      </c>
      <c r="Q79" s="26">
        <f>INDEX(CH!$C$1:$K$19,MATCH($O79,CH!$B$1:$B$19,0),MATCH(Q$5,CH!$C$1:$K$1,0))</f>
        <v>46.2</v>
      </c>
      <c r="R79" s="26">
        <f>INDEX(CH!$C$1:$K$19,MATCH($O79,CH!$B$1:$B$19,0),MATCH(R$5,CH!$C$1:$K$1,0))</f>
        <v>191.26334532998399</v>
      </c>
      <c r="S79" s="26">
        <f>INDEX(CH!$C$1:$K$19,MATCH($O79,CH!$B$1:$B$19,0),MATCH(S$5,CH!$C$1:$K$1,0))</f>
        <v>407.58587783961002</v>
      </c>
      <c r="T79" s="26">
        <f>INDEX(CH!$C$1:$K$19,MATCH($O79,CH!$B$1:$B$19,0),MATCH(T$5,CH!$C$1:$K$1,0))</f>
        <v>585.73384578871298</v>
      </c>
      <c r="U79" s="26">
        <f>INDEX(CH!$C$1:$K$19,MATCH($O79,CH!$B$1:$B$19,0),MATCH(U$5,CH!$C$1:$K$1,0))</f>
        <v>639.17823617344402</v>
      </c>
      <c r="V79" s="26">
        <f>INDEX(CH!$C$1:$K$19,MATCH($O79,CH!$B$1:$B$19,0),MATCH(V$5,CH!$C$1:$K$1,0))</f>
        <v>662.08297490975701</v>
      </c>
      <c r="W79" s="26">
        <f>INDEX(CH!$C$1:$K$19,MATCH($O79,CH!$B$1:$B$19,0),MATCH(W$5,CH!$C$1:$K$1,0))</f>
        <v>672.26285879256295</v>
      </c>
      <c r="X79" s="26">
        <f>INDEX(CH!$C$1:$K$19,MATCH($O79,CH!$B$1:$B$19,0),MATCH(X$5,CH!$C$1:$K$1,0))</f>
        <v>674.80782976326498</v>
      </c>
      <c r="Z79" t="str">
        <f t="shared" si="31"/>
        <v>CH0.BAL_ELC</v>
      </c>
      <c r="AA79" s="29">
        <f t="shared" si="32"/>
        <v>0</v>
      </c>
      <c r="AB79" s="29"/>
    </row>
    <row r="80" spans="2:35">
      <c r="B80" t="str">
        <f t="shared" si="33"/>
        <v>BAL_ELC</v>
      </c>
      <c r="C80">
        <f t="shared" si="34"/>
        <v>2040</v>
      </c>
      <c r="D80" t="str">
        <f t="shared" si="35"/>
        <v>hi_ren</v>
      </c>
      <c r="E80" t="str">
        <f t="shared" si="36"/>
        <v>CH0</v>
      </c>
      <c r="F80" s="26">
        <f t="shared" si="37"/>
        <v>317.64107981372803</v>
      </c>
      <c r="H80">
        <f t="shared" si="38"/>
        <v>5</v>
      </c>
      <c r="I80">
        <f t="shared" si="39"/>
        <v>6</v>
      </c>
      <c r="J80">
        <f t="shared" si="40"/>
        <v>2</v>
      </c>
      <c r="K80">
        <f t="shared" si="41"/>
        <v>1</v>
      </c>
      <c r="M80" t="s">
        <v>14</v>
      </c>
      <c r="N80" t="s">
        <v>31</v>
      </c>
      <c r="O80" t="s">
        <v>110</v>
      </c>
      <c r="P80" s="26">
        <f t="shared" si="30"/>
        <v>439.268492108766</v>
      </c>
      <c r="Q80" s="26">
        <f>INDEX(CH!$C$1:$K$19,MATCH($O80,CH!$B$1:$B$19,0),MATCH(Q$5,CH!$C$1:$K$1,0))</f>
        <v>439.268492108766</v>
      </c>
      <c r="R80" s="26">
        <f>INDEX(CH!$C$1:$K$19,MATCH($O80,CH!$B$1:$B$19,0),MATCH(R$5,CH!$C$1:$K$1,0))</f>
        <v>470.22880300472502</v>
      </c>
      <c r="S80" s="26">
        <f>INDEX(CH!$C$1:$K$19,MATCH($O80,CH!$B$1:$B$19,0),MATCH(S$5,CH!$C$1:$K$1,0))</f>
        <v>506.81826133631301</v>
      </c>
      <c r="T80" s="26">
        <f>INDEX(CH!$C$1:$K$19,MATCH($O80,CH!$B$1:$B$19,0),MATCH(T$5,CH!$C$1:$K$1,0))</f>
        <v>532.14942479664398</v>
      </c>
      <c r="U80" s="26">
        <f>INDEX(CH!$C$1:$K$19,MATCH($O80,CH!$B$1:$B$19,0),MATCH(U$5,CH!$C$1:$K$1,0))</f>
        <v>532.14942479664398</v>
      </c>
      <c r="V80" s="26">
        <f>INDEX(CH!$C$1:$K$19,MATCH($O80,CH!$B$1:$B$19,0),MATCH(V$5,CH!$C$1:$K$1,0))</f>
        <v>534.96399851445801</v>
      </c>
      <c r="W80" s="26">
        <f>INDEX(CH!$C$1:$K$19,MATCH($O80,CH!$B$1:$B$19,0),MATCH(W$5,CH!$C$1:$K$1,0))</f>
        <v>534.96399851445801</v>
      </c>
      <c r="X80" s="26">
        <f>INDEX(CH!$C$1:$K$19,MATCH($O80,CH!$B$1:$B$19,0),MATCH(X$5,CH!$C$1:$K$1,0))</f>
        <v>534.96399851445801</v>
      </c>
      <c r="Z80" t="str">
        <f t="shared" si="31"/>
        <v>CH0.WAS_ELC</v>
      </c>
      <c r="AA80" s="29">
        <f t="shared" si="32"/>
        <v>0</v>
      </c>
      <c r="AB80" s="29"/>
    </row>
    <row r="81" spans="2:28">
      <c r="B81" t="str">
        <f t="shared" si="33"/>
        <v>SOL_PHO</v>
      </c>
      <c r="C81">
        <f t="shared" si="34"/>
        <v>2045</v>
      </c>
      <c r="D81" t="str">
        <f t="shared" si="35"/>
        <v>hi_ren</v>
      </c>
      <c r="E81" t="str">
        <f t="shared" si="36"/>
        <v>CH0</v>
      </c>
      <c r="F81" s="26">
        <f t="shared" si="37"/>
        <v>6113.61586580732</v>
      </c>
      <c r="H81">
        <f t="shared" si="38"/>
        <v>1</v>
      </c>
      <c r="I81">
        <f t="shared" si="39"/>
        <v>7</v>
      </c>
      <c r="J81">
        <f t="shared" si="40"/>
        <v>2</v>
      </c>
      <c r="K81">
        <f t="shared" si="41"/>
        <v>1</v>
      </c>
      <c r="M81" t="s">
        <v>14</v>
      </c>
      <c r="N81" t="s">
        <v>31</v>
      </c>
      <c r="O81" t="s">
        <v>91</v>
      </c>
      <c r="P81" s="26">
        <f t="shared" si="30"/>
        <v>0</v>
      </c>
      <c r="Q81" s="26">
        <f>INDEX(CH!$C$1:$K$19,MATCH($O81,CH!$B$1:$B$19,0),MATCH(Q$5,CH!$C$1:$K$1,0))</f>
        <v>0</v>
      </c>
      <c r="R81" s="26">
        <f>INDEX(CH!$C$1:$K$19,MATCH($O81,CH!$B$1:$B$19,0),MATCH(R$5,CH!$C$1:$K$1,0))</f>
        <v>0</v>
      </c>
      <c r="S81" s="26">
        <f>INDEX(CH!$C$1:$K$19,MATCH($O81,CH!$B$1:$B$19,0),MATCH(S$5,CH!$C$1:$K$1,0))</f>
        <v>0</v>
      </c>
      <c r="T81" s="26">
        <f>INDEX(CH!$C$1:$K$19,MATCH($O81,CH!$B$1:$B$19,0),MATCH(T$5,CH!$C$1:$K$1,0))</f>
        <v>0</v>
      </c>
      <c r="U81" s="26">
        <f>INDEX(CH!$C$1:$K$19,MATCH($O81,CH!$B$1:$B$19,0),MATCH(U$5,CH!$C$1:$K$1,0))</f>
        <v>0</v>
      </c>
      <c r="V81" s="26">
        <f>INDEX(CH!$C$1:$K$19,MATCH($O81,CH!$B$1:$B$19,0),MATCH(V$5,CH!$C$1:$K$1,0))</f>
        <v>0</v>
      </c>
      <c r="W81" s="26">
        <f>INDEX(CH!$C$1:$K$19,MATCH($O81,CH!$B$1:$B$19,0),MATCH(W$5,CH!$C$1:$K$1,0))</f>
        <v>0</v>
      </c>
      <c r="X81" s="26">
        <f>INDEX(CH!$C$1:$K$19,MATCH($O81,CH!$B$1:$B$19,0),MATCH(X$5,CH!$C$1:$K$1,0))</f>
        <v>0</v>
      </c>
      <c r="Z81" t="str">
        <f t="shared" si="31"/>
        <v>CH0.LIG_LIN</v>
      </c>
      <c r="AA81" s="29" t="e">
        <f t="shared" si="32"/>
        <v>#DIV/0!</v>
      </c>
      <c r="AB81" s="29"/>
    </row>
    <row r="82" spans="2:28">
      <c r="B82" t="str">
        <f t="shared" si="33"/>
        <v>WIN_ONS</v>
      </c>
      <c r="C82">
        <f t="shared" si="34"/>
        <v>2045</v>
      </c>
      <c r="D82" t="str">
        <f t="shared" si="35"/>
        <v>hi_ren</v>
      </c>
      <c r="E82" t="str">
        <f t="shared" si="36"/>
        <v>CH0</v>
      </c>
      <c r="F82" s="26">
        <f t="shared" si="37"/>
        <v>686.234408401015</v>
      </c>
      <c r="H82">
        <f t="shared" si="38"/>
        <v>2</v>
      </c>
      <c r="I82">
        <f t="shared" si="39"/>
        <v>7</v>
      </c>
      <c r="J82">
        <f t="shared" si="40"/>
        <v>2</v>
      </c>
      <c r="K82">
        <f t="shared" si="41"/>
        <v>1</v>
      </c>
      <c r="M82" t="s">
        <v>14</v>
      </c>
      <c r="N82" t="s">
        <v>31</v>
      </c>
      <c r="O82" t="s">
        <v>70</v>
      </c>
      <c r="P82" s="26">
        <f t="shared" si="30"/>
        <v>0</v>
      </c>
      <c r="Q82" s="26">
        <f>INDEX(CH!$C$1:$K$19,MATCH($O82,CH!$B$1:$B$19,0),MATCH(Q$5,CH!$C$1:$K$1,0))</f>
        <v>0</v>
      </c>
      <c r="R82" s="26">
        <f>INDEX(CH!$C$1:$K$19,MATCH($O82,CH!$B$1:$B$19,0),MATCH(R$5,CH!$C$1:$K$1,0))</f>
        <v>0</v>
      </c>
      <c r="S82" s="26">
        <f>INDEX(CH!$C$1:$K$19,MATCH($O82,CH!$B$1:$B$19,0),MATCH(S$5,CH!$C$1:$K$1,0))</f>
        <v>0</v>
      </c>
      <c r="T82" s="26">
        <f>INDEX(CH!$C$1:$K$19,MATCH($O82,CH!$B$1:$B$19,0),MATCH(T$5,CH!$C$1:$K$1,0))</f>
        <v>0</v>
      </c>
      <c r="U82" s="26">
        <f>INDEX(CH!$C$1:$K$19,MATCH($O82,CH!$B$1:$B$19,0),MATCH(U$5,CH!$C$1:$K$1,0))</f>
        <v>0</v>
      </c>
      <c r="V82" s="26">
        <f>INDEX(CH!$C$1:$K$19,MATCH($O82,CH!$B$1:$B$19,0),MATCH(V$5,CH!$C$1:$K$1,0))</f>
        <v>0</v>
      </c>
      <c r="W82" s="26">
        <f>INDEX(CH!$C$1:$K$19,MATCH($O82,CH!$B$1:$B$19,0),MATCH(W$5,CH!$C$1:$K$1,0))</f>
        <v>0</v>
      </c>
      <c r="X82" s="26">
        <f>INDEX(CH!$C$1:$K$19,MATCH($O82,CH!$B$1:$B$19,0),MATCH(X$5,CH!$C$1:$K$1,0))</f>
        <v>0</v>
      </c>
      <c r="Z82" t="str">
        <f t="shared" si="31"/>
        <v>CH0.HCO_LIN</v>
      </c>
      <c r="AA82" s="29" t="e">
        <f t="shared" si="32"/>
        <v>#DIV/0!</v>
      </c>
      <c r="AB82" s="29"/>
    </row>
    <row r="83" spans="2:28">
      <c r="B83" t="str">
        <f t="shared" si="33"/>
        <v>GEO_ELC</v>
      </c>
      <c r="C83">
        <f t="shared" si="34"/>
        <v>2045</v>
      </c>
      <c r="D83" t="str">
        <f t="shared" si="35"/>
        <v>hi_ren</v>
      </c>
      <c r="E83" t="str">
        <f t="shared" si="36"/>
        <v>CH0</v>
      </c>
      <c r="F83" s="26">
        <f t="shared" si="37"/>
        <v>53.272450532724498</v>
      </c>
      <c r="H83">
        <f t="shared" si="38"/>
        <v>3</v>
      </c>
      <c r="I83">
        <f t="shared" si="39"/>
        <v>7</v>
      </c>
      <c r="J83">
        <f t="shared" si="40"/>
        <v>2</v>
      </c>
      <c r="K83">
        <f t="shared" si="41"/>
        <v>1</v>
      </c>
      <c r="M83" t="s">
        <v>14</v>
      </c>
      <c r="N83" t="s">
        <v>31</v>
      </c>
      <c r="O83" t="s">
        <v>65</v>
      </c>
      <c r="P83" s="26">
        <f t="shared" si="30"/>
        <v>0</v>
      </c>
      <c r="Q83" s="26">
        <f>INDEX(CH!$C$1:$K$19,MATCH($O83,CH!$B$1:$B$19,0),MATCH(Q$5,CH!$C$1:$K$1,0))</f>
        <v>0</v>
      </c>
      <c r="R83" s="26">
        <f>INDEX(CH!$C$1:$K$19,MATCH($O83,CH!$B$1:$B$19,0),MATCH(R$5,CH!$C$1:$K$1,0))</f>
        <v>12.9795791896249</v>
      </c>
      <c r="S83" s="26">
        <f>INDEX(CH!$C$1:$K$19,MATCH($O83,CH!$B$1:$B$19,0),MATCH(S$5,CH!$C$1:$K$1,0))</f>
        <v>37.640779649912098</v>
      </c>
      <c r="T83" s="26">
        <f>INDEX(CH!$C$1:$K$19,MATCH($O83,CH!$B$1:$B$19,0),MATCH(T$5,CH!$C$1:$K$1,0))</f>
        <v>88.261138489448996</v>
      </c>
      <c r="U83" s="26">
        <f>INDEX(CH!$C$1:$K$19,MATCH($O83,CH!$B$1:$B$19,0),MATCH(U$5,CH!$C$1:$K$1,0))</f>
        <v>172.628403222011</v>
      </c>
      <c r="V83" s="26">
        <f>INDEX(CH!$C$1:$K$19,MATCH($O83,CH!$B$1:$B$19,0),MATCH(V$5,CH!$C$1:$K$1,0))</f>
        <v>299.82827928033402</v>
      </c>
      <c r="W83" s="26">
        <f>INDEX(CH!$C$1:$K$19,MATCH($O83,CH!$B$1:$B$19,0),MATCH(W$5,CH!$C$1:$K$1,0))</f>
        <v>438.70977660931999</v>
      </c>
      <c r="X83" s="26">
        <f>INDEX(CH!$C$1:$K$19,MATCH($O83,CH!$B$1:$B$19,0),MATCH(X$5,CH!$C$1:$K$1,0))</f>
        <v>556.82394723490597</v>
      </c>
      <c r="Z83" t="str">
        <f t="shared" si="31"/>
        <v>CH0.GEO_ELC</v>
      </c>
      <c r="AA83" s="29" t="e">
        <f t="shared" si="32"/>
        <v>#DIV/0!</v>
      </c>
      <c r="AB83" s="29"/>
    </row>
    <row r="84" spans="2:28">
      <c r="B84" t="str">
        <f t="shared" si="33"/>
        <v>GAS_NEW</v>
      </c>
      <c r="C84">
        <f t="shared" si="34"/>
        <v>2045</v>
      </c>
      <c r="D84" t="str">
        <f t="shared" si="35"/>
        <v>hi_ren</v>
      </c>
      <c r="E84" t="str">
        <f t="shared" si="36"/>
        <v>CH0</v>
      </c>
      <c r="F84" s="26">
        <f t="shared" si="37"/>
        <v>4002.2111663902751</v>
      </c>
      <c r="H84">
        <f t="shared" si="38"/>
        <v>4</v>
      </c>
      <c r="I84">
        <f t="shared" si="39"/>
        <v>7</v>
      </c>
      <c r="J84">
        <f t="shared" si="40"/>
        <v>2</v>
      </c>
      <c r="K84">
        <f t="shared" si="41"/>
        <v>1</v>
      </c>
      <c r="M84" t="s">
        <v>14</v>
      </c>
      <c r="N84" t="s">
        <v>31</v>
      </c>
      <c r="O84" t="s">
        <v>115</v>
      </c>
      <c r="P84" s="26">
        <f t="shared" si="30"/>
        <v>0</v>
      </c>
      <c r="Q84" s="26">
        <f>INDEX(CH!$C$1:$K$19,MATCH($O84,CH!$B$1:$B$19,0),MATCH(Q$5,CH!$C$1:$K$1,0))</f>
        <v>0</v>
      </c>
      <c r="R84" s="26">
        <f>INDEX(CH!$C$1:$K$19,MATCH($O84,CH!$B$1:$B$19,0),MATCH(R$5,CH!$C$1:$K$1,0))</f>
        <v>0</v>
      </c>
      <c r="S84" s="26">
        <f>INDEX(CH!$C$1:$K$19,MATCH($O84,CH!$B$1:$B$19,0),MATCH(S$5,CH!$C$1:$K$1,0))</f>
        <v>0</v>
      </c>
      <c r="T84" s="26">
        <f>INDEX(CH!$C$1:$K$19,MATCH($O84,CH!$B$1:$B$19,0),MATCH(T$5,CH!$C$1:$K$1,0))</f>
        <v>0</v>
      </c>
      <c r="U84" s="26">
        <f>INDEX(CH!$C$1:$K$19,MATCH($O84,CH!$B$1:$B$19,0),MATCH(U$5,CH!$C$1:$K$1,0))</f>
        <v>0</v>
      </c>
      <c r="V84" s="26">
        <f>INDEX(CH!$C$1:$K$19,MATCH($O84,CH!$B$1:$B$19,0),MATCH(V$5,CH!$C$1:$K$1,0))</f>
        <v>0</v>
      </c>
      <c r="W84" s="26">
        <f>INDEX(CH!$C$1:$K$19,MATCH($O84,CH!$B$1:$B$19,0),MATCH(W$5,CH!$C$1:$K$1,0))</f>
        <v>0</v>
      </c>
      <c r="X84" s="26">
        <f>INDEX(CH!$C$1:$K$19,MATCH($O84,CH!$B$1:$B$19,0),MATCH(X$5,CH!$C$1:$K$1,0))</f>
        <v>0</v>
      </c>
      <c r="Z84" t="str">
        <f t="shared" si="31"/>
        <v>CH0.WIN_OFF</v>
      </c>
      <c r="AA84" s="29" t="e">
        <f t="shared" si="32"/>
        <v>#DIV/0!</v>
      </c>
      <c r="AB84" s="29"/>
    </row>
    <row r="85" spans="2:28">
      <c r="B85" t="str">
        <f t="shared" si="33"/>
        <v>BAL_ELC</v>
      </c>
      <c r="C85">
        <f t="shared" si="34"/>
        <v>2045</v>
      </c>
      <c r="D85" t="str">
        <f t="shared" si="35"/>
        <v>hi_ren</v>
      </c>
      <c r="E85" t="str">
        <f t="shared" si="36"/>
        <v>CH0</v>
      </c>
      <c r="F85" s="26">
        <f t="shared" si="37"/>
        <v>326.58968684055401</v>
      </c>
      <c r="H85">
        <f t="shared" si="38"/>
        <v>5</v>
      </c>
      <c r="I85">
        <f t="shared" si="39"/>
        <v>7</v>
      </c>
      <c r="J85">
        <f t="shared" si="40"/>
        <v>2</v>
      </c>
      <c r="K85">
        <f t="shared" si="41"/>
        <v>1</v>
      </c>
      <c r="AA85" s="29"/>
      <c r="AB85" s="29"/>
    </row>
    <row r="86" spans="2:28">
      <c r="B86" t="str">
        <f t="shared" si="33"/>
        <v>SOL_PHO</v>
      </c>
      <c r="C86">
        <f t="shared" si="34"/>
        <v>2050</v>
      </c>
      <c r="D86" t="str">
        <f t="shared" si="35"/>
        <v>hi_ren</v>
      </c>
      <c r="E86" t="str">
        <f t="shared" si="36"/>
        <v>CH0</v>
      </c>
      <c r="F86" s="26">
        <f t="shared" si="37"/>
        <v>7357.1963703008296</v>
      </c>
      <c r="H86">
        <f t="shared" si="38"/>
        <v>1</v>
      </c>
      <c r="I86">
        <f t="shared" si="39"/>
        <v>8</v>
      </c>
      <c r="J86">
        <f t="shared" si="40"/>
        <v>2</v>
      </c>
      <c r="K86">
        <f t="shared" si="41"/>
        <v>1</v>
      </c>
      <c r="AA86" s="29"/>
      <c r="AB86" s="29"/>
    </row>
    <row r="87" spans="2:28">
      <c r="B87" t="str">
        <f t="shared" si="33"/>
        <v>WIN_ONS</v>
      </c>
      <c r="C87">
        <f t="shared" si="34"/>
        <v>2050</v>
      </c>
      <c r="D87" t="str">
        <f t="shared" si="35"/>
        <v>hi_ren</v>
      </c>
      <c r="E87" t="str">
        <f t="shared" si="36"/>
        <v>CH0</v>
      </c>
      <c r="F87" s="26">
        <f t="shared" si="37"/>
        <v>772.57184404253496</v>
      </c>
      <c r="H87">
        <f t="shared" si="38"/>
        <v>2</v>
      </c>
      <c r="I87">
        <f t="shared" si="39"/>
        <v>8</v>
      </c>
      <c r="J87">
        <f t="shared" si="40"/>
        <v>2</v>
      </c>
      <c r="K87">
        <f t="shared" si="41"/>
        <v>1</v>
      </c>
      <c r="M87" t="s">
        <v>14</v>
      </c>
      <c r="N87" t="s">
        <v>125</v>
      </c>
      <c r="O87" t="s">
        <v>105</v>
      </c>
      <c r="P87" s="26">
        <f>SUMIFS($AH$8:$AH$73,$AD$8:$AD$73,O87,$AF$8:$AF$73,M87)</f>
        <v>1390.1</v>
      </c>
      <c r="Q87" s="26">
        <f>INDEX(CH!$C$1:$K$37,MATCH($Z87,CH!$M$1:$M$37,0),MATCH(Q$5,CH!$C$1:$K$1,0))</f>
        <v>1390.1</v>
      </c>
      <c r="R87" s="26">
        <f>INDEX(CH!$C$1:$K$37,MATCH($Z87,CH!$M$1:$M$37,0),MATCH(R$5,CH!$C$1:$K$1,0))</f>
        <v>1525.95333242366</v>
      </c>
      <c r="S87" s="26">
        <f>INDEX(CH!$C$1:$K$37,MATCH($Z87,CH!$M$1:$M$37,0),MATCH(S$5,CH!$C$1:$K$1,0))</f>
        <v>1745.40871556958</v>
      </c>
      <c r="T87" s="26">
        <f>INDEX(CH!$C$1:$K$37,MATCH($Z87,CH!$M$1:$M$37,0),MATCH(T$5,CH!$C$1:$K$1,0))</f>
        <v>2173.8692255211199</v>
      </c>
      <c r="U87" s="26">
        <f>INDEX(CH!$C$1:$K$37,MATCH($Z87,CH!$M$1:$M$37,0),MATCH(U$5,CH!$C$1:$K$1,0))</f>
        <v>3804.1092146050701</v>
      </c>
      <c r="V87" s="26">
        <f>INDEX(CH!$C$1:$K$37,MATCH($Z87,CH!$M$1:$M$37,0),MATCH(V$5,CH!$C$1:$K$1,0))</f>
        <v>4807.3338232721098</v>
      </c>
      <c r="W87" s="26">
        <f>INDEX(CH!$C$1:$K$37,MATCH($Z87,CH!$M$1:$M$37,0),MATCH(W$5,CH!$C$1:$K$1,0))</f>
        <v>6113.61586580732</v>
      </c>
      <c r="X87" s="26">
        <f>INDEX(CH!$C$1:$K$37,MATCH($Z87,CH!$M$1:$M$37,0),MATCH(X$5,CH!$C$1:$K$1,0))</f>
        <v>7357.1963703008296</v>
      </c>
      <c r="Y87" t="s">
        <v>142</v>
      </c>
      <c r="Z87" t="str">
        <f>O87&amp;"."&amp;Y87</f>
        <v>SOL_PHO.POM C</v>
      </c>
      <c r="AA87" s="29">
        <f>(Q87-P87)/P87</f>
        <v>0</v>
      </c>
      <c r="AB87" t="str">
        <f>O87&amp;"."&amp;N87</f>
        <v>SOL_PHO.hi_ren</v>
      </c>
    </row>
    <row r="88" spans="2:28">
      <c r="B88" t="str">
        <f t="shared" si="33"/>
        <v>GEO_ELC</v>
      </c>
      <c r="C88">
        <f t="shared" si="34"/>
        <v>2050</v>
      </c>
      <c r="D88" t="str">
        <f t="shared" si="35"/>
        <v>hi_ren</v>
      </c>
      <c r="E88" t="str">
        <f t="shared" si="36"/>
        <v>CH0</v>
      </c>
      <c r="F88" s="26">
        <f t="shared" si="37"/>
        <v>53.272450532724498</v>
      </c>
      <c r="H88">
        <f t="shared" si="38"/>
        <v>3</v>
      </c>
      <c r="I88">
        <f t="shared" si="39"/>
        <v>8</v>
      </c>
      <c r="J88">
        <f t="shared" si="40"/>
        <v>2</v>
      </c>
      <c r="K88">
        <f t="shared" si="41"/>
        <v>1</v>
      </c>
      <c r="M88" t="s">
        <v>14</v>
      </c>
      <c r="N88" t="s">
        <v>125</v>
      </c>
      <c r="O88" t="s">
        <v>120</v>
      </c>
      <c r="P88" s="26">
        <f>SUMIFS($AH$8:$AH$73,$AD$8:$AD$73,O88,$AF$8:$AF$73,M88)</f>
        <v>60.287999999999997</v>
      </c>
      <c r="Q88" s="26">
        <f>INDEX(CH!$C$1:$K$37,MATCH($Z88,CH!$M$1:$M$37,0),MATCH(Q$5,CH!$C$1:$K$1,0))</f>
        <v>60.287999999999997</v>
      </c>
      <c r="R88" s="26">
        <f>INDEX(CH!$C$1:$K$37,MATCH($Z88,CH!$M$1:$M$37,0),MATCH(R$5,CH!$C$1:$K$1,0))</f>
        <v>87.268448637974799</v>
      </c>
      <c r="S88" s="26">
        <f>INDEX(CH!$C$1:$K$37,MATCH($Z88,CH!$M$1:$M$37,0),MATCH(S$5,CH!$C$1:$K$1,0))</f>
        <v>146.625435641519</v>
      </c>
      <c r="T88" s="26">
        <f>INDEX(CH!$C$1:$K$37,MATCH($Z88,CH!$M$1:$M$37,0),MATCH(T$5,CH!$C$1:$K$1,0))</f>
        <v>319.30030692455801</v>
      </c>
      <c r="U88" s="26">
        <f>INDEX(CH!$C$1:$K$37,MATCH($Z88,CH!$M$1:$M$37,0),MATCH(U$5,CH!$C$1:$K$1,0))</f>
        <v>427.222101476457</v>
      </c>
      <c r="V88" s="26">
        <f>INDEX(CH!$C$1:$K$37,MATCH($Z88,CH!$M$1:$M$37,0),MATCH(V$5,CH!$C$1:$K$1,0))</f>
        <v>562.12434466633101</v>
      </c>
      <c r="W88" s="26">
        <f>INDEX(CH!$C$1:$K$37,MATCH($Z88,CH!$M$1:$M$37,0),MATCH(W$5,CH!$C$1:$K$1,0))</f>
        <v>686.234408401015</v>
      </c>
      <c r="X88" s="26">
        <f>INDEX(CH!$C$1:$K$37,MATCH($Z88,CH!$M$1:$M$37,0),MATCH(X$5,CH!$C$1:$K$1,0))</f>
        <v>772.57184404253496</v>
      </c>
      <c r="Y88" t="s">
        <v>142</v>
      </c>
      <c r="Z88" t="str">
        <f>O88&amp;"."&amp;Y88</f>
        <v>WIN_ONS.POM C</v>
      </c>
      <c r="AA88" s="29">
        <f>(Q88-P88)/P88</f>
        <v>0</v>
      </c>
      <c r="AB88" t="str">
        <f>O88&amp;"."&amp;N88</f>
        <v>WIN_ONS.hi_ren</v>
      </c>
    </row>
    <row r="89" spans="2:28">
      <c r="B89" t="str">
        <f t="shared" si="33"/>
        <v>GAS_NEW</v>
      </c>
      <c r="C89">
        <f t="shared" si="34"/>
        <v>2050</v>
      </c>
      <c r="D89" t="str">
        <f t="shared" si="35"/>
        <v>hi_ren</v>
      </c>
      <c r="E89" t="str">
        <f t="shared" si="36"/>
        <v>CH0</v>
      </c>
      <c r="F89" s="26">
        <f t="shared" si="37"/>
        <v>3979.9613045881661</v>
      </c>
      <c r="H89">
        <f t="shared" si="38"/>
        <v>4</v>
      </c>
      <c r="I89">
        <f t="shared" si="39"/>
        <v>8</v>
      </c>
      <c r="J89">
        <f t="shared" si="40"/>
        <v>2</v>
      </c>
      <c r="K89">
        <f t="shared" si="41"/>
        <v>1</v>
      </c>
      <c r="M89" t="s">
        <v>14</v>
      </c>
      <c r="N89" t="s">
        <v>125</v>
      </c>
      <c r="O89" t="s">
        <v>65</v>
      </c>
      <c r="P89" s="26">
        <f>SUMIFS($AH$8:$AH$73,$AD$8:$AD$73,O89,$AF$8:$AF$73,M89)</f>
        <v>0</v>
      </c>
      <c r="Q89" s="26">
        <f>INDEX(CH!$C$1:$K$37,MATCH($Z89,CH!$M$1:$M$37,0),MATCH(Q$5,CH!$C$1:$K$1,0))</f>
        <v>0</v>
      </c>
      <c r="R89" s="26">
        <f>INDEX(CH!$C$1:$K$37,MATCH($Z89,CH!$M$1:$M$37,0),MATCH(R$5,CH!$C$1:$K$1,0))</f>
        <v>9.5617218904890091</v>
      </c>
      <c r="S89" s="26">
        <f>INDEX(CH!$C$1:$K$37,MATCH($Z89,CH!$M$1:$M$37,0),MATCH(S$5,CH!$C$1:$K$1,0))</f>
        <v>23.221324591187599</v>
      </c>
      <c r="T89" s="26">
        <f>INDEX(CH!$C$1:$K$37,MATCH($Z89,CH!$M$1:$M$37,0),MATCH(T$5,CH!$C$1:$K$1,0))</f>
        <v>40.978808102095797</v>
      </c>
      <c r="U89" s="26">
        <f>INDEX(CH!$C$1:$K$37,MATCH($Z89,CH!$M$1:$M$37,0),MATCH(U$5,CH!$C$1:$K$1,0))</f>
        <v>49.174569722514903</v>
      </c>
      <c r="V89" s="26">
        <f>INDEX(CH!$C$1:$K$37,MATCH($Z89,CH!$M$1:$M$37,0),MATCH(V$5,CH!$C$1:$K$1,0))</f>
        <v>49.174569722514903</v>
      </c>
      <c r="W89" s="26">
        <f>INDEX(CH!$C$1:$K$37,MATCH($Z89,CH!$M$1:$M$37,0),MATCH(W$5,CH!$C$1:$K$1,0))</f>
        <v>53.272450532724498</v>
      </c>
      <c r="X89" s="26">
        <f>INDEX(CH!$C$1:$K$37,MATCH($Z89,CH!$M$1:$M$37,0),MATCH(X$5,CH!$C$1:$K$1,0))</f>
        <v>53.272450532724498</v>
      </c>
      <c r="Y89" t="s">
        <v>142</v>
      </c>
      <c r="Z89" t="str">
        <f>O89&amp;"."&amp;Y89</f>
        <v>GEO_ELC.POM C</v>
      </c>
      <c r="AA89" s="29" t="e">
        <f>(Q89-P89)/P89</f>
        <v>#DIV/0!</v>
      </c>
      <c r="AB89" t="str">
        <f>O89&amp;"."&amp;N89</f>
        <v>GEO_ELC.hi_ren</v>
      </c>
    </row>
    <row r="90" spans="2:28">
      <c r="B90" t="str">
        <f t="shared" si="33"/>
        <v>BAL_ELC</v>
      </c>
      <c r="C90">
        <f t="shared" si="34"/>
        <v>2050</v>
      </c>
      <c r="D90" t="str">
        <f t="shared" si="35"/>
        <v>hi_ren</v>
      </c>
      <c r="E90" t="str">
        <f t="shared" si="36"/>
        <v>CH0</v>
      </c>
      <c r="F90" s="26">
        <f t="shared" si="37"/>
        <v>326.58968684055401</v>
      </c>
      <c r="H90">
        <f t="shared" si="38"/>
        <v>5</v>
      </c>
      <c r="I90">
        <f t="shared" si="39"/>
        <v>8</v>
      </c>
      <c r="J90">
        <f t="shared" si="40"/>
        <v>2</v>
      </c>
      <c r="K90">
        <f t="shared" si="41"/>
        <v>1</v>
      </c>
      <c r="M90" t="s">
        <v>14</v>
      </c>
      <c r="N90" t="s">
        <v>125</v>
      </c>
      <c r="O90" t="s">
        <v>441</v>
      </c>
      <c r="P90" s="26">
        <f>SUMIFS($AH$8:$AH$73,$AD$8:$AD$73,O90,$AF$8:$AF$73,M90)</f>
        <v>0</v>
      </c>
      <c r="Q90" s="26">
        <f>INDEX(CH!$C$1:$K$37,MATCH($Z90,CH!$M$1:$M$37,0),MATCH(Q$5,CH!$C$1:$K$1,0))</f>
        <v>154.919845218353</v>
      </c>
      <c r="R90" s="26">
        <f>INDEX(CH!$C$1:$K$37,MATCH($Z90,CH!$M$1:$M$37,0),MATCH(R$5,CH!$C$1:$K$1,0))</f>
        <v>398.00995024875601</v>
      </c>
      <c r="S90" s="26">
        <f>INDEX(CH!$C$1:$K$37,MATCH($Z90,CH!$M$1:$M$37,0),MATCH(S$5,CH!$C$1:$K$1,0))</f>
        <v>1614.2896627971231</v>
      </c>
      <c r="T90" s="26">
        <f>INDEX(CH!$C$1:$K$37,MATCH($Z90,CH!$M$1:$M$37,0),MATCH(T$5,CH!$C$1:$K$1,0))</f>
        <v>2211.3045881702569</v>
      </c>
      <c r="U90" s="26">
        <f>INDEX(CH!$C$1:$K$37,MATCH($Z90,CH!$M$1:$M$37,0),MATCH(U$5,CH!$C$1:$K$1,0))</f>
        <v>3980.2377003869578</v>
      </c>
      <c r="V90" s="26">
        <f>INDEX(CH!$C$1:$K$37,MATCH($Z90,CH!$M$1:$M$37,0),MATCH(V$5,CH!$C$1:$K$1,0))</f>
        <v>4002.349364289666</v>
      </c>
      <c r="W90" s="26">
        <f>INDEX(CH!$C$1:$K$37,MATCH($Z90,CH!$M$1:$M$37,0),MATCH(W$5,CH!$C$1:$K$1,0))</f>
        <v>4002.2111663902751</v>
      </c>
      <c r="X90" s="26">
        <f>INDEX(CH!$C$1:$K$37,MATCH($Z90,CH!$M$1:$M$37,0),MATCH(X$5,CH!$C$1:$K$1,0))</f>
        <v>3979.9613045881661</v>
      </c>
      <c r="Y90" t="s">
        <v>142</v>
      </c>
      <c r="Z90" t="str">
        <f>O90&amp;"."&amp;Y90</f>
        <v>GAS_NEW.POM C</v>
      </c>
      <c r="AA90" s="29" t="e">
        <f>(Q90-P90)/P90</f>
        <v>#DIV/0!</v>
      </c>
      <c r="AB90" t="str">
        <f>O90&amp;"."&amp;N90</f>
        <v>GAS_NEW.hi_ren</v>
      </c>
    </row>
    <row r="91" spans="2:28">
      <c r="F91" s="26"/>
      <c r="M91" t="s">
        <v>14</v>
      </c>
      <c r="N91" t="s">
        <v>125</v>
      </c>
      <c r="O91" t="s">
        <v>55</v>
      </c>
      <c r="P91" s="26">
        <f>SUMIFS($AH$8:$AH$73,$AD$8:$AD$73,O91,$AF$8:$AF$73,M91)</f>
        <v>46.2</v>
      </c>
      <c r="Q91" s="26">
        <f>INDEX(CH!$C$1:$K$37,MATCH($Z91,CH!$M$1:$M$37,0),MATCH(Q$5,CH!$C$1:$K$1,0))</f>
        <v>46.2</v>
      </c>
      <c r="R91" s="26">
        <f>INDEX(CH!$C$1:$K$37,MATCH($Z91,CH!$M$1:$M$37,0),MATCH(R$5,CH!$C$1:$K$1,0))</f>
        <v>126.737463241436</v>
      </c>
      <c r="S91" s="26">
        <f>INDEX(CH!$C$1:$K$37,MATCH($Z91,CH!$M$1:$M$37,0),MATCH(S$5,CH!$C$1:$K$1,0))</f>
        <v>225.17214053652401</v>
      </c>
      <c r="T91" s="26">
        <f>INDEX(CH!$C$1:$K$37,MATCH($Z91,CH!$M$1:$M$37,0),MATCH(T$5,CH!$C$1:$K$1,0))</f>
        <v>305.70960377796001</v>
      </c>
      <c r="U91" s="26">
        <f>INDEX(CH!$C$1:$K$37,MATCH($Z91,CH!$M$1:$M$37,0),MATCH(U$5,CH!$C$1:$K$1,0))</f>
        <v>308.69247278690199</v>
      </c>
      <c r="V91" s="26">
        <f>INDEX(CH!$C$1:$K$37,MATCH($Z91,CH!$M$1:$M$37,0),MATCH(V$5,CH!$C$1:$K$1,0))</f>
        <v>317.64107981372803</v>
      </c>
      <c r="W91" s="26">
        <f>INDEX(CH!$C$1:$K$37,MATCH($Z91,CH!$M$1:$M$37,0),MATCH(W$5,CH!$C$1:$K$1,0))</f>
        <v>326.58968684055401</v>
      </c>
      <c r="X91" s="26">
        <f>INDEX(CH!$C$1:$K$37,MATCH($Z91,CH!$M$1:$M$37,0),MATCH(X$5,CH!$C$1:$K$1,0))</f>
        <v>326.58968684055401</v>
      </c>
      <c r="Y91" t="s">
        <v>142</v>
      </c>
      <c r="Z91" t="str">
        <f>O91&amp;"."&amp;Y91</f>
        <v>BAL_ELC.POM C</v>
      </c>
      <c r="AA91" s="29">
        <f>(Q91-P91)/P91</f>
        <v>0</v>
      </c>
      <c r="AB91" t="str">
        <f>O91&amp;"."&amp;N91</f>
        <v>BAL_ELC.hi_ren</v>
      </c>
    </row>
    <row r="92" spans="2:28">
      <c r="F92" s="26"/>
      <c r="P92" s="26"/>
      <c r="AA92" s="29"/>
      <c r="AB92" s="29"/>
    </row>
    <row r="93" spans="2:28">
      <c r="F93" s="26"/>
      <c r="M93" t="s">
        <v>14</v>
      </c>
      <c r="N93" t="s">
        <v>124</v>
      </c>
      <c r="O93" t="s">
        <v>105</v>
      </c>
      <c r="P93" s="26">
        <f>SUMIFS($AH$8:$AH$73,$AD$8:$AD$73,O93,$AF$8:$AF$73,M93)</f>
        <v>1390.1</v>
      </c>
      <c r="Q93" s="26">
        <f>INDEX(CH!$C$1:$K$37,MATCH($Z93,CH!$M$1:$M$37,0),MATCH(Q$5,CH!$C$1:$K$1,0))</f>
        <v>1390.1</v>
      </c>
      <c r="R93" s="26">
        <f>INDEX(CH!$C$1:$K$37,MATCH($Z93,CH!$M$1:$M$37,0),MATCH(R$5,CH!$C$1:$K$1,0))</f>
        <v>1665.2918506448</v>
      </c>
      <c r="S93" s="26">
        <f>INDEX(CH!$C$1:$K$37,MATCH($Z93,CH!$M$1:$M$37,0),MATCH(S$5,CH!$C$1:$K$1,0))</f>
        <v>2192.7428977140098</v>
      </c>
      <c r="T93" s="26">
        <f>INDEX(CH!$C$1:$K$37,MATCH($Z93,CH!$M$1:$M$37,0),MATCH(T$5,CH!$C$1:$K$1,0))</f>
        <v>3259.1113189626299</v>
      </c>
      <c r="U93" s="26">
        <f>INDEX(CH!$C$1:$K$37,MATCH($Z93,CH!$M$1:$M$37,0),MATCH(U$5,CH!$C$1:$K$1,0))</f>
        <v>6160.0920778432701</v>
      </c>
      <c r="V93" s="26">
        <f>INDEX(CH!$C$1:$K$37,MATCH($Z93,CH!$M$1:$M$37,0),MATCH(V$5,CH!$C$1:$K$1,0))</f>
        <v>8797.3473131893006</v>
      </c>
      <c r="W93" s="26">
        <f>INDEX(CH!$C$1:$K$37,MATCH($Z93,CH!$M$1:$M$37,0),MATCH(W$5,CH!$C$1:$K$1,0))</f>
        <v>11652.462763629101</v>
      </c>
      <c r="X93" s="26">
        <f>INDEX(CH!$C$1:$K$37,MATCH($Z93,CH!$M$1:$M$37,0),MATCH(X$5,CH!$C$1:$K$1,0))</f>
        <v>13819.598587457</v>
      </c>
      <c r="Y93" t="s">
        <v>143</v>
      </c>
      <c r="Z93" t="str">
        <f>O93&amp;"."&amp;Y93</f>
        <v>SOL_PHO.POM E</v>
      </c>
      <c r="AA93" s="29">
        <f>(Q93-P93)/P93</f>
        <v>0</v>
      </c>
      <c r="AB93" t="str">
        <f>O93&amp;"."&amp;N93</f>
        <v>SOL_PHO.hi_gas</v>
      </c>
    </row>
    <row r="94" spans="2:28">
      <c r="F94" s="26"/>
      <c r="M94" t="s">
        <v>14</v>
      </c>
      <c r="N94" t="s">
        <v>124</v>
      </c>
      <c r="O94" t="s">
        <v>120</v>
      </c>
      <c r="P94" s="26">
        <f>SUMIFS($AH$8:$AH$73,$AD$8:$AD$73,O94,$AF$8:$AF$73,M94)</f>
        <v>60.287999999999997</v>
      </c>
      <c r="Q94" s="26">
        <f>INDEX(CH!$C$1:$K$37,MATCH($Z94,CH!$M$1:$M$37,0),MATCH(Q$5,CH!$C$1:$K$1,0))</f>
        <v>60.287999999999997</v>
      </c>
      <c r="R94" s="26">
        <f>INDEX(CH!$C$1:$K$37,MATCH($Z94,CH!$M$1:$M$37,0),MATCH(R$5,CH!$C$1:$K$1,0))</f>
        <v>240.568875087078</v>
      </c>
      <c r="S94" s="26">
        <f>INDEX(CH!$C$1:$K$37,MATCH($Z94,CH!$M$1:$M$37,0),MATCH(S$5,CH!$C$1:$K$1,0))</f>
        <v>432.48077437332302</v>
      </c>
      <c r="T94" s="26">
        <f>INDEX(CH!$C$1:$K$37,MATCH($Z94,CH!$M$1:$M$37,0),MATCH(T$5,CH!$C$1:$K$1,0))</f>
        <v>705.80984305373204</v>
      </c>
      <c r="U94" s="26">
        <f>INDEX(CH!$C$1:$K$37,MATCH($Z94,CH!$M$1:$M$37,0),MATCH(U$5,CH!$C$1:$K$1,0))</f>
        <v>880.27520604122697</v>
      </c>
      <c r="V94" s="26">
        <f>INDEX(CH!$C$1:$K$37,MATCH($Z94,CH!$M$1:$M$37,0),MATCH(V$5,CH!$C$1:$K$1,0))</f>
        <v>1362.96271030663</v>
      </c>
      <c r="W94" s="26">
        <f>INDEX(CH!$C$1:$K$37,MATCH($Z94,CH!$M$1:$M$37,0),MATCH(W$5,CH!$C$1:$K$1,0))</f>
        <v>1851.4657266716199</v>
      </c>
      <c r="X94" s="26">
        <f>INDEX(CH!$C$1:$K$37,MATCH($Z94,CH!$M$1:$M$37,0),MATCH(X$5,CH!$C$1:$K$1,0))</f>
        <v>2334.15323093702</v>
      </c>
      <c r="Y94" t="s">
        <v>143</v>
      </c>
      <c r="Z94" t="str">
        <f>O94&amp;"."&amp;Y94</f>
        <v>WIN_ONS.POM E</v>
      </c>
      <c r="AA94" s="29">
        <f>(Q94-P94)/P94</f>
        <v>0</v>
      </c>
      <c r="AB94" t="str">
        <f>O94&amp;"."&amp;N94</f>
        <v>WIN_ONS.hi_gas</v>
      </c>
    </row>
    <row r="95" spans="2:28">
      <c r="F95" s="26"/>
      <c r="M95" t="s">
        <v>14</v>
      </c>
      <c r="N95" t="s">
        <v>124</v>
      </c>
      <c r="O95" t="s">
        <v>65</v>
      </c>
      <c r="P95" s="26">
        <f>SUMIFS($AH$8:$AH$73,$AD$8:$AD$73,O95,$AF$8:$AF$73,M95)</f>
        <v>0</v>
      </c>
      <c r="Q95" s="26">
        <f>INDEX(CH!$C$1:$K$37,MATCH($Z95,CH!$M$1:$M$37,0),MATCH(Q$5,CH!$C$1:$K$1,0))</f>
        <v>0</v>
      </c>
      <c r="R95" s="26">
        <f>INDEX(CH!$C$1:$K$37,MATCH($Z95,CH!$M$1:$M$37,0),MATCH(R$5,CH!$C$1:$K$1,0))</f>
        <v>12.9795791896249</v>
      </c>
      <c r="S95" s="26">
        <f>INDEX(CH!$C$1:$K$37,MATCH($Z95,CH!$M$1:$M$37,0),MATCH(S$5,CH!$C$1:$K$1,0))</f>
        <v>37.640779649912098</v>
      </c>
      <c r="T95" s="26">
        <f>INDEX(CH!$C$1:$K$37,MATCH($Z95,CH!$M$1:$M$37,0),MATCH(T$5,CH!$C$1:$K$1,0))</f>
        <v>88.261138489448996</v>
      </c>
      <c r="U95" s="26">
        <f>INDEX(CH!$C$1:$K$37,MATCH($Z95,CH!$M$1:$M$37,0),MATCH(U$5,CH!$C$1:$K$1,0))</f>
        <v>172.628403222011</v>
      </c>
      <c r="V95" s="26">
        <f>INDEX(CH!$C$1:$K$37,MATCH($Z95,CH!$M$1:$M$37,0),MATCH(V$5,CH!$C$1:$K$1,0))</f>
        <v>299.82827928033402</v>
      </c>
      <c r="W95" s="26">
        <f>INDEX(CH!$C$1:$K$37,MATCH($Z95,CH!$M$1:$M$37,0),MATCH(W$5,CH!$C$1:$K$1,0))</f>
        <v>438.70977660931999</v>
      </c>
      <c r="X95" s="26">
        <f>INDEX(CH!$C$1:$K$37,MATCH($Z95,CH!$M$1:$M$37,0),MATCH(X$5,CH!$C$1:$K$1,0))</f>
        <v>556.82394723490597</v>
      </c>
      <c r="Y95" t="s">
        <v>143</v>
      </c>
      <c r="Z95" t="str">
        <f>O95&amp;"."&amp;Y95</f>
        <v>GEO_ELC.POM E</v>
      </c>
      <c r="AA95" s="29" t="e">
        <f>(Q95-P95)/P95</f>
        <v>#DIV/0!</v>
      </c>
      <c r="AB95" t="str">
        <f>O95&amp;"."&amp;N95</f>
        <v>GEO_ELC.hi_gas</v>
      </c>
    </row>
    <row r="96" spans="2:28">
      <c r="F96" s="26"/>
      <c r="M96" t="s">
        <v>14</v>
      </c>
      <c r="N96" t="s">
        <v>124</v>
      </c>
      <c r="O96" t="s">
        <v>441</v>
      </c>
      <c r="P96" s="26">
        <f>SUMIFS($AH$8:$AH$73,$AD$8:$AD$73,O96,$AF$8:$AF$73,M96)</f>
        <v>0</v>
      </c>
      <c r="Q96" s="26">
        <f>INDEX(CH!$C$1:$K$37,MATCH($Z96,CH!$M$1:$M$37,0),MATCH(Q$5,CH!$C$1:$K$1,0))</f>
        <v>154.96267625103701</v>
      </c>
      <c r="R96" s="26">
        <f>INDEX(CH!$C$1:$K$37,MATCH($Z96,CH!$M$1:$M$37,0),MATCH(R$5,CH!$C$1:$K$1,0))</f>
        <v>309.78711639480201</v>
      </c>
      <c r="S96" s="26">
        <f>INDEX(CH!$C$1:$K$37,MATCH($Z96,CH!$M$1:$M$37,0),MATCH(S$5,CH!$C$1:$K$1,0))</f>
        <v>486.59109759469197</v>
      </c>
      <c r="T96" s="26">
        <f>INDEX(CH!$C$1:$K$37,MATCH($Z96,CH!$M$1:$M$37,0),MATCH(T$5,CH!$C$1:$K$1,0))</f>
        <v>552.94442908487702</v>
      </c>
      <c r="U96" s="26">
        <f>INDEX(CH!$C$1:$K$37,MATCH($Z96,CH!$M$1:$M$37,0),MATCH(U$5,CH!$C$1:$K$1,0))</f>
        <v>552.94442908487702</v>
      </c>
      <c r="V96" s="26">
        <f>INDEX(CH!$C$1:$K$37,MATCH($Z96,CH!$M$1:$M$37,0),MATCH(V$5,CH!$C$1:$K$1,0))</f>
        <v>619.43599668233401</v>
      </c>
      <c r="W96" s="26">
        <f>INDEX(CH!$C$1:$K$37,MATCH($Z96,CH!$M$1:$M$37,0),MATCH(W$5,CH!$C$1:$K$1,0))</f>
        <v>707.76886922864298</v>
      </c>
      <c r="X96" s="26">
        <f>INDEX(CH!$C$1:$K$37,MATCH($Z96,CH!$M$1:$M$37,0),MATCH(X$5,CH!$C$1:$K$1,0))</f>
        <v>730.024882499309</v>
      </c>
      <c r="Y96" t="s">
        <v>143</v>
      </c>
      <c r="Z96" t="str">
        <f>O96&amp;"."&amp;Y96</f>
        <v>GAS_NEW.POM E</v>
      </c>
      <c r="AA96" s="29" t="e">
        <f>(Q96-P96)/P96</f>
        <v>#DIV/0!</v>
      </c>
      <c r="AB96" t="str">
        <f>O96&amp;"."&amp;N96</f>
        <v>GAS_NEW.hi_gas</v>
      </c>
    </row>
    <row r="97" spans="6:28">
      <c r="F97" s="26"/>
      <c r="M97" t="s">
        <v>14</v>
      </c>
      <c r="N97" t="s">
        <v>124</v>
      </c>
      <c r="O97" t="s">
        <v>55</v>
      </c>
      <c r="P97" s="26">
        <f>SUMIFS($AH$8:$AH$73,$AD$8:$AD$73,O97,$AF$8:$AF$73,M97)</f>
        <v>46.2</v>
      </c>
      <c r="Q97" s="26">
        <f>INDEX(CH!$C$1:$K$37,MATCH($Z97,CH!$M$1:$M$37,0),MATCH(Q$5,CH!$C$1:$K$1,0))</f>
        <v>46.2</v>
      </c>
      <c r="R97" s="26">
        <f>INDEX(CH!$C$1:$K$37,MATCH($Z97,CH!$M$1:$M$37,0),MATCH(R$5,CH!$C$1:$K$1,0))</f>
        <v>191.26334532998399</v>
      </c>
      <c r="S97" s="26">
        <f>INDEX(CH!$C$1:$K$37,MATCH($Z97,CH!$M$1:$M$37,0),MATCH(S$5,CH!$C$1:$K$1,0))</f>
        <v>407.58587783961002</v>
      </c>
      <c r="T97" s="26">
        <f>INDEX(CH!$C$1:$K$37,MATCH($Z97,CH!$M$1:$M$37,0),MATCH(T$5,CH!$C$1:$K$1,0))</f>
        <v>585.73384578871298</v>
      </c>
      <c r="U97" s="26">
        <f>INDEX(CH!$C$1:$K$37,MATCH($Z97,CH!$M$1:$M$37,0),MATCH(U$5,CH!$C$1:$K$1,0))</f>
        <v>639.17823617344402</v>
      </c>
      <c r="V97" s="26">
        <f>INDEX(CH!$C$1:$K$37,MATCH($Z97,CH!$M$1:$M$37,0),MATCH(V$5,CH!$C$1:$K$1,0))</f>
        <v>662.08297490975701</v>
      </c>
      <c r="W97" s="26">
        <f>INDEX(CH!$C$1:$K$37,MATCH($Z97,CH!$M$1:$M$37,0),MATCH(W$5,CH!$C$1:$K$1,0))</f>
        <v>672.26285879256295</v>
      </c>
      <c r="X97" s="26">
        <f>INDEX(CH!$C$1:$K$37,MATCH($Z97,CH!$M$1:$M$37,0),MATCH(X$5,CH!$C$1:$K$1,0))</f>
        <v>674.80782976326498</v>
      </c>
      <c r="Y97" t="s">
        <v>143</v>
      </c>
      <c r="Z97" t="str">
        <f>O97&amp;"."&amp;Y97</f>
        <v>BAL_ELC.POM E</v>
      </c>
      <c r="AA97" s="29">
        <f>(Q97-P97)/P97</f>
        <v>0</v>
      </c>
      <c r="AB97" t="str">
        <f>O97&amp;"."&amp;N97</f>
        <v>BAL_ELC.hi_gas</v>
      </c>
    </row>
    <row r="98" spans="6:28">
      <c r="P98" s="26"/>
    </row>
    <row r="99" spans="6:28">
      <c r="H99">
        <f>COUNTA(H100:H114)</f>
        <v>15</v>
      </c>
      <c r="I99">
        <f>COUNTA(I100:I114)</f>
        <v>8</v>
      </c>
      <c r="J99">
        <f>COUNTA(J100:J114)</f>
        <v>5</v>
      </c>
      <c r="K99">
        <f>COUNTA(K100:K114)</f>
        <v>1</v>
      </c>
      <c r="L99">
        <f>PRODUCT(H99:J99)</f>
        <v>600</v>
      </c>
      <c r="P99" s="26"/>
    </row>
    <row r="100" spans="6:28">
      <c r="H100" t="s">
        <v>95</v>
      </c>
      <c r="I100">
        <v>2015</v>
      </c>
      <c r="J100" t="s">
        <v>15</v>
      </c>
      <c r="K100" t="s">
        <v>31</v>
      </c>
      <c r="P100" s="26"/>
    </row>
    <row r="101" spans="6:28">
      <c r="H101" t="s">
        <v>105</v>
      </c>
      <c r="I101">
        <v>2020</v>
      </c>
      <c r="J101" t="s">
        <v>16</v>
      </c>
      <c r="P101" s="26"/>
    </row>
    <row r="102" spans="6:28">
      <c r="H102" t="s">
        <v>120</v>
      </c>
      <c r="I102">
        <v>2025</v>
      </c>
      <c r="J102" t="s">
        <v>17</v>
      </c>
    </row>
    <row r="103" spans="6:28">
      <c r="H103" t="s">
        <v>80</v>
      </c>
      <c r="I103">
        <v>2030</v>
      </c>
      <c r="J103" t="s">
        <v>12</v>
      </c>
    </row>
    <row r="104" spans="6:28">
      <c r="H104" t="s">
        <v>75</v>
      </c>
      <c r="I104">
        <v>2035</v>
      </c>
      <c r="J104" t="s">
        <v>14</v>
      </c>
    </row>
    <row r="105" spans="6:28">
      <c r="H105" t="s">
        <v>85</v>
      </c>
      <c r="I105">
        <v>2040</v>
      </c>
    </row>
    <row r="106" spans="6:28">
      <c r="H106" t="s">
        <v>60</v>
      </c>
      <c r="I106">
        <v>2045</v>
      </c>
    </row>
    <row r="107" spans="6:28">
      <c r="H107" t="s">
        <v>441</v>
      </c>
      <c r="I107">
        <v>2050</v>
      </c>
    </row>
    <row r="108" spans="6:28">
      <c r="H108" t="s">
        <v>100</v>
      </c>
    </row>
    <row r="109" spans="6:28">
      <c r="H109" t="s">
        <v>55</v>
      </c>
    </row>
    <row r="110" spans="6:28">
      <c r="H110" t="s">
        <v>110</v>
      </c>
    </row>
    <row r="111" spans="6:28">
      <c r="H111" t="s">
        <v>91</v>
      </c>
    </row>
    <row r="112" spans="6:28">
      <c r="H112" t="s">
        <v>70</v>
      </c>
    </row>
    <row r="113" spans="2:11">
      <c r="H113" t="s">
        <v>65</v>
      </c>
    </row>
    <row r="114" spans="2:11">
      <c r="H114" t="s">
        <v>115</v>
      </c>
    </row>
    <row r="116" spans="2:11">
      <c r="B116" t="str">
        <f t="shared" ref="B116:B179" si="42">INDEX(H$100:H$114,H116)</f>
        <v>NUC_ELC</v>
      </c>
      <c r="C116">
        <f t="shared" ref="C116:C179" si="43">INDEX(I$100:I$114,I116)</f>
        <v>2015</v>
      </c>
      <c r="D116" t="str">
        <f t="shared" ref="D116:D179" si="44">INDEX(K$100:K$114,K116)</f>
        <v>default</v>
      </c>
      <c r="E116" t="str">
        <f t="shared" ref="E116:E179" si="45">INDEX(J$100:J$114,J116)</f>
        <v>DE0</v>
      </c>
      <c r="F116" s="26">
        <f t="shared" ref="F116:F179" si="46">INDEX($P$6:$X$84,MATCH(E116&amp;"."&amp;B116,$Z$6:$Z$84,0),MATCH(C116,$P$5:$X$5,0))</f>
        <v>10800</v>
      </c>
      <c r="H116">
        <v>1</v>
      </c>
      <c r="I116">
        <v>1</v>
      </c>
      <c r="J116">
        <v>1</v>
      </c>
      <c r="K116">
        <v>1</v>
      </c>
    </row>
    <row r="117" spans="2:11">
      <c r="B117" t="str">
        <f t="shared" si="42"/>
        <v>SOL_PHO</v>
      </c>
      <c r="C117">
        <f t="shared" si="43"/>
        <v>2015</v>
      </c>
      <c r="D117" t="str">
        <f t="shared" si="44"/>
        <v>default</v>
      </c>
      <c r="E117" t="str">
        <f t="shared" si="45"/>
        <v>DE0</v>
      </c>
      <c r="F117" s="26">
        <f t="shared" si="46"/>
        <v>39756.639999999999</v>
      </c>
      <c r="H117">
        <f t="shared" ref="H117:H180" si="47">IF(H116=$H$99,1,H116+1)</f>
        <v>2</v>
      </c>
      <c r="I117">
        <f t="shared" ref="I117:I180" si="48">IF(H117=1,IF(I116=$I$99,1,I116+1),I116)</f>
        <v>1</v>
      </c>
      <c r="J117">
        <f t="shared" ref="J117:J180" si="49">IF(AND(I117=1,I116&gt;1),IF(J116=$J$99,1,J116+1),J116)</f>
        <v>1</v>
      </c>
      <c r="K117">
        <f t="shared" ref="K117:K180" si="50">IF(AND(J117=1,J116&gt;1),IF(K116=$K$99,1,K116+1),K116)</f>
        <v>1</v>
      </c>
    </row>
    <row r="118" spans="2:11">
      <c r="B118" t="str">
        <f t="shared" si="42"/>
        <v>WIN_ONS</v>
      </c>
      <c r="C118">
        <f t="shared" si="43"/>
        <v>2015</v>
      </c>
      <c r="D118" t="str">
        <f t="shared" si="44"/>
        <v>default</v>
      </c>
      <c r="E118" t="str">
        <f t="shared" si="45"/>
        <v>DE0</v>
      </c>
      <c r="F118" s="26">
        <f t="shared" si="46"/>
        <v>41282.593240556656</v>
      </c>
      <c r="H118">
        <f t="shared" si="47"/>
        <v>3</v>
      </c>
      <c r="I118">
        <f t="shared" si="48"/>
        <v>1</v>
      </c>
      <c r="J118">
        <f t="shared" si="49"/>
        <v>1</v>
      </c>
      <c r="K118">
        <f t="shared" si="50"/>
        <v>1</v>
      </c>
    </row>
    <row r="119" spans="2:11">
      <c r="B119" t="str">
        <f t="shared" si="42"/>
        <v>HYD_ROR</v>
      </c>
      <c r="C119">
        <f t="shared" si="43"/>
        <v>2015</v>
      </c>
      <c r="D119" t="str">
        <f t="shared" si="44"/>
        <v>default</v>
      </c>
      <c r="E119" t="str">
        <f t="shared" si="45"/>
        <v>DE0</v>
      </c>
      <c r="F119" s="26">
        <f t="shared" si="46"/>
        <v>3987.949198804241</v>
      </c>
      <c r="H119">
        <f t="shared" si="47"/>
        <v>4</v>
      </c>
      <c r="I119">
        <f t="shared" si="48"/>
        <v>1</v>
      </c>
      <c r="J119">
        <f t="shared" si="49"/>
        <v>1</v>
      </c>
      <c r="K119">
        <f t="shared" si="50"/>
        <v>1</v>
      </c>
    </row>
    <row r="120" spans="2:11">
      <c r="B120" t="str">
        <f t="shared" si="42"/>
        <v>HYD_RES</v>
      </c>
      <c r="C120">
        <f t="shared" si="43"/>
        <v>2015</v>
      </c>
      <c r="D120" t="str">
        <f t="shared" si="44"/>
        <v>default</v>
      </c>
      <c r="E120" t="str">
        <f t="shared" si="45"/>
        <v>DE0</v>
      </c>
      <c r="F120" s="26">
        <f t="shared" si="46"/>
        <v>1602.0508011957593</v>
      </c>
      <c r="H120">
        <f t="shared" si="47"/>
        <v>5</v>
      </c>
      <c r="I120">
        <f t="shared" si="48"/>
        <v>1</v>
      </c>
      <c r="J120">
        <f t="shared" si="49"/>
        <v>1</v>
      </c>
      <c r="K120">
        <f t="shared" si="50"/>
        <v>1</v>
      </c>
    </row>
    <row r="121" spans="2:11">
      <c r="B121" t="str">
        <f t="shared" si="42"/>
        <v>HYD_STO</v>
      </c>
      <c r="C121">
        <f t="shared" si="43"/>
        <v>2015</v>
      </c>
      <c r="D121" t="str">
        <f t="shared" si="44"/>
        <v>default</v>
      </c>
      <c r="E121" t="str">
        <f t="shared" si="45"/>
        <v>DE0</v>
      </c>
      <c r="F121" s="26">
        <f t="shared" si="46"/>
        <v>8149.2</v>
      </c>
      <c r="H121">
        <f t="shared" si="47"/>
        <v>6</v>
      </c>
      <c r="I121">
        <f t="shared" si="48"/>
        <v>1</v>
      </c>
      <c r="J121">
        <f t="shared" si="49"/>
        <v>1</v>
      </c>
      <c r="K121">
        <f t="shared" si="50"/>
        <v>1</v>
      </c>
    </row>
    <row r="122" spans="2:11">
      <c r="B122" t="str">
        <f t="shared" si="42"/>
        <v>GAS_LIN</v>
      </c>
      <c r="C122">
        <f t="shared" si="43"/>
        <v>2015</v>
      </c>
      <c r="D122" t="str">
        <f t="shared" si="44"/>
        <v>default</v>
      </c>
      <c r="E122" t="str">
        <f t="shared" si="45"/>
        <v>DE0</v>
      </c>
      <c r="F122" s="26">
        <f t="shared" si="46"/>
        <v>25177.76772</v>
      </c>
      <c r="H122">
        <f t="shared" si="47"/>
        <v>7</v>
      </c>
      <c r="I122">
        <f t="shared" si="48"/>
        <v>1</v>
      </c>
      <c r="J122">
        <f t="shared" si="49"/>
        <v>1</v>
      </c>
      <c r="K122">
        <f t="shared" si="50"/>
        <v>1</v>
      </c>
    </row>
    <row r="123" spans="2:11">
      <c r="B123" t="str">
        <f t="shared" si="42"/>
        <v>GAS_NEW</v>
      </c>
      <c r="C123">
        <f t="shared" si="43"/>
        <v>2015</v>
      </c>
      <c r="D123" t="str">
        <f t="shared" si="44"/>
        <v>default</v>
      </c>
      <c r="E123" t="str">
        <f t="shared" si="45"/>
        <v>DE0</v>
      </c>
      <c r="F123" s="26">
        <f t="shared" si="46"/>
        <v>0</v>
      </c>
      <c r="H123">
        <f t="shared" si="47"/>
        <v>8</v>
      </c>
      <c r="I123">
        <f t="shared" si="48"/>
        <v>1</v>
      </c>
      <c r="J123">
        <f t="shared" si="49"/>
        <v>1</v>
      </c>
      <c r="K123">
        <f t="shared" si="50"/>
        <v>1</v>
      </c>
    </row>
    <row r="124" spans="2:11">
      <c r="B124" t="str">
        <f t="shared" si="42"/>
        <v>OIL_LIN</v>
      </c>
      <c r="C124">
        <f t="shared" si="43"/>
        <v>2015</v>
      </c>
      <c r="D124" t="str">
        <f t="shared" si="44"/>
        <v>default</v>
      </c>
      <c r="E124" t="str">
        <f t="shared" si="45"/>
        <v>DE0</v>
      </c>
      <c r="F124" s="26">
        <f t="shared" si="46"/>
        <v>5028.3810199999998</v>
      </c>
      <c r="H124">
        <f t="shared" si="47"/>
        <v>9</v>
      </c>
      <c r="I124">
        <f t="shared" si="48"/>
        <v>1</v>
      </c>
      <c r="J124">
        <f t="shared" si="49"/>
        <v>1</v>
      </c>
      <c r="K124">
        <f t="shared" si="50"/>
        <v>1</v>
      </c>
    </row>
    <row r="125" spans="2:11">
      <c r="B125" t="str">
        <f t="shared" si="42"/>
        <v>BAL_ELC</v>
      </c>
      <c r="C125">
        <f t="shared" si="43"/>
        <v>2015</v>
      </c>
      <c r="D125" t="str">
        <f t="shared" si="44"/>
        <v>default</v>
      </c>
      <c r="E125" t="str">
        <f t="shared" si="45"/>
        <v>DE0</v>
      </c>
      <c r="F125" s="26">
        <f t="shared" si="46"/>
        <v>7467</v>
      </c>
      <c r="H125">
        <f t="shared" si="47"/>
        <v>10</v>
      </c>
      <c r="I125">
        <f t="shared" si="48"/>
        <v>1</v>
      </c>
      <c r="J125">
        <f t="shared" si="49"/>
        <v>1</v>
      </c>
      <c r="K125">
        <f t="shared" si="50"/>
        <v>1</v>
      </c>
    </row>
    <row r="126" spans="2:11">
      <c r="B126" t="str">
        <f t="shared" si="42"/>
        <v>WAS_ELC</v>
      </c>
      <c r="C126">
        <f t="shared" si="43"/>
        <v>2015</v>
      </c>
      <c r="D126" t="str">
        <f t="shared" si="44"/>
        <v>default</v>
      </c>
      <c r="E126" t="str">
        <f t="shared" si="45"/>
        <v>DE0</v>
      </c>
      <c r="F126" s="26">
        <f t="shared" si="46"/>
        <v>1924</v>
      </c>
      <c r="H126">
        <f t="shared" si="47"/>
        <v>11</v>
      </c>
      <c r="I126">
        <f t="shared" si="48"/>
        <v>1</v>
      </c>
      <c r="J126">
        <f t="shared" si="49"/>
        <v>1</v>
      </c>
      <c r="K126">
        <f t="shared" si="50"/>
        <v>1</v>
      </c>
    </row>
    <row r="127" spans="2:11">
      <c r="B127" t="str">
        <f t="shared" si="42"/>
        <v>LIG_LIN</v>
      </c>
      <c r="C127">
        <f t="shared" si="43"/>
        <v>2015</v>
      </c>
      <c r="D127" t="str">
        <f t="shared" si="44"/>
        <v>default</v>
      </c>
      <c r="E127" t="str">
        <f t="shared" si="45"/>
        <v>DE0</v>
      </c>
      <c r="F127" s="26">
        <f t="shared" si="46"/>
        <v>20679</v>
      </c>
      <c r="H127">
        <f t="shared" si="47"/>
        <v>12</v>
      </c>
      <c r="I127">
        <f t="shared" si="48"/>
        <v>1</v>
      </c>
      <c r="J127">
        <f t="shared" si="49"/>
        <v>1</v>
      </c>
      <c r="K127">
        <f t="shared" si="50"/>
        <v>1</v>
      </c>
    </row>
    <row r="128" spans="2:11">
      <c r="B128" t="str">
        <f t="shared" si="42"/>
        <v>HCO_LIN</v>
      </c>
      <c r="C128">
        <f t="shared" si="43"/>
        <v>2015</v>
      </c>
      <c r="D128" t="str">
        <f t="shared" si="44"/>
        <v>default</v>
      </c>
      <c r="E128" t="str">
        <f t="shared" si="45"/>
        <v>DE0</v>
      </c>
      <c r="F128" s="26">
        <f t="shared" si="46"/>
        <v>24612.6</v>
      </c>
      <c r="H128">
        <f t="shared" si="47"/>
        <v>13</v>
      </c>
      <c r="I128">
        <f t="shared" si="48"/>
        <v>1</v>
      </c>
      <c r="J128">
        <f t="shared" si="49"/>
        <v>1</v>
      </c>
      <c r="K128">
        <f t="shared" si="50"/>
        <v>1</v>
      </c>
    </row>
    <row r="129" spans="2:11">
      <c r="B129" t="str">
        <f t="shared" si="42"/>
        <v>GEO_ELC</v>
      </c>
      <c r="C129">
        <f t="shared" si="43"/>
        <v>2015</v>
      </c>
      <c r="D129" t="str">
        <f t="shared" si="44"/>
        <v>default</v>
      </c>
      <c r="E129" t="str">
        <f t="shared" si="45"/>
        <v>DE0</v>
      </c>
      <c r="F129" s="26">
        <f t="shared" si="46"/>
        <v>24</v>
      </c>
      <c r="H129">
        <f t="shared" si="47"/>
        <v>14</v>
      </c>
      <c r="I129">
        <f t="shared" si="48"/>
        <v>1</v>
      </c>
      <c r="J129">
        <f t="shared" si="49"/>
        <v>1</v>
      </c>
      <c r="K129">
        <f t="shared" si="50"/>
        <v>1</v>
      </c>
    </row>
    <row r="130" spans="2:11">
      <c r="B130" t="str">
        <f t="shared" si="42"/>
        <v>WIN_OFF</v>
      </c>
      <c r="C130">
        <f t="shared" si="43"/>
        <v>2015</v>
      </c>
      <c r="D130" t="str">
        <f t="shared" si="44"/>
        <v>default</v>
      </c>
      <c r="E130" t="str">
        <f t="shared" si="45"/>
        <v>DE0</v>
      </c>
      <c r="F130" s="26">
        <f t="shared" si="46"/>
        <v>3663.6067594433389</v>
      </c>
      <c r="H130">
        <f t="shared" si="47"/>
        <v>15</v>
      </c>
      <c r="I130">
        <f t="shared" si="48"/>
        <v>1</v>
      </c>
      <c r="J130">
        <f t="shared" si="49"/>
        <v>1</v>
      </c>
      <c r="K130">
        <f t="shared" si="50"/>
        <v>1</v>
      </c>
    </row>
    <row r="131" spans="2:11">
      <c r="B131" t="str">
        <f t="shared" si="42"/>
        <v>NUC_ELC</v>
      </c>
      <c r="C131">
        <f t="shared" si="43"/>
        <v>2020</v>
      </c>
      <c r="D131" t="str">
        <f t="shared" si="44"/>
        <v>default</v>
      </c>
      <c r="E131" t="str">
        <f t="shared" si="45"/>
        <v>DE0</v>
      </c>
      <c r="F131" s="26">
        <f t="shared" si="46"/>
        <v>6907.2</v>
      </c>
      <c r="H131">
        <f t="shared" si="47"/>
        <v>1</v>
      </c>
      <c r="I131">
        <f t="shared" si="48"/>
        <v>2</v>
      </c>
      <c r="J131">
        <f t="shared" si="49"/>
        <v>1</v>
      </c>
      <c r="K131">
        <f t="shared" si="50"/>
        <v>1</v>
      </c>
    </row>
    <row r="132" spans="2:11">
      <c r="B132" t="str">
        <f t="shared" si="42"/>
        <v>SOL_PHO</v>
      </c>
      <c r="C132">
        <f t="shared" si="43"/>
        <v>2020</v>
      </c>
      <c r="D132" t="str">
        <f t="shared" si="44"/>
        <v>default</v>
      </c>
      <c r="E132" t="str">
        <f t="shared" si="45"/>
        <v>DE0</v>
      </c>
      <c r="F132" s="26">
        <f t="shared" si="46"/>
        <v>52802.867668028601</v>
      </c>
      <c r="H132">
        <f t="shared" si="47"/>
        <v>2</v>
      </c>
      <c r="I132">
        <f t="shared" si="48"/>
        <v>2</v>
      </c>
      <c r="J132">
        <f t="shared" si="49"/>
        <v>1</v>
      </c>
      <c r="K132">
        <f t="shared" si="50"/>
        <v>1</v>
      </c>
    </row>
    <row r="133" spans="2:11">
      <c r="B133" t="str">
        <f t="shared" si="42"/>
        <v>WIN_ONS</v>
      </c>
      <c r="C133">
        <f t="shared" si="43"/>
        <v>2020</v>
      </c>
      <c r="D133" t="str">
        <f t="shared" si="44"/>
        <v>default</v>
      </c>
      <c r="E133" t="str">
        <f t="shared" si="45"/>
        <v>DE0</v>
      </c>
      <c r="F133" s="26">
        <f t="shared" si="46"/>
        <v>51938.861479939304</v>
      </c>
      <c r="H133">
        <f t="shared" si="47"/>
        <v>3</v>
      </c>
      <c r="I133">
        <f t="shared" si="48"/>
        <v>2</v>
      </c>
      <c r="J133">
        <f t="shared" si="49"/>
        <v>1</v>
      </c>
      <c r="K133">
        <f t="shared" si="50"/>
        <v>1</v>
      </c>
    </row>
    <row r="134" spans="2:11">
      <c r="B134" t="str">
        <f t="shared" si="42"/>
        <v>HYD_ROR</v>
      </c>
      <c r="C134">
        <f t="shared" si="43"/>
        <v>2020</v>
      </c>
      <c r="D134" t="str">
        <f t="shared" si="44"/>
        <v>default</v>
      </c>
      <c r="E134" t="str">
        <f t="shared" si="45"/>
        <v>DE0</v>
      </c>
      <c r="F134" s="26">
        <f t="shared" si="46"/>
        <v>3989.0886340886436</v>
      </c>
      <c r="H134">
        <f t="shared" si="47"/>
        <v>4</v>
      </c>
      <c r="I134">
        <f t="shared" si="48"/>
        <v>2</v>
      </c>
      <c r="J134">
        <f t="shared" si="49"/>
        <v>1</v>
      </c>
      <c r="K134">
        <f t="shared" si="50"/>
        <v>1</v>
      </c>
    </row>
    <row r="135" spans="2:11">
      <c r="B135" t="str">
        <f t="shared" si="42"/>
        <v>HYD_RES</v>
      </c>
      <c r="C135">
        <f t="shared" si="43"/>
        <v>2020</v>
      </c>
      <c r="D135" t="str">
        <f t="shared" si="44"/>
        <v>default</v>
      </c>
      <c r="E135" t="str">
        <f t="shared" si="45"/>
        <v>DE0</v>
      </c>
      <c r="F135" s="26">
        <f t="shared" si="46"/>
        <v>1602.5085385237162</v>
      </c>
      <c r="H135">
        <f t="shared" si="47"/>
        <v>5</v>
      </c>
      <c r="I135">
        <f t="shared" si="48"/>
        <v>2</v>
      </c>
      <c r="J135">
        <f t="shared" si="49"/>
        <v>1</v>
      </c>
      <c r="K135">
        <f t="shared" si="50"/>
        <v>1</v>
      </c>
    </row>
    <row r="136" spans="2:11">
      <c r="B136" t="str">
        <f t="shared" si="42"/>
        <v>HYD_STO</v>
      </c>
      <c r="C136">
        <f t="shared" si="43"/>
        <v>2020</v>
      </c>
      <c r="D136" t="str">
        <f t="shared" si="44"/>
        <v>default</v>
      </c>
      <c r="E136" t="str">
        <f t="shared" si="45"/>
        <v>DE0</v>
      </c>
      <c r="F136" s="26">
        <f t="shared" si="46"/>
        <v>8149.2</v>
      </c>
      <c r="H136">
        <f t="shared" si="47"/>
        <v>6</v>
      </c>
      <c r="I136">
        <f t="shared" si="48"/>
        <v>2</v>
      </c>
      <c r="J136">
        <f t="shared" si="49"/>
        <v>1</v>
      </c>
      <c r="K136">
        <f t="shared" si="50"/>
        <v>1</v>
      </c>
    </row>
    <row r="137" spans="2:11">
      <c r="B137" t="str">
        <f t="shared" si="42"/>
        <v>GAS_LIN</v>
      </c>
      <c r="C137">
        <f t="shared" si="43"/>
        <v>2020</v>
      </c>
      <c r="D137" t="str">
        <f t="shared" si="44"/>
        <v>default</v>
      </c>
      <c r="E137" t="str">
        <f t="shared" si="45"/>
        <v>DE0</v>
      </c>
      <c r="F137" s="26">
        <f t="shared" si="46"/>
        <v>21891.232619999999</v>
      </c>
      <c r="H137">
        <f t="shared" si="47"/>
        <v>7</v>
      </c>
      <c r="I137">
        <f t="shared" si="48"/>
        <v>2</v>
      </c>
      <c r="J137">
        <f t="shared" si="49"/>
        <v>1</v>
      </c>
      <c r="K137">
        <f t="shared" si="50"/>
        <v>1</v>
      </c>
    </row>
    <row r="138" spans="2:11">
      <c r="B138" t="str">
        <f t="shared" si="42"/>
        <v>GAS_NEW</v>
      </c>
      <c r="C138">
        <f t="shared" si="43"/>
        <v>2020</v>
      </c>
      <c r="D138" t="str">
        <f t="shared" si="44"/>
        <v>default</v>
      </c>
      <c r="E138" t="str">
        <f t="shared" si="45"/>
        <v>DE0</v>
      </c>
      <c r="F138" s="26">
        <f t="shared" si="46"/>
        <v>0</v>
      </c>
      <c r="H138">
        <f t="shared" si="47"/>
        <v>8</v>
      </c>
      <c r="I138">
        <f t="shared" si="48"/>
        <v>2</v>
      </c>
      <c r="J138">
        <f t="shared" si="49"/>
        <v>1</v>
      </c>
      <c r="K138">
        <f t="shared" si="50"/>
        <v>1</v>
      </c>
    </row>
    <row r="139" spans="2:11">
      <c r="B139" t="str">
        <f t="shared" si="42"/>
        <v>OIL_LIN</v>
      </c>
      <c r="C139">
        <f t="shared" si="43"/>
        <v>2020</v>
      </c>
      <c r="D139" t="str">
        <f t="shared" si="44"/>
        <v>default</v>
      </c>
      <c r="E139" t="str">
        <f t="shared" si="45"/>
        <v>DE0</v>
      </c>
      <c r="F139" s="26">
        <f t="shared" si="46"/>
        <v>1673.8347000000001</v>
      </c>
      <c r="H139">
        <f t="shared" si="47"/>
        <v>9</v>
      </c>
      <c r="I139">
        <f t="shared" si="48"/>
        <v>2</v>
      </c>
      <c r="J139">
        <f t="shared" si="49"/>
        <v>1</v>
      </c>
      <c r="K139">
        <f t="shared" si="50"/>
        <v>1</v>
      </c>
    </row>
    <row r="140" spans="2:11">
      <c r="B140" t="str">
        <f t="shared" si="42"/>
        <v>BAL_ELC</v>
      </c>
      <c r="C140">
        <f t="shared" si="43"/>
        <v>2020</v>
      </c>
      <c r="D140" t="str">
        <f t="shared" si="44"/>
        <v>default</v>
      </c>
      <c r="E140" t="str">
        <f t="shared" si="45"/>
        <v>DE0</v>
      </c>
      <c r="F140" s="26">
        <f t="shared" si="46"/>
        <v>7467</v>
      </c>
      <c r="H140">
        <f t="shared" si="47"/>
        <v>10</v>
      </c>
      <c r="I140">
        <f t="shared" si="48"/>
        <v>2</v>
      </c>
      <c r="J140">
        <f t="shared" si="49"/>
        <v>1</v>
      </c>
      <c r="K140">
        <f t="shared" si="50"/>
        <v>1</v>
      </c>
    </row>
    <row r="141" spans="2:11">
      <c r="B141" t="str">
        <f t="shared" si="42"/>
        <v>WAS_ELC</v>
      </c>
      <c r="C141">
        <f t="shared" si="43"/>
        <v>2020</v>
      </c>
      <c r="D141" t="str">
        <f t="shared" si="44"/>
        <v>default</v>
      </c>
      <c r="E141" t="str">
        <f t="shared" si="45"/>
        <v>DE0</v>
      </c>
      <c r="F141" s="26">
        <f t="shared" si="46"/>
        <v>1924</v>
      </c>
      <c r="H141">
        <f t="shared" si="47"/>
        <v>11</v>
      </c>
      <c r="I141">
        <f t="shared" si="48"/>
        <v>2</v>
      </c>
      <c r="J141">
        <f t="shared" si="49"/>
        <v>1</v>
      </c>
      <c r="K141">
        <f t="shared" si="50"/>
        <v>1</v>
      </c>
    </row>
    <row r="142" spans="2:11">
      <c r="B142" t="str">
        <f t="shared" si="42"/>
        <v>LIG_LIN</v>
      </c>
      <c r="C142">
        <f t="shared" si="43"/>
        <v>2020</v>
      </c>
      <c r="D142" t="str">
        <f t="shared" si="44"/>
        <v>default</v>
      </c>
      <c r="E142" t="str">
        <f t="shared" si="45"/>
        <v>DE0</v>
      </c>
      <c r="F142" s="26">
        <f t="shared" si="46"/>
        <v>19020.280999178278</v>
      </c>
      <c r="H142">
        <f t="shared" si="47"/>
        <v>12</v>
      </c>
      <c r="I142">
        <f t="shared" si="48"/>
        <v>2</v>
      </c>
      <c r="J142">
        <f t="shared" si="49"/>
        <v>1</v>
      </c>
      <c r="K142">
        <f t="shared" si="50"/>
        <v>1</v>
      </c>
    </row>
    <row r="143" spans="2:11">
      <c r="B143" t="str">
        <f t="shared" si="42"/>
        <v>HCO_LIN</v>
      </c>
      <c r="C143">
        <f t="shared" si="43"/>
        <v>2020</v>
      </c>
      <c r="D143" t="str">
        <f t="shared" si="44"/>
        <v>default</v>
      </c>
      <c r="E143" t="str">
        <f t="shared" si="45"/>
        <v>DE0</v>
      </c>
      <c r="F143" s="26">
        <f t="shared" si="46"/>
        <v>23397.811875606982</v>
      </c>
      <c r="H143">
        <f t="shared" si="47"/>
        <v>13</v>
      </c>
      <c r="I143">
        <f t="shared" si="48"/>
        <v>2</v>
      </c>
      <c r="J143">
        <f t="shared" si="49"/>
        <v>1</v>
      </c>
      <c r="K143">
        <f t="shared" si="50"/>
        <v>1</v>
      </c>
    </row>
    <row r="144" spans="2:11">
      <c r="B144" t="str">
        <f t="shared" si="42"/>
        <v>GEO_ELC</v>
      </c>
      <c r="C144">
        <f t="shared" si="43"/>
        <v>2020</v>
      </c>
      <c r="D144" t="str">
        <f t="shared" si="44"/>
        <v>default</v>
      </c>
      <c r="E144" t="str">
        <f t="shared" si="45"/>
        <v>DE0</v>
      </c>
      <c r="F144" s="26">
        <f t="shared" si="46"/>
        <v>170.262264109867</v>
      </c>
      <c r="H144">
        <f t="shared" si="47"/>
        <v>14</v>
      </c>
      <c r="I144">
        <f t="shared" si="48"/>
        <v>2</v>
      </c>
      <c r="J144">
        <f t="shared" si="49"/>
        <v>1</v>
      </c>
      <c r="K144">
        <f t="shared" si="50"/>
        <v>1</v>
      </c>
    </row>
    <row r="145" spans="2:11">
      <c r="B145" t="str">
        <f t="shared" si="42"/>
        <v>WIN_OFF</v>
      </c>
      <c r="C145">
        <f t="shared" si="43"/>
        <v>2020</v>
      </c>
      <c r="D145" t="str">
        <f t="shared" si="44"/>
        <v>default</v>
      </c>
      <c r="E145" t="str">
        <f t="shared" si="45"/>
        <v>DE0</v>
      </c>
      <c r="F145" s="26">
        <f t="shared" si="46"/>
        <v>9893.1164723693928</v>
      </c>
      <c r="H145">
        <f t="shared" si="47"/>
        <v>15</v>
      </c>
      <c r="I145">
        <f t="shared" si="48"/>
        <v>2</v>
      </c>
      <c r="J145">
        <f t="shared" si="49"/>
        <v>1</v>
      </c>
      <c r="K145">
        <f t="shared" si="50"/>
        <v>1</v>
      </c>
    </row>
    <row r="146" spans="2:11">
      <c r="B146" t="str">
        <f t="shared" si="42"/>
        <v>NUC_ELC</v>
      </c>
      <c r="C146">
        <f t="shared" si="43"/>
        <v>2025</v>
      </c>
      <c r="D146" t="str">
        <f t="shared" si="44"/>
        <v>default</v>
      </c>
      <c r="E146" t="str">
        <f t="shared" si="45"/>
        <v>DE0</v>
      </c>
      <c r="F146" s="26">
        <f t="shared" si="46"/>
        <v>0</v>
      </c>
      <c r="H146">
        <f t="shared" si="47"/>
        <v>1</v>
      </c>
      <c r="I146">
        <f t="shared" si="48"/>
        <v>3</v>
      </c>
      <c r="J146">
        <f t="shared" si="49"/>
        <v>1</v>
      </c>
      <c r="K146">
        <f t="shared" si="50"/>
        <v>1</v>
      </c>
    </row>
    <row r="147" spans="2:11">
      <c r="B147" t="str">
        <f t="shared" si="42"/>
        <v>SOL_PHO</v>
      </c>
      <c r="C147">
        <f t="shared" si="43"/>
        <v>2025</v>
      </c>
      <c r="D147" t="str">
        <f t="shared" si="44"/>
        <v>default</v>
      </c>
      <c r="E147" t="str">
        <f t="shared" si="45"/>
        <v>DE0</v>
      </c>
      <c r="F147" s="26">
        <f t="shared" si="46"/>
        <v>55900.764651489801</v>
      </c>
      <c r="H147">
        <f t="shared" si="47"/>
        <v>2</v>
      </c>
      <c r="I147">
        <f t="shared" si="48"/>
        <v>3</v>
      </c>
      <c r="J147">
        <f t="shared" si="49"/>
        <v>1</v>
      </c>
      <c r="K147">
        <f t="shared" si="50"/>
        <v>1</v>
      </c>
    </row>
    <row r="148" spans="2:11">
      <c r="B148" t="str">
        <f t="shared" si="42"/>
        <v>WIN_ONS</v>
      </c>
      <c r="C148">
        <f t="shared" si="43"/>
        <v>2025</v>
      </c>
      <c r="D148" t="str">
        <f t="shared" si="44"/>
        <v>default</v>
      </c>
      <c r="E148" t="str">
        <f t="shared" si="45"/>
        <v>DE0</v>
      </c>
      <c r="F148" s="26">
        <f t="shared" si="46"/>
        <v>52085.675893279054</v>
      </c>
      <c r="H148">
        <f t="shared" si="47"/>
        <v>3</v>
      </c>
      <c r="I148">
        <f t="shared" si="48"/>
        <v>3</v>
      </c>
      <c r="J148">
        <f t="shared" si="49"/>
        <v>1</v>
      </c>
      <c r="K148">
        <f t="shared" si="50"/>
        <v>1</v>
      </c>
    </row>
    <row r="149" spans="2:11">
      <c r="B149" t="str">
        <f t="shared" si="42"/>
        <v>HYD_ROR</v>
      </c>
      <c r="C149">
        <f t="shared" si="43"/>
        <v>2025</v>
      </c>
      <c r="D149" t="str">
        <f t="shared" si="44"/>
        <v>default</v>
      </c>
      <c r="E149" t="str">
        <f t="shared" si="45"/>
        <v>DE0</v>
      </c>
      <c r="F149" s="26">
        <f t="shared" si="46"/>
        <v>4065.0182849597072</v>
      </c>
      <c r="H149">
        <f t="shared" si="47"/>
        <v>4</v>
      </c>
      <c r="I149">
        <f t="shared" si="48"/>
        <v>3</v>
      </c>
      <c r="J149">
        <f t="shared" si="49"/>
        <v>1</v>
      </c>
      <c r="K149">
        <f t="shared" si="50"/>
        <v>1</v>
      </c>
    </row>
    <row r="150" spans="2:11">
      <c r="B150" t="str">
        <f t="shared" si="42"/>
        <v>HYD_RES</v>
      </c>
      <c r="C150">
        <f t="shared" si="43"/>
        <v>2025</v>
      </c>
      <c r="D150" t="str">
        <f t="shared" si="44"/>
        <v>default</v>
      </c>
      <c r="E150" t="str">
        <f t="shared" si="45"/>
        <v>DE0</v>
      </c>
      <c r="F150" s="26">
        <f t="shared" si="46"/>
        <v>1633.0112234749124</v>
      </c>
      <c r="H150">
        <f t="shared" si="47"/>
        <v>5</v>
      </c>
      <c r="I150">
        <f t="shared" si="48"/>
        <v>3</v>
      </c>
      <c r="J150">
        <f t="shared" si="49"/>
        <v>1</v>
      </c>
      <c r="K150">
        <f t="shared" si="50"/>
        <v>1</v>
      </c>
    </row>
    <row r="151" spans="2:11">
      <c r="B151" t="str">
        <f t="shared" si="42"/>
        <v>HYD_STO</v>
      </c>
      <c r="C151">
        <f t="shared" si="43"/>
        <v>2025</v>
      </c>
      <c r="D151" t="str">
        <f t="shared" si="44"/>
        <v>default</v>
      </c>
      <c r="E151" t="str">
        <f t="shared" si="45"/>
        <v>DE0</v>
      </c>
      <c r="F151" s="26">
        <f t="shared" si="46"/>
        <v>8149.2</v>
      </c>
      <c r="H151">
        <f t="shared" si="47"/>
        <v>6</v>
      </c>
      <c r="I151">
        <f t="shared" si="48"/>
        <v>3</v>
      </c>
      <c r="J151">
        <f t="shared" si="49"/>
        <v>1</v>
      </c>
      <c r="K151">
        <f t="shared" si="50"/>
        <v>1</v>
      </c>
    </row>
    <row r="152" spans="2:11">
      <c r="B152" t="str">
        <f t="shared" si="42"/>
        <v>GAS_LIN</v>
      </c>
      <c r="C152">
        <f t="shared" si="43"/>
        <v>2025</v>
      </c>
      <c r="D152" t="str">
        <f t="shared" si="44"/>
        <v>default</v>
      </c>
      <c r="E152" t="str">
        <f t="shared" si="45"/>
        <v>DE0</v>
      </c>
      <c r="F152" s="26">
        <f t="shared" si="46"/>
        <v>21891.232619999999</v>
      </c>
      <c r="H152">
        <f t="shared" si="47"/>
        <v>7</v>
      </c>
      <c r="I152">
        <f t="shared" si="48"/>
        <v>3</v>
      </c>
      <c r="J152">
        <f t="shared" si="49"/>
        <v>1</v>
      </c>
      <c r="K152">
        <f t="shared" si="50"/>
        <v>1</v>
      </c>
    </row>
    <row r="153" spans="2:11">
      <c r="B153" t="str">
        <f t="shared" si="42"/>
        <v>GAS_NEW</v>
      </c>
      <c r="C153">
        <f t="shared" si="43"/>
        <v>2025</v>
      </c>
      <c r="D153" t="str">
        <f t="shared" si="44"/>
        <v>default</v>
      </c>
      <c r="E153" t="str">
        <f t="shared" si="45"/>
        <v>DE0</v>
      </c>
      <c r="F153" s="26">
        <f t="shared" si="46"/>
        <v>1186.8420513037017</v>
      </c>
      <c r="H153">
        <f t="shared" si="47"/>
        <v>8</v>
      </c>
      <c r="I153">
        <f t="shared" si="48"/>
        <v>3</v>
      </c>
      <c r="J153">
        <f t="shared" si="49"/>
        <v>1</v>
      </c>
      <c r="K153">
        <f t="shared" si="50"/>
        <v>1</v>
      </c>
    </row>
    <row r="154" spans="2:11">
      <c r="B154" t="str">
        <f t="shared" si="42"/>
        <v>OIL_LIN</v>
      </c>
      <c r="C154">
        <f t="shared" si="43"/>
        <v>2025</v>
      </c>
      <c r="D154" t="str">
        <f t="shared" si="44"/>
        <v>default</v>
      </c>
      <c r="E154" t="str">
        <f t="shared" si="45"/>
        <v>DE0</v>
      </c>
      <c r="F154" s="26">
        <f t="shared" si="46"/>
        <v>1458.1605423920601</v>
      </c>
      <c r="H154">
        <f t="shared" si="47"/>
        <v>9</v>
      </c>
      <c r="I154">
        <f t="shared" si="48"/>
        <v>3</v>
      </c>
      <c r="J154">
        <f t="shared" si="49"/>
        <v>1</v>
      </c>
      <c r="K154">
        <f t="shared" si="50"/>
        <v>1</v>
      </c>
    </row>
    <row r="155" spans="2:11">
      <c r="B155" t="str">
        <f t="shared" si="42"/>
        <v>BAL_ELC</v>
      </c>
      <c r="C155">
        <f t="shared" si="43"/>
        <v>2025</v>
      </c>
      <c r="D155" t="str">
        <f t="shared" si="44"/>
        <v>default</v>
      </c>
      <c r="E155" t="str">
        <f t="shared" si="45"/>
        <v>DE0</v>
      </c>
      <c r="F155" s="26">
        <f t="shared" si="46"/>
        <v>7467</v>
      </c>
      <c r="H155">
        <f t="shared" si="47"/>
        <v>10</v>
      </c>
      <c r="I155">
        <f t="shared" si="48"/>
        <v>3</v>
      </c>
      <c r="J155">
        <f t="shared" si="49"/>
        <v>1</v>
      </c>
      <c r="K155">
        <f t="shared" si="50"/>
        <v>1</v>
      </c>
    </row>
    <row r="156" spans="2:11">
      <c r="B156" t="str">
        <f t="shared" si="42"/>
        <v>WAS_ELC</v>
      </c>
      <c r="C156">
        <f t="shared" si="43"/>
        <v>2025</v>
      </c>
      <c r="D156" t="str">
        <f t="shared" si="44"/>
        <v>default</v>
      </c>
      <c r="E156" t="str">
        <f t="shared" si="45"/>
        <v>DE0</v>
      </c>
      <c r="F156" s="26">
        <f t="shared" si="46"/>
        <v>1924</v>
      </c>
      <c r="H156">
        <f t="shared" si="47"/>
        <v>11</v>
      </c>
      <c r="I156">
        <f t="shared" si="48"/>
        <v>3</v>
      </c>
      <c r="J156">
        <f t="shared" si="49"/>
        <v>1</v>
      </c>
      <c r="K156">
        <f t="shared" si="50"/>
        <v>1</v>
      </c>
    </row>
    <row r="157" spans="2:11">
      <c r="B157" t="str">
        <f t="shared" si="42"/>
        <v>LIG_LIN</v>
      </c>
      <c r="C157">
        <f t="shared" si="43"/>
        <v>2025</v>
      </c>
      <c r="D157" t="str">
        <f t="shared" si="44"/>
        <v>default</v>
      </c>
      <c r="E157" t="str">
        <f t="shared" si="45"/>
        <v>DE0</v>
      </c>
      <c r="F157" s="26">
        <f t="shared" si="46"/>
        <v>16812.187431267441</v>
      </c>
      <c r="H157">
        <f t="shared" si="47"/>
        <v>12</v>
      </c>
      <c r="I157">
        <f t="shared" si="48"/>
        <v>3</v>
      </c>
      <c r="J157">
        <f t="shared" si="49"/>
        <v>1</v>
      </c>
      <c r="K157">
        <f t="shared" si="50"/>
        <v>1</v>
      </c>
    </row>
    <row r="158" spans="2:11">
      <c r="B158" t="str">
        <f t="shared" si="42"/>
        <v>HCO_LIN</v>
      </c>
      <c r="C158">
        <f t="shared" si="43"/>
        <v>2025</v>
      </c>
      <c r="D158" t="str">
        <f t="shared" si="44"/>
        <v>default</v>
      </c>
      <c r="E158" t="str">
        <f t="shared" si="45"/>
        <v>DE0</v>
      </c>
      <c r="F158" s="26">
        <f t="shared" si="46"/>
        <v>21563.676952016125</v>
      </c>
      <c r="H158">
        <f t="shared" si="47"/>
        <v>13</v>
      </c>
      <c r="I158">
        <f t="shared" si="48"/>
        <v>3</v>
      </c>
      <c r="J158">
        <f t="shared" si="49"/>
        <v>1</v>
      </c>
      <c r="K158">
        <f t="shared" si="50"/>
        <v>1</v>
      </c>
    </row>
    <row r="159" spans="2:11">
      <c r="B159" t="str">
        <f t="shared" si="42"/>
        <v>GEO_ELC</v>
      </c>
      <c r="C159">
        <f t="shared" si="43"/>
        <v>2025</v>
      </c>
      <c r="D159" t="str">
        <f t="shared" si="44"/>
        <v>default</v>
      </c>
      <c r="E159" t="str">
        <f t="shared" si="45"/>
        <v>DE0</v>
      </c>
      <c r="F159" s="26">
        <f t="shared" si="46"/>
        <v>170.262264109867</v>
      </c>
      <c r="H159">
        <f t="shared" si="47"/>
        <v>14</v>
      </c>
      <c r="I159">
        <f t="shared" si="48"/>
        <v>3</v>
      </c>
      <c r="J159">
        <f t="shared" si="49"/>
        <v>1</v>
      </c>
      <c r="K159">
        <f t="shared" si="50"/>
        <v>1</v>
      </c>
    </row>
    <row r="160" spans="2:11">
      <c r="B160" t="str">
        <f t="shared" si="42"/>
        <v>WIN_OFF</v>
      </c>
      <c r="C160">
        <f t="shared" si="43"/>
        <v>2025</v>
      </c>
      <c r="D160" t="str">
        <f t="shared" si="44"/>
        <v>default</v>
      </c>
      <c r="E160" t="str">
        <f t="shared" si="45"/>
        <v>DE0</v>
      </c>
      <c r="F160" s="26">
        <f t="shared" si="46"/>
        <v>9921.0811225293437</v>
      </c>
      <c r="H160">
        <f t="shared" si="47"/>
        <v>15</v>
      </c>
      <c r="I160">
        <f t="shared" si="48"/>
        <v>3</v>
      </c>
      <c r="J160">
        <f t="shared" si="49"/>
        <v>1</v>
      </c>
      <c r="K160">
        <f t="shared" si="50"/>
        <v>1</v>
      </c>
    </row>
    <row r="161" spans="2:11">
      <c r="B161" t="str">
        <f t="shared" si="42"/>
        <v>NUC_ELC</v>
      </c>
      <c r="C161">
        <f t="shared" si="43"/>
        <v>2030</v>
      </c>
      <c r="D161" t="str">
        <f t="shared" si="44"/>
        <v>default</v>
      </c>
      <c r="E161" t="str">
        <f t="shared" si="45"/>
        <v>DE0</v>
      </c>
      <c r="F161" s="26">
        <f t="shared" si="46"/>
        <v>0</v>
      </c>
      <c r="H161">
        <f t="shared" si="47"/>
        <v>1</v>
      </c>
      <c r="I161">
        <f t="shared" si="48"/>
        <v>4</v>
      </c>
      <c r="J161">
        <f t="shared" si="49"/>
        <v>1</v>
      </c>
      <c r="K161">
        <f t="shared" si="50"/>
        <v>1</v>
      </c>
    </row>
    <row r="162" spans="2:11">
      <c r="B162" t="str">
        <f t="shared" si="42"/>
        <v>SOL_PHO</v>
      </c>
      <c r="C162">
        <f t="shared" si="43"/>
        <v>2030</v>
      </c>
      <c r="D162" t="str">
        <f t="shared" si="44"/>
        <v>default</v>
      </c>
      <c r="E162" t="str">
        <f t="shared" si="45"/>
        <v>DE0</v>
      </c>
      <c r="F162" s="26">
        <f t="shared" si="46"/>
        <v>63959.325331165601</v>
      </c>
      <c r="H162">
        <f t="shared" si="47"/>
        <v>2</v>
      </c>
      <c r="I162">
        <f t="shared" si="48"/>
        <v>4</v>
      </c>
      <c r="J162">
        <f t="shared" si="49"/>
        <v>1</v>
      </c>
      <c r="K162">
        <f t="shared" si="50"/>
        <v>1</v>
      </c>
    </row>
    <row r="163" spans="2:11">
      <c r="B163" t="str">
        <f t="shared" si="42"/>
        <v>WIN_ONS</v>
      </c>
      <c r="C163">
        <f t="shared" si="43"/>
        <v>2030</v>
      </c>
      <c r="D163" t="str">
        <f t="shared" si="44"/>
        <v>default</v>
      </c>
      <c r="E163" t="str">
        <f t="shared" si="45"/>
        <v>DE0</v>
      </c>
      <c r="F163" s="26">
        <f t="shared" si="46"/>
        <v>55282.481202403687</v>
      </c>
      <c r="H163">
        <f t="shared" si="47"/>
        <v>3</v>
      </c>
      <c r="I163">
        <f t="shared" si="48"/>
        <v>4</v>
      </c>
      <c r="J163">
        <f t="shared" si="49"/>
        <v>1</v>
      </c>
      <c r="K163">
        <f t="shared" si="50"/>
        <v>1</v>
      </c>
    </row>
    <row r="164" spans="2:11">
      <c r="B164" t="str">
        <f t="shared" si="42"/>
        <v>HYD_ROR</v>
      </c>
      <c r="C164">
        <f t="shared" si="43"/>
        <v>2030</v>
      </c>
      <c r="D164" t="str">
        <f t="shared" si="44"/>
        <v>default</v>
      </c>
      <c r="E164" t="str">
        <f t="shared" si="45"/>
        <v>DE0</v>
      </c>
      <c r="F164" s="26">
        <f t="shared" si="46"/>
        <v>4178.7625229001178</v>
      </c>
      <c r="H164">
        <f t="shared" si="47"/>
        <v>4</v>
      </c>
      <c r="I164">
        <f t="shared" si="48"/>
        <v>4</v>
      </c>
      <c r="J164">
        <f t="shared" si="49"/>
        <v>1</v>
      </c>
      <c r="K164">
        <f t="shared" si="50"/>
        <v>1</v>
      </c>
    </row>
    <row r="165" spans="2:11">
      <c r="B165" t="str">
        <f t="shared" si="42"/>
        <v>HYD_RES</v>
      </c>
      <c r="C165">
        <f t="shared" si="43"/>
        <v>2030</v>
      </c>
      <c r="D165" t="str">
        <f t="shared" si="44"/>
        <v>default</v>
      </c>
      <c r="E165" t="str">
        <f t="shared" si="45"/>
        <v>DE0</v>
      </c>
      <c r="F165" s="26">
        <f t="shared" si="46"/>
        <v>1678.7048966988525</v>
      </c>
      <c r="H165">
        <f t="shared" si="47"/>
        <v>5</v>
      </c>
      <c r="I165">
        <f t="shared" si="48"/>
        <v>4</v>
      </c>
      <c r="J165">
        <f t="shared" si="49"/>
        <v>1</v>
      </c>
      <c r="K165">
        <f t="shared" si="50"/>
        <v>1</v>
      </c>
    </row>
    <row r="166" spans="2:11">
      <c r="B166" t="str">
        <f t="shared" si="42"/>
        <v>HYD_STO</v>
      </c>
      <c r="C166">
        <f t="shared" si="43"/>
        <v>2030</v>
      </c>
      <c r="D166" t="str">
        <f t="shared" si="44"/>
        <v>default</v>
      </c>
      <c r="E166" t="str">
        <f t="shared" si="45"/>
        <v>DE0</v>
      </c>
      <c r="F166" s="26">
        <f t="shared" si="46"/>
        <v>8149.2</v>
      </c>
      <c r="H166">
        <f t="shared" si="47"/>
        <v>6</v>
      </c>
      <c r="I166">
        <f t="shared" si="48"/>
        <v>4</v>
      </c>
      <c r="J166">
        <f t="shared" si="49"/>
        <v>1</v>
      </c>
      <c r="K166">
        <f t="shared" si="50"/>
        <v>1</v>
      </c>
    </row>
    <row r="167" spans="2:11">
      <c r="B167" t="str">
        <f t="shared" si="42"/>
        <v>GAS_LIN</v>
      </c>
      <c r="C167">
        <f t="shared" si="43"/>
        <v>2030</v>
      </c>
      <c r="D167" t="str">
        <f t="shared" si="44"/>
        <v>default</v>
      </c>
      <c r="E167" t="str">
        <f t="shared" si="45"/>
        <v>DE0</v>
      </c>
      <c r="F167" s="26">
        <f t="shared" si="46"/>
        <v>21891.232619999999</v>
      </c>
      <c r="H167">
        <f t="shared" si="47"/>
        <v>7</v>
      </c>
      <c r="I167">
        <f t="shared" si="48"/>
        <v>4</v>
      </c>
      <c r="J167">
        <f t="shared" si="49"/>
        <v>1</v>
      </c>
      <c r="K167">
        <f t="shared" si="50"/>
        <v>1</v>
      </c>
    </row>
    <row r="168" spans="2:11">
      <c r="B168" t="str">
        <f t="shared" si="42"/>
        <v>GAS_NEW</v>
      </c>
      <c r="C168">
        <f t="shared" si="43"/>
        <v>2030</v>
      </c>
      <c r="D168" t="str">
        <f t="shared" si="44"/>
        <v>default</v>
      </c>
      <c r="E168" t="str">
        <f t="shared" si="45"/>
        <v>DE0</v>
      </c>
      <c r="F168" s="26">
        <f t="shared" si="46"/>
        <v>5086.7513160732015</v>
      </c>
      <c r="H168">
        <f t="shared" si="47"/>
        <v>8</v>
      </c>
      <c r="I168">
        <f t="shared" si="48"/>
        <v>4</v>
      </c>
      <c r="J168">
        <f t="shared" si="49"/>
        <v>1</v>
      </c>
      <c r="K168">
        <f t="shared" si="50"/>
        <v>1</v>
      </c>
    </row>
    <row r="169" spans="2:11">
      <c r="B169" t="str">
        <f t="shared" si="42"/>
        <v>OIL_LIN</v>
      </c>
      <c r="C169">
        <f t="shared" si="43"/>
        <v>2030</v>
      </c>
      <c r="D169" t="str">
        <f t="shared" si="44"/>
        <v>default</v>
      </c>
      <c r="E169" t="str">
        <f t="shared" si="45"/>
        <v>DE0</v>
      </c>
      <c r="F169" s="26">
        <f t="shared" si="46"/>
        <v>1248.1130423920599</v>
      </c>
      <c r="H169">
        <f t="shared" si="47"/>
        <v>9</v>
      </c>
      <c r="I169">
        <f t="shared" si="48"/>
        <v>4</v>
      </c>
      <c r="J169">
        <f t="shared" si="49"/>
        <v>1</v>
      </c>
      <c r="K169">
        <f t="shared" si="50"/>
        <v>1</v>
      </c>
    </row>
    <row r="170" spans="2:11">
      <c r="B170" t="str">
        <f t="shared" si="42"/>
        <v>BAL_ELC</v>
      </c>
      <c r="C170">
        <f t="shared" si="43"/>
        <v>2030</v>
      </c>
      <c r="D170" t="str">
        <f t="shared" si="44"/>
        <v>default</v>
      </c>
      <c r="E170" t="str">
        <f t="shared" si="45"/>
        <v>DE0</v>
      </c>
      <c r="F170" s="26">
        <f t="shared" si="46"/>
        <v>7467</v>
      </c>
      <c r="H170">
        <f t="shared" si="47"/>
        <v>10</v>
      </c>
      <c r="I170">
        <f t="shared" si="48"/>
        <v>4</v>
      </c>
      <c r="J170">
        <f t="shared" si="49"/>
        <v>1</v>
      </c>
      <c r="K170">
        <f t="shared" si="50"/>
        <v>1</v>
      </c>
    </row>
    <row r="171" spans="2:11">
      <c r="B171" t="str">
        <f t="shared" si="42"/>
        <v>WAS_ELC</v>
      </c>
      <c r="C171">
        <f t="shared" si="43"/>
        <v>2030</v>
      </c>
      <c r="D171" t="str">
        <f t="shared" si="44"/>
        <v>default</v>
      </c>
      <c r="E171" t="str">
        <f t="shared" si="45"/>
        <v>DE0</v>
      </c>
      <c r="F171" s="26">
        <f t="shared" si="46"/>
        <v>1924</v>
      </c>
      <c r="H171">
        <f t="shared" si="47"/>
        <v>11</v>
      </c>
      <c r="I171">
        <f t="shared" si="48"/>
        <v>4</v>
      </c>
      <c r="J171">
        <f t="shared" si="49"/>
        <v>1</v>
      </c>
      <c r="K171">
        <f t="shared" si="50"/>
        <v>1</v>
      </c>
    </row>
    <row r="172" spans="2:11">
      <c r="B172" t="str">
        <f t="shared" si="42"/>
        <v>LIG_LIN</v>
      </c>
      <c r="C172">
        <f t="shared" si="43"/>
        <v>2030</v>
      </c>
      <c r="D172" t="str">
        <f t="shared" si="44"/>
        <v>default</v>
      </c>
      <c r="E172" t="str">
        <f t="shared" si="45"/>
        <v>DE0</v>
      </c>
      <c r="F172" s="26">
        <f t="shared" si="46"/>
        <v>13987.423020108299</v>
      </c>
      <c r="H172">
        <f t="shared" si="47"/>
        <v>12</v>
      </c>
      <c r="I172">
        <f t="shared" si="48"/>
        <v>4</v>
      </c>
      <c r="J172">
        <f t="shared" si="49"/>
        <v>1</v>
      </c>
      <c r="K172">
        <f t="shared" si="50"/>
        <v>1</v>
      </c>
    </row>
    <row r="173" spans="2:11">
      <c r="B173" t="str">
        <f t="shared" si="42"/>
        <v>HCO_LIN</v>
      </c>
      <c r="C173">
        <f t="shared" si="43"/>
        <v>2030</v>
      </c>
      <c r="D173" t="str">
        <f t="shared" si="44"/>
        <v>default</v>
      </c>
      <c r="E173" t="str">
        <f t="shared" si="45"/>
        <v>DE0</v>
      </c>
      <c r="F173" s="26">
        <f t="shared" si="46"/>
        <v>18742.41659256093</v>
      </c>
      <c r="H173">
        <f t="shared" si="47"/>
        <v>13</v>
      </c>
      <c r="I173">
        <f t="shared" si="48"/>
        <v>4</v>
      </c>
      <c r="J173">
        <f t="shared" si="49"/>
        <v>1</v>
      </c>
      <c r="K173">
        <f t="shared" si="50"/>
        <v>1</v>
      </c>
    </row>
    <row r="174" spans="2:11">
      <c r="B174" t="str">
        <f t="shared" si="42"/>
        <v>GEO_ELC</v>
      </c>
      <c r="C174">
        <f t="shared" si="43"/>
        <v>2030</v>
      </c>
      <c r="D174" t="str">
        <f t="shared" si="44"/>
        <v>default</v>
      </c>
      <c r="E174" t="str">
        <f t="shared" si="45"/>
        <v>DE0</v>
      </c>
      <c r="F174" s="26">
        <f t="shared" si="46"/>
        <v>170.262264109867</v>
      </c>
      <c r="H174">
        <f t="shared" si="47"/>
        <v>14</v>
      </c>
      <c r="I174">
        <f t="shared" si="48"/>
        <v>4</v>
      </c>
      <c r="J174">
        <f t="shared" si="49"/>
        <v>1</v>
      </c>
      <c r="K174">
        <f t="shared" si="50"/>
        <v>1</v>
      </c>
    </row>
    <row r="175" spans="2:11">
      <c r="B175" t="str">
        <f t="shared" si="42"/>
        <v>WIN_OFF</v>
      </c>
      <c r="C175">
        <f t="shared" si="43"/>
        <v>2030</v>
      </c>
      <c r="D175" t="str">
        <f t="shared" si="44"/>
        <v>default</v>
      </c>
      <c r="E175" t="str">
        <f t="shared" si="45"/>
        <v>DE0</v>
      </c>
      <c r="F175" s="26">
        <f t="shared" si="46"/>
        <v>11931.470763108709</v>
      </c>
      <c r="H175">
        <f t="shared" si="47"/>
        <v>15</v>
      </c>
      <c r="I175">
        <f t="shared" si="48"/>
        <v>4</v>
      </c>
      <c r="J175">
        <f t="shared" si="49"/>
        <v>1</v>
      </c>
      <c r="K175">
        <f t="shared" si="50"/>
        <v>1</v>
      </c>
    </row>
    <row r="176" spans="2:11">
      <c r="B176" t="str">
        <f t="shared" si="42"/>
        <v>NUC_ELC</v>
      </c>
      <c r="C176">
        <f t="shared" si="43"/>
        <v>2035</v>
      </c>
      <c r="D176" t="str">
        <f t="shared" si="44"/>
        <v>default</v>
      </c>
      <c r="E176" t="str">
        <f t="shared" si="45"/>
        <v>DE0</v>
      </c>
      <c r="F176" s="26">
        <f t="shared" si="46"/>
        <v>0</v>
      </c>
      <c r="H176">
        <f t="shared" si="47"/>
        <v>1</v>
      </c>
      <c r="I176">
        <f t="shared" si="48"/>
        <v>5</v>
      </c>
      <c r="J176">
        <f t="shared" si="49"/>
        <v>1</v>
      </c>
      <c r="K176">
        <f t="shared" si="50"/>
        <v>1</v>
      </c>
    </row>
    <row r="177" spans="2:11">
      <c r="B177" t="str">
        <f t="shared" si="42"/>
        <v>SOL_PHO</v>
      </c>
      <c r="C177">
        <f t="shared" si="43"/>
        <v>2035</v>
      </c>
      <c r="D177" t="str">
        <f t="shared" si="44"/>
        <v>default</v>
      </c>
      <c r="E177" t="str">
        <f t="shared" si="45"/>
        <v>DE0</v>
      </c>
      <c r="F177" s="26">
        <f t="shared" si="46"/>
        <v>63959.325331165601</v>
      </c>
      <c r="H177">
        <f t="shared" si="47"/>
        <v>2</v>
      </c>
      <c r="I177">
        <f t="shared" si="48"/>
        <v>5</v>
      </c>
      <c r="J177">
        <f t="shared" si="49"/>
        <v>1</v>
      </c>
      <c r="K177">
        <f t="shared" si="50"/>
        <v>1</v>
      </c>
    </row>
    <row r="178" spans="2:11">
      <c r="B178" t="str">
        <f t="shared" si="42"/>
        <v>WIN_ONS</v>
      </c>
      <c r="C178">
        <f t="shared" si="43"/>
        <v>2035</v>
      </c>
      <c r="D178" t="str">
        <f t="shared" si="44"/>
        <v>default</v>
      </c>
      <c r="E178" t="str">
        <f t="shared" si="45"/>
        <v>DE0</v>
      </c>
      <c r="F178" s="26">
        <f t="shared" si="46"/>
        <v>53452.474731194125</v>
      </c>
      <c r="H178">
        <f t="shared" si="47"/>
        <v>3</v>
      </c>
      <c r="I178">
        <f t="shared" si="48"/>
        <v>5</v>
      </c>
      <c r="J178">
        <f t="shared" si="49"/>
        <v>1</v>
      </c>
      <c r="K178">
        <f t="shared" si="50"/>
        <v>1</v>
      </c>
    </row>
    <row r="179" spans="2:11">
      <c r="B179" t="str">
        <f t="shared" si="42"/>
        <v>HYD_ROR</v>
      </c>
      <c r="C179">
        <f t="shared" si="43"/>
        <v>2035</v>
      </c>
      <c r="D179" t="str">
        <f t="shared" si="44"/>
        <v>default</v>
      </c>
      <c r="E179" t="str">
        <f t="shared" si="45"/>
        <v>DE0</v>
      </c>
      <c r="F179" s="26">
        <f t="shared" si="46"/>
        <v>4449.2872298199318</v>
      </c>
      <c r="H179">
        <f t="shared" si="47"/>
        <v>4</v>
      </c>
      <c r="I179">
        <f t="shared" si="48"/>
        <v>5</v>
      </c>
      <c r="J179">
        <f t="shared" si="49"/>
        <v>1</v>
      </c>
      <c r="K179">
        <f t="shared" si="50"/>
        <v>1</v>
      </c>
    </row>
    <row r="180" spans="2:11">
      <c r="B180" t="str">
        <f t="shared" ref="B180:B243" si="51">INDEX(H$100:H$114,H180)</f>
        <v>HYD_RES</v>
      </c>
      <c r="C180">
        <f t="shared" ref="C180:C243" si="52">INDEX(I$100:I$114,I180)</f>
        <v>2035</v>
      </c>
      <c r="D180" t="str">
        <f t="shared" ref="D180:D243" si="53">INDEX(K$100:K$114,K180)</f>
        <v>default</v>
      </c>
      <c r="E180" t="str">
        <f t="shared" ref="E180:E243" si="54">INDEX(J$100:J$114,J180)</f>
        <v>DE0</v>
      </c>
      <c r="F180" s="26">
        <f t="shared" ref="F180:F243" si="55">INDEX($P$6:$X$84,MATCH(E180&amp;"."&amp;B180,$Z$6:$Z$84,0),MATCH(C180,$P$5:$X$5,0))</f>
        <v>1787.3808857495876</v>
      </c>
      <c r="H180">
        <f t="shared" si="47"/>
        <v>5</v>
      </c>
      <c r="I180">
        <f t="shared" si="48"/>
        <v>5</v>
      </c>
      <c r="J180">
        <f t="shared" si="49"/>
        <v>1</v>
      </c>
      <c r="K180">
        <f t="shared" si="50"/>
        <v>1</v>
      </c>
    </row>
    <row r="181" spans="2:11">
      <c r="B181" t="str">
        <f t="shared" si="51"/>
        <v>HYD_STO</v>
      </c>
      <c r="C181">
        <f t="shared" si="52"/>
        <v>2035</v>
      </c>
      <c r="D181" t="str">
        <f t="shared" si="53"/>
        <v>default</v>
      </c>
      <c r="E181" t="str">
        <f t="shared" si="54"/>
        <v>DE0</v>
      </c>
      <c r="F181" s="26">
        <f t="shared" si="55"/>
        <v>8149.2</v>
      </c>
      <c r="H181">
        <f t="shared" ref="H181:H244" si="56">IF(H180=$H$99,1,H180+1)</f>
        <v>6</v>
      </c>
      <c r="I181">
        <f t="shared" ref="I181:I244" si="57">IF(H181=1,IF(I180=$I$99,1,I180+1),I180)</f>
        <v>5</v>
      </c>
      <c r="J181">
        <f t="shared" ref="J181:J244" si="58">IF(AND(I181=1,I180&gt;1),IF(J180=$J$99,1,J180+1),J180)</f>
        <v>1</v>
      </c>
      <c r="K181">
        <f t="shared" ref="K181:K244" si="59">IF(AND(J181=1,J180&gt;1),IF(K180=$K$99,1,K180+1),K180)</f>
        <v>1</v>
      </c>
    </row>
    <row r="182" spans="2:11">
      <c r="B182" t="str">
        <f t="shared" si="51"/>
        <v>GAS_LIN</v>
      </c>
      <c r="C182">
        <f t="shared" si="52"/>
        <v>2035</v>
      </c>
      <c r="D182" t="str">
        <f t="shared" si="53"/>
        <v>default</v>
      </c>
      <c r="E182" t="str">
        <f t="shared" si="54"/>
        <v>DE0</v>
      </c>
      <c r="F182" s="26">
        <f t="shared" si="55"/>
        <v>21891.232619999999</v>
      </c>
      <c r="H182">
        <f t="shared" si="56"/>
        <v>7</v>
      </c>
      <c r="I182">
        <f t="shared" si="57"/>
        <v>5</v>
      </c>
      <c r="J182">
        <f t="shared" si="58"/>
        <v>1</v>
      </c>
      <c r="K182">
        <f t="shared" si="59"/>
        <v>1</v>
      </c>
    </row>
    <row r="183" spans="2:11">
      <c r="B183" t="str">
        <f t="shared" si="51"/>
        <v>GAS_NEW</v>
      </c>
      <c r="C183">
        <f t="shared" si="52"/>
        <v>2035</v>
      </c>
      <c r="D183" t="str">
        <f t="shared" si="53"/>
        <v>default</v>
      </c>
      <c r="E183" t="str">
        <f t="shared" si="54"/>
        <v>DE0</v>
      </c>
      <c r="F183" s="26">
        <f t="shared" si="55"/>
        <v>17195.078435375002</v>
      </c>
      <c r="H183">
        <f t="shared" si="56"/>
        <v>8</v>
      </c>
      <c r="I183">
        <f t="shared" si="57"/>
        <v>5</v>
      </c>
      <c r="J183">
        <f t="shared" si="58"/>
        <v>1</v>
      </c>
      <c r="K183">
        <f t="shared" si="59"/>
        <v>1</v>
      </c>
    </row>
    <row r="184" spans="2:11">
      <c r="B184" t="str">
        <f t="shared" si="51"/>
        <v>OIL_LIN</v>
      </c>
      <c r="C184">
        <f t="shared" si="52"/>
        <v>2035</v>
      </c>
      <c r="D184" t="str">
        <f t="shared" si="53"/>
        <v>default</v>
      </c>
      <c r="E184" t="str">
        <f t="shared" si="54"/>
        <v>DE0</v>
      </c>
      <c r="F184" s="26">
        <f t="shared" si="55"/>
        <v>1060.97281239206</v>
      </c>
      <c r="H184">
        <f t="shared" si="56"/>
        <v>9</v>
      </c>
      <c r="I184">
        <f t="shared" si="57"/>
        <v>5</v>
      </c>
      <c r="J184">
        <f t="shared" si="58"/>
        <v>1</v>
      </c>
      <c r="K184">
        <f t="shared" si="59"/>
        <v>1</v>
      </c>
    </row>
    <row r="185" spans="2:11">
      <c r="B185" t="str">
        <f t="shared" si="51"/>
        <v>BAL_ELC</v>
      </c>
      <c r="C185">
        <f t="shared" si="52"/>
        <v>2035</v>
      </c>
      <c r="D185" t="str">
        <f t="shared" si="53"/>
        <v>default</v>
      </c>
      <c r="E185" t="str">
        <f t="shared" si="54"/>
        <v>DE0</v>
      </c>
      <c r="F185" s="26">
        <f t="shared" si="55"/>
        <v>7467</v>
      </c>
      <c r="H185">
        <f t="shared" si="56"/>
        <v>10</v>
      </c>
      <c r="I185">
        <f t="shared" si="57"/>
        <v>5</v>
      </c>
      <c r="J185">
        <f t="shared" si="58"/>
        <v>1</v>
      </c>
      <c r="K185">
        <f t="shared" si="59"/>
        <v>1</v>
      </c>
    </row>
    <row r="186" spans="2:11">
      <c r="B186" t="str">
        <f t="shared" si="51"/>
        <v>WAS_ELC</v>
      </c>
      <c r="C186">
        <f t="shared" si="52"/>
        <v>2035</v>
      </c>
      <c r="D186" t="str">
        <f t="shared" si="53"/>
        <v>default</v>
      </c>
      <c r="E186" t="str">
        <f t="shared" si="54"/>
        <v>DE0</v>
      </c>
      <c r="F186" s="26">
        <f t="shared" si="55"/>
        <v>1924</v>
      </c>
      <c r="H186">
        <f t="shared" si="56"/>
        <v>11</v>
      </c>
      <c r="I186">
        <f t="shared" si="57"/>
        <v>5</v>
      </c>
      <c r="J186">
        <f t="shared" si="58"/>
        <v>1</v>
      </c>
      <c r="K186">
        <f t="shared" si="59"/>
        <v>1</v>
      </c>
    </row>
    <row r="187" spans="2:11">
      <c r="B187" t="str">
        <f t="shared" si="51"/>
        <v>LIG_LIN</v>
      </c>
      <c r="C187">
        <f t="shared" si="52"/>
        <v>2035</v>
      </c>
      <c r="D187" t="str">
        <f t="shared" si="53"/>
        <v>default</v>
      </c>
      <c r="E187" t="str">
        <f t="shared" si="54"/>
        <v>DE0</v>
      </c>
      <c r="F187" s="26">
        <f t="shared" si="55"/>
        <v>11775.924582341577</v>
      </c>
      <c r="H187">
        <f t="shared" si="56"/>
        <v>12</v>
      </c>
      <c r="I187">
        <f t="shared" si="57"/>
        <v>5</v>
      </c>
      <c r="J187">
        <f t="shared" si="58"/>
        <v>1</v>
      </c>
      <c r="K187">
        <f t="shared" si="59"/>
        <v>1</v>
      </c>
    </row>
    <row r="188" spans="2:11">
      <c r="B188" t="str">
        <f t="shared" si="51"/>
        <v>HCO_LIN</v>
      </c>
      <c r="C188">
        <f t="shared" si="52"/>
        <v>2035</v>
      </c>
      <c r="D188" t="str">
        <f t="shared" si="53"/>
        <v>default</v>
      </c>
      <c r="E188" t="str">
        <f t="shared" si="54"/>
        <v>DE0</v>
      </c>
      <c r="F188" s="26">
        <f t="shared" si="55"/>
        <v>12593.859233645098</v>
      </c>
      <c r="H188">
        <f t="shared" si="56"/>
        <v>13</v>
      </c>
      <c r="I188">
        <f t="shared" si="57"/>
        <v>5</v>
      </c>
      <c r="J188">
        <f t="shared" si="58"/>
        <v>1</v>
      </c>
      <c r="K188">
        <f t="shared" si="59"/>
        <v>1</v>
      </c>
    </row>
    <row r="189" spans="2:11">
      <c r="B189" t="str">
        <f t="shared" si="51"/>
        <v>GEO_ELC</v>
      </c>
      <c r="C189">
        <f t="shared" si="52"/>
        <v>2035</v>
      </c>
      <c r="D189" t="str">
        <f t="shared" si="53"/>
        <v>default</v>
      </c>
      <c r="E189" t="str">
        <f t="shared" si="54"/>
        <v>DE0</v>
      </c>
      <c r="F189" s="26">
        <f t="shared" si="55"/>
        <v>170.262264109867</v>
      </c>
      <c r="H189">
        <f t="shared" si="56"/>
        <v>14</v>
      </c>
      <c r="I189">
        <f t="shared" si="57"/>
        <v>5</v>
      </c>
      <c r="J189">
        <f t="shared" si="58"/>
        <v>1</v>
      </c>
      <c r="K189">
        <f t="shared" si="59"/>
        <v>1</v>
      </c>
    </row>
    <row r="190" spans="2:11">
      <c r="B190" t="str">
        <f t="shared" si="51"/>
        <v>WIN_OFF</v>
      </c>
      <c r="C190">
        <f t="shared" si="52"/>
        <v>2035</v>
      </c>
      <c r="D190" t="str">
        <f t="shared" si="53"/>
        <v>default</v>
      </c>
      <c r="E190" t="str">
        <f t="shared" si="54"/>
        <v>DE0</v>
      </c>
      <c r="F190" s="26">
        <f t="shared" si="55"/>
        <v>13761.477234318272</v>
      </c>
      <c r="H190">
        <f t="shared" si="56"/>
        <v>15</v>
      </c>
      <c r="I190">
        <f t="shared" si="57"/>
        <v>5</v>
      </c>
      <c r="J190">
        <f t="shared" si="58"/>
        <v>1</v>
      </c>
      <c r="K190">
        <f t="shared" si="59"/>
        <v>1</v>
      </c>
    </row>
    <row r="191" spans="2:11">
      <c r="B191" t="str">
        <f t="shared" si="51"/>
        <v>NUC_ELC</v>
      </c>
      <c r="C191">
        <f t="shared" si="52"/>
        <v>2040</v>
      </c>
      <c r="D191" t="str">
        <f t="shared" si="53"/>
        <v>default</v>
      </c>
      <c r="E191" t="str">
        <f t="shared" si="54"/>
        <v>DE0</v>
      </c>
      <c r="F191" s="26">
        <f t="shared" si="55"/>
        <v>0</v>
      </c>
      <c r="H191">
        <f t="shared" si="56"/>
        <v>1</v>
      </c>
      <c r="I191">
        <f t="shared" si="57"/>
        <v>6</v>
      </c>
      <c r="J191">
        <f t="shared" si="58"/>
        <v>1</v>
      </c>
      <c r="K191">
        <f t="shared" si="59"/>
        <v>1</v>
      </c>
    </row>
    <row r="192" spans="2:11">
      <c r="B192" t="str">
        <f t="shared" si="51"/>
        <v>SOL_PHO</v>
      </c>
      <c r="C192">
        <f t="shared" si="52"/>
        <v>2040</v>
      </c>
      <c r="D192" t="str">
        <f t="shared" si="53"/>
        <v>default</v>
      </c>
      <c r="E192" t="str">
        <f t="shared" si="54"/>
        <v>DE0</v>
      </c>
      <c r="F192" s="26">
        <f t="shared" si="55"/>
        <v>65956.280250018506</v>
      </c>
      <c r="H192">
        <f t="shared" si="56"/>
        <v>2</v>
      </c>
      <c r="I192">
        <f t="shared" si="57"/>
        <v>6</v>
      </c>
      <c r="J192">
        <f t="shared" si="58"/>
        <v>1</v>
      </c>
      <c r="K192">
        <f t="shared" si="59"/>
        <v>1</v>
      </c>
    </row>
    <row r="193" spans="2:11">
      <c r="B193" t="str">
        <f t="shared" si="51"/>
        <v>WIN_ONS</v>
      </c>
      <c r="C193">
        <f t="shared" si="52"/>
        <v>2040</v>
      </c>
      <c r="D193" t="str">
        <f t="shared" si="53"/>
        <v>default</v>
      </c>
      <c r="E193" t="str">
        <f t="shared" si="54"/>
        <v>DE0</v>
      </c>
      <c r="F193" s="26">
        <f t="shared" si="55"/>
        <v>55194.439913639544</v>
      </c>
      <c r="H193">
        <f t="shared" si="56"/>
        <v>3</v>
      </c>
      <c r="I193">
        <f t="shared" si="57"/>
        <v>6</v>
      </c>
      <c r="J193">
        <f t="shared" si="58"/>
        <v>1</v>
      </c>
      <c r="K193">
        <f t="shared" si="59"/>
        <v>1</v>
      </c>
    </row>
    <row r="194" spans="2:11">
      <c r="B194" t="str">
        <f t="shared" si="51"/>
        <v>HYD_ROR</v>
      </c>
      <c r="C194">
        <f t="shared" si="52"/>
        <v>2040</v>
      </c>
      <c r="D194" t="str">
        <f t="shared" si="53"/>
        <v>default</v>
      </c>
      <c r="E194" t="str">
        <f t="shared" si="54"/>
        <v>DE0</v>
      </c>
      <c r="F194" s="26">
        <f t="shared" si="55"/>
        <v>4678.204922959434</v>
      </c>
      <c r="H194">
        <f t="shared" si="56"/>
        <v>4</v>
      </c>
      <c r="I194">
        <f t="shared" si="57"/>
        <v>6</v>
      </c>
      <c r="J194">
        <f t="shared" si="58"/>
        <v>1</v>
      </c>
      <c r="K194">
        <f t="shared" si="59"/>
        <v>1</v>
      </c>
    </row>
    <row r="195" spans="2:11">
      <c r="B195" t="str">
        <f t="shared" si="51"/>
        <v>HYD_RES</v>
      </c>
      <c r="C195">
        <f t="shared" si="52"/>
        <v>2040</v>
      </c>
      <c r="D195" t="str">
        <f t="shared" si="53"/>
        <v>default</v>
      </c>
      <c r="E195" t="str">
        <f t="shared" si="54"/>
        <v>DE0</v>
      </c>
      <c r="F195" s="26">
        <f t="shared" si="55"/>
        <v>1879.3423816011366</v>
      </c>
      <c r="H195">
        <f t="shared" si="56"/>
        <v>5</v>
      </c>
      <c r="I195">
        <f t="shared" si="57"/>
        <v>6</v>
      </c>
      <c r="J195">
        <f t="shared" si="58"/>
        <v>1</v>
      </c>
      <c r="K195">
        <f t="shared" si="59"/>
        <v>1</v>
      </c>
    </row>
    <row r="196" spans="2:11">
      <c r="B196" t="str">
        <f t="shared" si="51"/>
        <v>HYD_STO</v>
      </c>
      <c r="C196">
        <f t="shared" si="52"/>
        <v>2040</v>
      </c>
      <c r="D196" t="str">
        <f t="shared" si="53"/>
        <v>default</v>
      </c>
      <c r="E196" t="str">
        <f t="shared" si="54"/>
        <v>DE0</v>
      </c>
      <c r="F196" s="26">
        <f t="shared" si="55"/>
        <v>8149.2</v>
      </c>
      <c r="H196">
        <f t="shared" si="56"/>
        <v>6</v>
      </c>
      <c r="I196">
        <f t="shared" si="57"/>
        <v>6</v>
      </c>
      <c r="J196">
        <f t="shared" si="58"/>
        <v>1</v>
      </c>
      <c r="K196">
        <f t="shared" si="59"/>
        <v>1</v>
      </c>
    </row>
    <row r="197" spans="2:11">
      <c r="B197" t="str">
        <f t="shared" si="51"/>
        <v>GAS_LIN</v>
      </c>
      <c r="C197">
        <f t="shared" si="52"/>
        <v>2040</v>
      </c>
      <c r="D197" t="str">
        <f t="shared" si="53"/>
        <v>default</v>
      </c>
      <c r="E197" t="str">
        <f t="shared" si="54"/>
        <v>DE0</v>
      </c>
      <c r="F197" s="26">
        <f t="shared" si="55"/>
        <v>21891.232619999999</v>
      </c>
      <c r="H197">
        <f t="shared" si="56"/>
        <v>7</v>
      </c>
      <c r="I197">
        <f t="shared" si="57"/>
        <v>6</v>
      </c>
      <c r="J197">
        <f t="shared" si="58"/>
        <v>1</v>
      </c>
      <c r="K197">
        <f t="shared" si="59"/>
        <v>1</v>
      </c>
    </row>
    <row r="198" spans="2:11">
      <c r="B198" t="str">
        <f t="shared" si="51"/>
        <v>GAS_NEW</v>
      </c>
      <c r="C198">
        <f t="shared" si="52"/>
        <v>2040</v>
      </c>
      <c r="D198" t="str">
        <f t="shared" si="53"/>
        <v>default</v>
      </c>
      <c r="E198" t="str">
        <f t="shared" si="54"/>
        <v>DE0</v>
      </c>
      <c r="F198" s="26">
        <f t="shared" si="55"/>
        <v>20128.794255375</v>
      </c>
      <c r="H198">
        <f t="shared" si="56"/>
        <v>8</v>
      </c>
      <c r="I198">
        <f t="shared" si="57"/>
        <v>6</v>
      </c>
      <c r="J198">
        <f t="shared" si="58"/>
        <v>1</v>
      </c>
      <c r="K198">
        <f t="shared" si="59"/>
        <v>1</v>
      </c>
    </row>
    <row r="199" spans="2:11">
      <c r="B199" t="str">
        <f t="shared" si="51"/>
        <v>OIL_LIN</v>
      </c>
      <c r="C199">
        <f t="shared" si="52"/>
        <v>2040</v>
      </c>
      <c r="D199" t="str">
        <f t="shared" si="53"/>
        <v>default</v>
      </c>
      <c r="E199" t="str">
        <f t="shared" si="54"/>
        <v>DE0</v>
      </c>
      <c r="F199" s="26">
        <f t="shared" si="55"/>
        <v>862.853412392064</v>
      </c>
      <c r="H199">
        <f t="shared" si="56"/>
        <v>9</v>
      </c>
      <c r="I199">
        <f t="shared" si="57"/>
        <v>6</v>
      </c>
      <c r="J199">
        <f t="shared" si="58"/>
        <v>1</v>
      </c>
      <c r="K199">
        <f t="shared" si="59"/>
        <v>1</v>
      </c>
    </row>
    <row r="200" spans="2:11">
      <c r="B200" t="str">
        <f t="shared" si="51"/>
        <v>BAL_ELC</v>
      </c>
      <c r="C200">
        <f t="shared" si="52"/>
        <v>2040</v>
      </c>
      <c r="D200" t="str">
        <f t="shared" si="53"/>
        <v>default</v>
      </c>
      <c r="E200" t="str">
        <f t="shared" si="54"/>
        <v>DE0</v>
      </c>
      <c r="F200" s="26">
        <f t="shared" si="55"/>
        <v>7467</v>
      </c>
      <c r="H200">
        <f t="shared" si="56"/>
        <v>10</v>
      </c>
      <c r="I200">
        <f t="shared" si="57"/>
        <v>6</v>
      </c>
      <c r="J200">
        <f t="shared" si="58"/>
        <v>1</v>
      </c>
      <c r="K200">
        <f t="shared" si="59"/>
        <v>1</v>
      </c>
    </row>
    <row r="201" spans="2:11">
      <c r="B201" t="str">
        <f t="shared" si="51"/>
        <v>WAS_ELC</v>
      </c>
      <c r="C201">
        <f t="shared" si="52"/>
        <v>2040</v>
      </c>
      <c r="D201" t="str">
        <f t="shared" si="53"/>
        <v>default</v>
      </c>
      <c r="E201" t="str">
        <f t="shared" si="54"/>
        <v>DE0</v>
      </c>
      <c r="F201" s="26">
        <f t="shared" si="55"/>
        <v>1924</v>
      </c>
      <c r="H201">
        <f t="shared" si="56"/>
        <v>11</v>
      </c>
      <c r="I201">
        <f t="shared" si="57"/>
        <v>6</v>
      </c>
      <c r="J201">
        <f t="shared" si="58"/>
        <v>1</v>
      </c>
      <c r="K201">
        <f t="shared" si="59"/>
        <v>1</v>
      </c>
    </row>
    <row r="202" spans="2:11">
      <c r="B202" t="str">
        <f t="shared" si="51"/>
        <v>LIG_LIN</v>
      </c>
      <c r="C202">
        <f t="shared" si="52"/>
        <v>2040</v>
      </c>
      <c r="D202" t="str">
        <f t="shared" si="53"/>
        <v>default</v>
      </c>
      <c r="E202" t="str">
        <f t="shared" si="54"/>
        <v>DE0</v>
      </c>
      <c r="F202" s="26">
        <f t="shared" si="55"/>
        <v>10501.691860395493</v>
      </c>
      <c r="H202">
        <f t="shared" si="56"/>
        <v>12</v>
      </c>
      <c r="I202">
        <f t="shared" si="57"/>
        <v>6</v>
      </c>
      <c r="J202">
        <f t="shared" si="58"/>
        <v>1</v>
      </c>
      <c r="K202">
        <f t="shared" si="59"/>
        <v>1</v>
      </c>
    </row>
    <row r="203" spans="2:11">
      <c r="B203" t="str">
        <f t="shared" si="51"/>
        <v>HCO_LIN</v>
      </c>
      <c r="C203">
        <f t="shared" si="52"/>
        <v>2040</v>
      </c>
      <c r="D203" t="str">
        <f t="shared" si="53"/>
        <v>default</v>
      </c>
      <c r="E203" t="str">
        <f t="shared" si="54"/>
        <v>DE0</v>
      </c>
      <c r="F203" s="26">
        <f t="shared" si="55"/>
        <v>11362.487577206884</v>
      </c>
      <c r="H203">
        <f t="shared" si="56"/>
        <v>13</v>
      </c>
      <c r="I203">
        <f t="shared" si="57"/>
        <v>6</v>
      </c>
      <c r="J203">
        <f t="shared" si="58"/>
        <v>1</v>
      </c>
      <c r="K203">
        <f t="shared" si="59"/>
        <v>1</v>
      </c>
    </row>
    <row r="204" spans="2:11">
      <c r="B204" t="str">
        <f t="shared" si="51"/>
        <v>GEO_ELC</v>
      </c>
      <c r="C204">
        <f t="shared" si="52"/>
        <v>2040</v>
      </c>
      <c r="D204" t="str">
        <f t="shared" si="53"/>
        <v>default</v>
      </c>
      <c r="E204" t="str">
        <f t="shared" si="54"/>
        <v>DE0</v>
      </c>
      <c r="F204" s="26">
        <f t="shared" si="55"/>
        <v>170.262264109867</v>
      </c>
      <c r="H204">
        <f t="shared" si="56"/>
        <v>14</v>
      </c>
      <c r="I204">
        <f t="shared" si="57"/>
        <v>6</v>
      </c>
      <c r="J204">
        <f t="shared" si="58"/>
        <v>1</v>
      </c>
      <c r="K204">
        <f t="shared" si="59"/>
        <v>1</v>
      </c>
    </row>
    <row r="205" spans="2:11">
      <c r="B205" t="str">
        <f t="shared" si="51"/>
        <v>WIN_OFF</v>
      </c>
      <c r="C205">
        <f t="shared" si="52"/>
        <v>2040</v>
      </c>
      <c r="D205" t="str">
        <f t="shared" si="53"/>
        <v>default</v>
      </c>
      <c r="E205" t="str">
        <f t="shared" si="54"/>
        <v>DE0</v>
      </c>
      <c r="F205" s="26">
        <f t="shared" si="55"/>
        <v>14209.950655273055</v>
      </c>
      <c r="H205">
        <f t="shared" si="56"/>
        <v>15</v>
      </c>
      <c r="I205">
        <f t="shared" si="57"/>
        <v>6</v>
      </c>
      <c r="J205">
        <f t="shared" si="58"/>
        <v>1</v>
      </c>
      <c r="K205">
        <f t="shared" si="59"/>
        <v>1</v>
      </c>
    </row>
    <row r="206" spans="2:11">
      <c r="B206" t="str">
        <f t="shared" si="51"/>
        <v>NUC_ELC</v>
      </c>
      <c r="C206">
        <f t="shared" si="52"/>
        <v>2045</v>
      </c>
      <c r="D206" t="str">
        <f t="shared" si="53"/>
        <v>default</v>
      </c>
      <c r="E206" t="str">
        <f t="shared" si="54"/>
        <v>DE0</v>
      </c>
      <c r="F206" s="26">
        <f t="shared" si="55"/>
        <v>0</v>
      </c>
      <c r="H206">
        <f t="shared" si="56"/>
        <v>1</v>
      </c>
      <c r="I206">
        <f t="shared" si="57"/>
        <v>7</v>
      </c>
      <c r="J206">
        <f t="shared" si="58"/>
        <v>1</v>
      </c>
      <c r="K206">
        <f t="shared" si="59"/>
        <v>1</v>
      </c>
    </row>
    <row r="207" spans="2:11">
      <c r="B207" t="str">
        <f t="shared" si="51"/>
        <v>SOL_PHO</v>
      </c>
      <c r="C207">
        <f t="shared" si="52"/>
        <v>2045</v>
      </c>
      <c r="D207" t="str">
        <f t="shared" si="53"/>
        <v>default</v>
      </c>
      <c r="E207" t="str">
        <f t="shared" si="54"/>
        <v>DE0</v>
      </c>
      <c r="F207" s="26">
        <f t="shared" si="55"/>
        <v>70530.792539669201</v>
      </c>
      <c r="H207">
        <f t="shared" si="56"/>
        <v>2</v>
      </c>
      <c r="I207">
        <f t="shared" si="57"/>
        <v>7</v>
      </c>
      <c r="J207">
        <f t="shared" si="58"/>
        <v>1</v>
      </c>
      <c r="K207">
        <f t="shared" si="59"/>
        <v>1</v>
      </c>
    </row>
    <row r="208" spans="2:11">
      <c r="B208" t="str">
        <f t="shared" si="51"/>
        <v>WIN_ONS</v>
      </c>
      <c r="C208">
        <f t="shared" si="52"/>
        <v>2045</v>
      </c>
      <c r="D208" t="str">
        <f t="shared" si="53"/>
        <v>default</v>
      </c>
      <c r="E208" t="str">
        <f t="shared" si="54"/>
        <v>DE0</v>
      </c>
      <c r="F208" s="26">
        <f t="shared" si="55"/>
        <v>64608.12587084416</v>
      </c>
      <c r="H208">
        <f t="shared" si="56"/>
        <v>3</v>
      </c>
      <c r="I208">
        <f t="shared" si="57"/>
        <v>7</v>
      </c>
      <c r="J208">
        <f t="shared" si="58"/>
        <v>1</v>
      </c>
      <c r="K208">
        <f t="shared" si="59"/>
        <v>1</v>
      </c>
    </row>
    <row r="209" spans="2:11">
      <c r="B209" t="str">
        <f t="shared" si="51"/>
        <v>HYD_ROR</v>
      </c>
      <c r="C209">
        <f t="shared" si="52"/>
        <v>2045</v>
      </c>
      <c r="D209" t="str">
        <f t="shared" si="53"/>
        <v>default</v>
      </c>
      <c r="E209" t="str">
        <f t="shared" si="54"/>
        <v>DE0</v>
      </c>
      <c r="F209" s="26">
        <f t="shared" si="55"/>
        <v>4958.7069275755712</v>
      </c>
      <c r="H209">
        <f t="shared" si="56"/>
        <v>4</v>
      </c>
      <c r="I209">
        <f t="shared" si="57"/>
        <v>7</v>
      </c>
      <c r="J209">
        <f t="shared" si="58"/>
        <v>1</v>
      </c>
      <c r="K209">
        <f t="shared" si="59"/>
        <v>1</v>
      </c>
    </row>
    <row r="210" spans="2:11">
      <c r="B210" t="str">
        <f t="shared" si="51"/>
        <v>HYD_RES</v>
      </c>
      <c r="C210">
        <f t="shared" si="52"/>
        <v>2045</v>
      </c>
      <c r="D210" t="str">
        <f t="shared" si="53"/>
        <v>default</v>
      </c>
      <c r="E210" t="str">
        <f t="shared" si="54"/>
        <v>DE0</v>
      </c>
      <c r="F210" s="26">
        <f t="shared" si="55"/>
        <v>1992.0264803271289</v>
      </c>
      <c r="H210">
        <f t="shared" si="56"/>
        <v>5</v>
      </c>
      <c r="I210">
        <f t="shared" si="57"/>
        <v>7</v>
      </c>
      <c r="J210">
        <f t="shared" si="58"/>
        <v>1</v>
      </c>
      <c r="K210">
        <f t="shared" si="59"/>
        <v>1</v>
      </c>
    </row>
    <row r="211" spans="2:11">
      <c r="B211" t="str">
        <f t="shared" si="51"/>
        <v>HYD_STO</v>
      </c>
      <c r="C211">
        <f t="shared" si="52"/>
        <v>2045</v>
      </c>
      <c r="D211" t="str">
        <f t="shared" si="53"/>
        <v>default</v>
      </c>
      <c r="E211" t="str">
        <f t="shared" si="54"/>
        <v>DE0</v>
      </c>
      <c r="F211" s="26">
        <f t="shared" si="55"/>
        <v>8149.2</v>
      </c>
      <c r="H211">
        <f t="shared" si="56"/>
        <v>6</v>
      </c>
      <c r="I211">
        <f t="shared" si="57"/>
        <v>7</v>
      </c>
      <c r="J211">
        <f t="shared" si="58"/>
        <v>1</v>
      </c>
      <c r="K211">
        <f t="shared" si="59"/>
        <v>1</v>
      </c>
    </row>
    <row r="212" spans="2:11">
      <c r="B212" t="str">
        <f t="shared" si="51"/>
        <v>GAS_LIN</v>
      </c>
      <c r="C212">
        <f t="shared" si="52"/>
        <v>2045</v>
      </c>
      <c r="D212" t="str">
        <f t="shared" si="53"/>
        <v>default</v>
      </c>
      <c r="E212" t="str">
        <f t="shared" si="54"/>
        <v>DE0</v>
      </c>
      <c r="F212" s="26">
        <f t="shared" si="55"/>
        <v>21891.232619999999</v>
      </c>
      <c r="H212">
        <f t="shared" si="56"/>
        <v>7</v>
      </c>
      <c r="I212">
        <f t="shared" si="57"/>
        <v>7</v>
      </c>
      <c r="J212">
        <f t="shared" si="58"/>
        <v>1</v>
      </c>
      <c r="K212">
        <f t="shared" si="59"/>
        <v>1</v>
      </c>
    </row>
    <row r="213" spans="2:11">
      <c r="B213" t="str">
        <f t="shared" si="51"/>
        <v>GAS_NEW</v>
      </c>
      <c r="C213">
        <f t="shared" si="52"/>
        <v>2045</v>
      </c>
      <c r="D213" t="str">
        <f t="shared" si="53"/>
        <v>default</v>
      </c>
      <c r="E213" t="str">
        <f t="shared" si="54"/>
        <v>DE0</v>
      </c>
      <c r="F213" s="26">
        <f t="shared" si="55"/>
        <v>21402.099824999099</v>
      </c>
      <c r="H213">
        <f t="shared" si="56"/>
        <v>8</v>
      </c>
      <c r="I213">
        <f t="shared" si="57"/>
        <v>7</v>
      </c>
      <c r="J213">
        <f t="shared" si="58"/>
        <v>1</v>
      </c>
      <c r="K213">
        <f t="shared" si="59"/>
        <v>1</v>
      </c>
    </row>
    <row r="214" spans="2:11">
      <c r="B214" t="str">
        <f t="shared" si="51"/>
        <v>OIL_LIN</v>
      </c>
      <c r="C214">
        <f t="shared" si="52"/>
        <v>2045</v>
      </c>
      <c r="D214" t="str">
        <f t="shared" si="53"/>
        <v>default</v>
      </c>
      <c r="E214" t="str">
        <f t="shared" si="54"/>
        <v>DE0</v>
      </c>
      <c r="F214" s="26">
        <f t="shared" si="55"/>
        <v>833.37662239206395</v>
      </c>
      <c r="H214">
        <f t="shared" si="56"/>
        <v>9</v>
      </c>
      <c r="I214">
        <f t="shared" si="57"/>
        <v>7</v>
      </c>
      <c r="J214">
        <f t="shared" si="58"/>
        <v>1</v>
      </c>
      <c r="K214">
        <f t="shared" si="59"/>
        <v>1</v>
      </c>
    </row>
    <row r="215" spans="2:11">
      <c r="B215" t="str">
        <f t="shared" si="51"/>
        <v>BAL_ELC</v>
      </c>
      <c r="C215">
        <f t="shared" si="52"/>
        <v>2045</v>
      </c>
      <c r="D215" t="str">
        <f t="shared" si="53"/>
        <v>default</v>
      </c>
      <c r="E215" t="str">
        <f t="shared" si="54"/>
        <v>DE0</v>
      </c>
      <c r="F215" s="26">
        <f t="shared" si="55"/>
        <v>7467</v>
      </c>
      <c r="H215">
        <f t="shared" si="56"/>
        <v>10</v>
      </c>
      <c r="I215">
        <f t="shared" si="57"/>
        <v>7</v>
      </c>
      <c r="J215">
        <f t="shared" si="58"/>
        <v>1</v>
      </c>
      <c r="K215">
        <f t="shared" si="59"/>
        <v>1</v>
      </c>
    </row>
    <row r="216" spans="2:11">
      <c r="B216" t="str">
        <f t="shared" si="51"/>
        <v>WAS_ELC</v>
      </c>
      <c r="C216">
        <f t="shared" si="52"/>
        <v>2045</v>
      </c>
      <c r="D216" t="str">
        <f t="shared" si="53"/>
        <v>default</v>
      </c>
      <c r="E216" t="str">
        <f t="shared" si="54"/>
        <v>DE0</v>
      </c>
      <c r="F216" s="26">
        <f t="shared" si="55"/>
        <v>1924</v>
      </c>
      <c r="H216">
        <f t="shared" si="56"/>
        <v>11</v>
      </c>
      <c r="I216">
        <f t="shared" si="57"/>
        <v>7</v>
      </c>
      <c r="J216">
        <f t="shared" si="58"/>
        <v>1</v>
      </c>
      <c r="K216">
        <f t="shared" si="59"/>
        <v>1</v>
      </c>
    </row>
    <row r="217" spans="2:11">
      <c r="B217" t="str">
        <f t="shared" si="51"/>
        <v>LIG_LIN</v>
      </c>
      <c r="C217">
        <f t="shared" si="52"/>
        <v>2045</v>
      </c>
      <c r="D217" t="str">
        <f t="shared" si="53"/>
        <v>default</v>
      </c>
      <c r="E217" t="str">
        <f t="shared" si="54"/>
        <v>DE0</v>
      </c>
      <c r="F217" s="26">
        <f t="shared" si="55"/>
        <v>9309.330063145042</v>
      </c>
      <c r="H217">
        <f t="shared" si="56"/>
        <v>12</v>
      </c>
      <c r="I217">
        <f t="shared" si="57"/>
        <v>7</v>
      </c>
      <c r="J217">
        <f t="shared" si="58"/>
        <v>1</v>
      </c>
      <c r="K217">
        <f t="shared" si="59"/>
        <v>1</v>
      </c>
    </row>
    <row r="218" spans="2:11">
      <c r="B218" t="str">
        <f t="shared" si="51"/>
        <v>HCO_LIN</v>
      </c>
      <c r="C218">
        <f t="shared" si="52"/>
        <v>2045</v>
      </c>
      <c r="D218" t="str">
        <f t="shared" si="53"/>
        <v>default</v>
      </c>
      <c r="E218" t="str">
        <f t="shared" si="54"/>
        <v>DE0</v>
      </c>
      <c r="F218" s="26">
        <f t="shared" si="55"/>
        <v>10210.232972481657</v>
      </c>
      <c r="H218">
        <f t="shared" si="56"/>
        <v>13</v>
      </c>
      <c r="I218">
        <f t="shared" si="57"/>
        <v>7</v>
      </c>
      <c r="J218">
        <f t="shared" si="58"/>
        <v>1</v>
      </c>
      <c r="K218">
        <f t="shared" si="59"/>
        <v>1</v>
      </c>
    </row>
    <row r="219" spans="2:11">
      <c r="B219" t="str">
        <f t="shared" si="51"/>
        <v>GEO_ELC</v>
      </c>
      <c r="C219">
        <f t="shared" si="52"/>
        <v>2045</v>
      </c>
      <c r="D219" t="str">
        <f t="shared" si="53"/>
        <v>default</v>
      </c>
      <c r="E219" t="str">
        <f t="shared" si="54"/>
        <v>DE0</v>
      </c>
      <c r="F219" s="26">
        <f t="shared" si="55"/>
        <v>170.262264109867</v>
      </c>
      <c r="H219">
        <f t="shared" si="56"/>
        <v>14</v>
      </c>
      <c r="I219">
        <f t="shared" si="57"/>
        <v>7</v>
      </c>
      <c r="J219">
        <f t="shared" si="58"/>
        <v>1</v>
      </c>
      <c r="K219">
        <f t="shared" si="59"/>
        <v>1</v>
      </c>
    </row>
    <row r="220" spans="2:11">
      <c r="B220" t="str">
        <f t="shared" si="51"/>
        <v>WIN_OFF</v>
      </c>
      <c r="C220">
        <f t="shared" si="52"/>
        <v>2045</v>
      </c>
      <c r="D220" t="str">
        <f t="shared" si="53"/>
        <v>default</v>
      </c>
      <c r="E220" t="str">
        <f t="shared" si="54"/>
        <v>DE0</v>
      </c>
      <c r="F220" s="26">
        <f t="shared" si="55"/>
        <v>16633.528340732239</v>
      </c>
      <c r="H220">
        <f t="shared" si="56"/>
        <v>15</v>
      </c>
      <c r="I220">
        <f t="shared" si="57"/>
        <v>7</v>
      </c>
      <c r="J220">
        <f t="shared" si="58"/>
        <v>1</v>
      </c>
      <c r="K220">
        <f t="shared" si="59"/>
        <v>1</v>
      </c>
    </row>
    <row r="221" spans="2:11">
      <c r="B221" t="str">
        <f t="shared" si="51"/>
        <v>NUC_ELC</v>
      </c>
      <c r="C221">
        <f t="shared" si="52"/>
        <v>2050</v>
      </c>
      <c r="D221" t="str">
        <f t="shared" si="53"/>
        <v>default</v>
      </c>
      <c r="E221" t="str">
        <f t="shared" si="54"/>
        <v>DE0</v>
      </c>
      <c r="F221" s="26">
        <f t="shared" si="55"/>
        <v>0</v>
      </c>
      <c r="H221">
        <f t="shared" si="56"/>
        <v>1</v>
      </c>
      <c r="I221">
        <f t="shared" si="57"/>
        <v>8</v>
      </c>
      <c r="J221">
        <f t="shared" si="58"/>
        <v>1</v>
      </c>
      <c r="K221">
        <f t="shared" si="59"/>
        <v>1</v>
      </c>
    </row>
    <row r="222" spans="2:11">
      <c r="B222" t="str">
        <f t="shared" si="51"/>
        <v>SOL_PHO</v>
      </c>
      <c r="C222">
        <f t="shared" si="52"/>
        <v>2050</v>
      </c>
      <c r="D222" t="str">
        <f t="shared" si="53"/>
        <v>default</v>
      </c>
      <c r="E222" t="str">
        <f t="shared" si="54"/>
        <v>DE0</v>
      </c>
      <c r="F222" s="26">
        <f t="shared" si="55"/>
        <v>86140.792539669201</v>
      </c>
      <c r="H222">
        <f t="shared" si="56"/>
        <v>2</v>
      </c>
      <c r="I222">
        <f t="shared" si="57"/>
        <v>8</v>
      </c>
      <c r="J222">
        <f t="shared" si="58"/>
        <v>1</v>
      </c>
      <c r="K222">
        <f t="shared" si="59"/>
        <v>1</v>
      </c>
    </row>
    <row r="223" spans="2:11">
      <c r="B223" t="str">
        <f t="shared" si="51"/>
        <v>WIN_ONS</v>
      </c>
      <c r="C223">
        <f t="shared" si="52"/>
        <v>2050</v>
      </c>
      <c r="D223" t="str">
        <f t="shared" si="53"/>
        <v>default</v>
      </c>
      <c r="E223" t="str">
        <f t="shared" si="54"/>
        <v>DE0</v>
      </c>
      <c r="F223" s="26">
        <f t="shared" si="55"/>
        <v>68828.785992298013</v>
      </c>
      <c r="H223">
        <f t="shared" si="56"/>
        <v>3</v>
      </c>
      <c r="I223">
        <f t="shared" si="57"/>
        <v>8</v>
      </c>
      <c r="J223">
        <f t="shared" si="58"/>
        <v>1</v>
      </c>
      <c r="K223">
        <f t="shared" si="59"/>
        <v>1</v>
      </c>
    </row>
    <row r="224" spans="2:11">
      <c r="B224" t="str">
        <f t="shared" si="51"/>
        <v>HYD_ROR</v>
      </c>
      <c r="C224">
        <f t="shared" si="52"/>
        <v>2050</v>
      </c>
      <c r="D224" t="str">
        <f t="shared" si="53"/>
        <v>default</v>
      </c>
      <c r="E224" t="str">
        <f t="shared" si="54"/>
        <v>DE0</v>
      </c>
      <c r="F224" s="26">
        <f t="shared" si="55"/>
        <v>5115.1834718011487</v>
      </c>
      <c r="H224">
        <f t="shared" si="56"/>
        <v>4</v>
      </c>
      <c r="I224">
        <f t="shared" si="57"/>
        <v>8</v>
      </c>
      <c r="J224">
        <f t="shared" si="58"/>
        <v>1</v>
      </c>
      <c r="K224">
        <f t="shared" si="59"/>
        <v>1</v>
      </c>
    </row>
    <row r="225" spans="2:11">
      <c r="B225" t="str">
        <f t="shared" si="51"/>
        <v>HYD_RES</v>
      </c>
      <c r="C225">
        <f t="shared" si="52"/>
        <v>2050</v>
      </c>
      <c r="D225" t="str">
        <f t="shared" si="53"/>
        <v>default</v>
      </c>
      <c r="E225" t="str">
        <f t="shared" si="54"/>
        <v>DE0</v>
      </c>
      <c r="F225" s="26">
        <f t="shared" si="55"/>
        <v>2054.8867025987906</v>
      </c>
      <c r="H225">
        <f t="shared" si="56"/>
        <v>5</v>
      </c>
      <c r="I225">
        <f t="shared" si="57"/>
        <v>8</v>
      </c>
      <c r="J225">
        <f t="shared" si="58"/>
        <v>1</v>
      </c>
      <c r="K225">
        <f t="shared" si="59"/>
        <v>1</v>
      </c>
    </row>
    <row r="226" spans="2:11">
      <c r="B226" t="str">
        <f t="shared" si="51"/>
        <v>HYD_STO</v>
      </c>
      <c r="C226">
        <f t="shared" si="52"/>
        <v>2050</v>
      </c>
      <c r="D226" t="str">
        <f t="shared" si="53"/>
        <v>default</v>
      </c>
      <c r="E226" t="str">
        <f t="shared" si="54"/>
        <v>DE0</v>
      </c>
      <c r="F226" s="26">
        <f t="shared" si="55"/>
        <v>8149.2</v>
      </c>
      <c r="H226">
        <f t="shared" si="56"/>
        <v>6</v>
      </c>
      <c r="I226">
        <f t="shared" si="57"/>
        <v>8</v>
      </c>
      <c r="J226">
        <f t="shared" si="58"/>
        <v>1</v>
      </c>
      <c r="K226">
        <f t="shared" si="59"/>
        <v>1</v>
      </c>
    </row>
    <row r="227" spans="2:11">
      <c r="B227" t="str">
        <f t="shared" si="51"/>
        <v>GAS_LIN</v>
      </c>
      <c r="C227">
        <f t="shared" si="52"/>
        <v>2050</v>
      </c>
      <c r="D227" t="str">
        <f t="shared" si="53"/>
        <v>default</v>
      </c>
      <c r="E227" t="str">
        <f t="shared" si="54"/>
        <v>DE0</v>
      </c>
      <c r="F227" s="26">
        <f t="shared" si="55"/>
        <v>20023.9026197983</v>
      </c>
      <c r="H227">
        <f t="shared" si="56"/>
        <v>7</v>
      </c>
      <c r="I227">
        <f t="shared" si="57"/>
        <v>8</v>
      </c>
      <c r="J227">
        <f t="shared" si="58"/>
        <v>1</v>
      </c>
      <c r="K227">
        <f t="shared" si="59"/>
        <v>1</v>
      </c>
    </row>
    <row r="228" spans="2:11">
      <c r="B228" t="str">
        <f t="shared" si="51"/>
        <v>GAS_NEW</v>
      </c>
      <c r="C228">
        <f t="shared" si="52"/>
        <v>2050</v>
      </c>
      <c r="D228" t="str">
        <f t="shared" si="53"/>
        <v>default</v>
      </c>
      <c r="E228" t="str">
        <f t="shared" si="54"/>
        <v>DE0</v>
      </c>
      <c r="F228" s="26">
        <f t="shared" si="55"/>
        <v>21402.099824999099</v>
      </c>
      <c r="H228">
        <f t="shared" si="56"/>
        <v>8</v>
      </c>
      <c r="I228">
        <f t="shared" si="57"/>
        <v>8</v>
      </c>
      <c r="J228">
        <f t="shared" si="58"/>
        <v>1</v>
      </c>
      <c r="K228">
        <f t="shared" si="59"/>
        <v>1</v>
      </c>
    </row>
    <row r="229" spans="2:11">
      <c r="B229" t="str">
        <f t="shared" si="51"/>
        <v>OIL_LIN</v>
      </c>
      <c r="C229">
        <f t="shared" si="52"/>
        <v>2050</v>
      </c>
      <c r="D229" t="str">
        <f t="shared" si="53"/>
        <v>default</v>
      </c>
      <c r="E229" t="str">
        <f t="shared" si="54"/>
        <v>DE0</v>
      </c>
      <c r="F229" s="26">
        <f t="shared" si="55"/>
        <v>674.14537239206402</v>
      </c>
      <c r="H229">
        <f t="shared" si="56"/>
        <v>9</v>
      </c>
      <c r="I229">
        <f t="shared" si="57"/>
        <v>8</v>
      </c>
      <c r="J229">
        <f t="shared" si="58"/>
        <v>1</v>
      </c>
      <c r="K229">
        <f t="shared" si="59"/>
        <v>1</v>
      </c>
    </row>
    <row r="230" spans="2:11">
      <c r="B230" t="str">
        <f t="shared" si="51"/>
        <v>BAL_ELC</v>
      </c>
      <c r="C230">
        <f t="shared" si="52"/>
        <v>2050</v>
      </c>
      <c r="D230" t="str">
        <f t="shared" si="53"/>
        <v>default</v>
      </c>
      <c r="E230" t="str">
        <f t="shared" si="54"/>
        <v>DE0</v>
      </c>
      <c r="F230" s="26">
        <f t="shared" si="55"/>
        <v>7467</v>
      </c>
      <c r="H230">
        <f t="shared" si="56"/>
        <v>10</v>
      </c>
      <c r="I230">
        <f t="shared" si="57"/>
        <v>8</v>
      </c>
      <c r="J230">
        <f t="shared" si="58"/>
        <v>1</v>
      </c>
      <c r="K230">
        <f t="shared" si="59"/>
        <v>1</v>
      </c>
    </row>
    <row r="231" spans="2:11">
      <c r="B231" t="str">
        <f t="shared" si="51"/>
        <v>WAS_ELC</v>
      </c>
      <c r="C231">
        <f t="shared" si="52"/>
        <v>2050</v>
      </c>
      <c r="D231" t="str">
        <f t="shared" si="53"/>
        <v>default</v>
      </c>
      <c r="E231" t="str">
        <f t="shared" si="54"/>
        <v>DE0</v>
      </c>
      <c r="F231" s="26">
        <f t="shared" si="55"/>
        <v>1924</v>
      </c>
      <c r="H231">
        <f t="shared" si="56"/>
        <v>11</v>
      </c>
      <c r="I231">
        <f t="shared" si="57"/>
        <v>8</v>
      </c>
      <c r="J231">
        <f t="shared" si="58"/>
        <v>1</v>
      </c>
      <c r="K231">
        <f t="shared" si="59"/>
        <v>1</v>
      </c>
    </row>
    <row r="232" spans="2:11">
      <c r="B232" t="str">
        <f t="shared" si="51"/>
        <v>LIG_LIN</v>
      </c>
      <c r="C232">
        <f t="shared" si="52"/>
        <v>2050</v>
      </c>
      <c r="D232" t="str">
        <f t="shared" si="53"/>
        <v>default</v>
      </c>
      <c r="E232" t="str">
        <f t="shared" si="54"/>
        <v>DE0</v>
      </c>
      <c r="F232" s="26">
        <f t="shared" si="55"/>
        <v>9309.330063145042</v>
      </c>
      <c r="H232">
        <f t="shared" si="56"/>
        <v>12</v>
      </c>
      <c r="I232">
        <f t="shared" si="57"/>
        <v>8</v>
      </c>
      <c r="J232">
        <f t="shared" si="58"/>
        <v>1</v>
      </c>
      <c r="K232">
        <f t="shared" si="59"/>
        <v>1</v>
      </c>
    </row>
    <row r="233" spans="2:11">
      <c r="B233" t="str">
        <f t="shared" si="51"/>
        <v>HCO_LIN</v>
      </c>
      <c r="C233">
        <f t="shared" si="52"/>
        <v>2050</v>
      </c>
      <c r="D233" t="str">
        <f t="shared" si="53"/>
        <v>default</v>
      </c>
      <c r="E233" t="str">
        <f t="shared" si="54"/>
        <v>DE0</v>
      </c>
      <c r="F233" s="26">
        <f t="shared" si="55"/>
        <v>10210.232972481657</v>
      </c>
      <c r="H233">
        <f t="shared" si="56"/>
        <v>13</v>
      </c>
      <c r="I233">
        <f t="shared" si="57"/>
        <v>8</v>
      </c>
      <c r="J233">
        <f t="shared" si="58"/>
        <v>1</v>
      </c>
      <c r="K233">
        <f t="shared" si="59"/>
        <v>1</v>
      </c>
    </row>
    <row r="234" spans="2:11">
      <c r="B234" t="str">
        <f t="shared" si="51"/>
        <v>GEO_ELC</v>
      </c>
      <c r="C234">
        <f t="shared" si="52"/>
        <v>2050</v>
      </c>
      <c r="D234" t="str">
        <f t="shared" si="53"/>
        <v>default</v>
      </c>
      <c r="E234" t="str">
        <f t="shared" si="54"/>
        <v>DE0</v>
      </c>
      <c r="F234" s="26">
        <f t="shared" si="55"/>
        <v>170.262264109867</v>
      </c>
      <c r="H234">
        <f t="shared" si="56"/>
        <v>14</v>
      </c>
      <c r="I234">
        <f t="shared" si="57"/>
        <v>8</v>
      </c>
      <c r="J234">
        <f t="shared" si="58"/>
        <v>1</v>
      </c>
      <c r="K234">
        <f t="shared" si="59"/>
        <v>1</v>
      </c>
    </row>
    <row r="235" spans="2:11">
      <c r="B235" t="str">
        <f t="shared" si="51"/>
        <v>WIN_OFF</v>
      </c>
      <c r="C235">
        <f t="shared" si="52"/>
        <v>2050</v>
      </c>
      <c r="D235" t="str">
        <f t="shared" si="53"/>
        <v>default</v>
      </c>
      <c r="E235" t="str">
        <f t="shared" si="54"/>
        <v>DE0</v>
      </c>
      <c r="F235" s="26">
        <f t="shared" si="55"/>
        <v>17720.148155198676</v>
      </c>
      <c r="H235">
        <f t="shared" si="56"/>
        <v>15</v>
      </c>
      <c r="I235">
        <f t="shared" si="57"/>
        <v>8</v>
      </c>
      <c r="J235">
        <f t="shared" si="58"/>
        <v>1</v>
      </c>
      <c r="K235">
        <f t="shared" si="59"/>
        <v>1</v>
      </c>
    </row>
    <row r="236" spans="2:11">
      <c r="B236" t="str">
        <f t="shared" si="51"/>
        <v>NUC_ELC</v>
      </c>
      <c r="C236">
        <f t="shared" si="52"/>
        <v>2015</v>
      </c>
      <c r="D236" t="str">
        <f t="shared" si="53"/>
        <v>default</v>
      </c>
      <c r="E236" t="str">
        <f t="shared" si="54"/>
        <v>FR0</v>
      </c>
      <c r="F236" s="26">
        <f t="shared" si="55"/>
        <v>63246.720000000001</v>
      </c>
      <c r="H236">
        <f t="shared" si="56"/>
        <v>1</v>
      </c>
      <c r="I236">
        <f t="shared" si="57"/>
        <v>1</v>
      </c>
      <c r="J236">
        <f t="shared" si="58"/>
        <v>2</v>
      </c>
      <c r="K236">
        <f t="shared" si="59"/>
        <v>1</v>
      </c>
    </row>
    <row r="237" spans="2:11">
      <c r="B237" t="str">
        <f t="shared" si="51"/>
        <v>SOL_PHO</v>
      </c>
      <c r="C237">
        <f t="shared" si="52"/>
        <v>2015</v>
      </c>
      <c r="D237" t="str">
        <f t="shared" si="53"/>
        <v>default</v>
      </c>
      <c r="E237" t="str">
        <f t="shared" si="54"/>
        <v>FR0</v>
      </c>
      <c r="F237" s="26">
        <f t="shared" si="55"/>
        <v>6100.17</v>
      </c>
      <c r="H237">
        <f t="shared" si="56"/>
        <v>2</v>
      </c>
      <c r="I237">
        <f t="shared" si="57"/>
        <v>1</v>
      </c>
      <c r="J237">
        <f t="shared" si="58"/>
        <v>2</v>
      </c>
      <c r="K237">
        <f t="shared" si="59"/>
        <v>1</v>
      </c>
    </row>
    <row r="238" spans="2:11">
      <c r="B238" t="str">
        <f t="shared" si="51"/>
        <v>WIN_ONS</v>
      </c>
      <c r="C238">
        <f t="shared" si="52"/>
        <v>2015</v>
      </c>
      <c r="D238" t="str">
        <f t="shared" si="53"/>
        <v>default</v>
      </c>
      <c r="E238" t="str">
        <f t="shared" si="54"/>
        <v>FR0</v>
      </c>
      <c r="F238" s="26">
        <f t="shared" si="55"/>
        <v>10358.200000000001</v>
      </c>
      <c r="H238">
        <f t="shared" si="56"/>
        <v>3</v>
      </c>
      <c r="I238">
        <f t="shared" si="57"/>
        <v>1</v>
      </c>
      <c r="J238">
        <f t="shared" si="58"/>
        <v>2</v>
      </c>
      <c r="K238">
        <f t="shared" si="59"/>
        <v>1</v>
      </c>
    </row>
    <row r="239" spans="2:11">
      <c r="B239" t="str">
        <f t="shared" si="51"/>
        <v>HYD_ROR</v>
      </c>
      <c r="C239">
        <f t="shared" si="52"/>
        <v>2015</v>
      </c>
      <c r="D239" t="str">
        <f t="shared" si="53"/>
        <v>default</v>
      </c>
      <c r="E239" t="str">
        <f t="shared" si="54"/>
        <v>FR0</v>
      </c>
      <c r="F239" s="26">
        <f t="shared" si="55"/>
        <v>10381.042848444713</v>
      </c>
      <c r="H239">
        <f t="shared" si="56"/>
        <v>4</v>
      </c>
      <c r="I239">
        <f t="shared" si="57"/>
        <v>1</v>
      </c>
      <c r="J239">
        <f t="shared" si="58"/>
        <v>2</v>
      </c>
      <c r="K239">
        <f t="shared" si="59"/>
        <v>1</v>
      </c>
    </row>
    <row r="240" spans="2:11">
      <c r="B240" t="str">
        <f t="shared" si="51"/>
        <v>HYD_RES</v>
      </c>
      <c r="C240">
        <f t="shared" si="52"/>
        <v>2015</v>
      </c>
      <c r="D240" t="str">
        <f t="shared" si="53"/>
        <v>default</v>
      </c>
      <c r="E240" t="str">
        <f t="shared" si="54"/>
        <v>FR0</v>
      </c>
      <c r="F240" s="26">
        <f t="shared" si="55"/>
        <v>8260.7181154014052</v>
      </c>
      <c r="H240">
        <f t="shared" si="56"/>
        <v>5</v>
      </c>
      <c r="I240">
        <f t="shared" si="57"/>
        <v>1</v>
      </c>
      <c r="J240">
        <f t="shared" si="58"/>
        <v>2</v>
      </c>
      <c r="K240">
        <f t="shared" si="59"/>
        <v>1</v>
      </c>
    </row>
    <row r="241" spans="2:11">
      <c r="B241" t="str">
        <f t="shared" si="51"/>
        <v>HYD_STO</v>
      </c>
      <c r="C241">
        <f t="shared" si="52"/>
        <v>2015</v>
      </c>
      <c r="D241" t="str">
        <f t="shared" si="53"/>
        <v>default</v>
      </c>
      <c r="E241" t="str">
        <f t="shared" si="54"/>
        <v>FR0</v>
      </c>
      <c r="F241" s="26">
        <f t="shared" si="55"/>
        <v>4993.239036153881</v>
      </c>
      <c r="H241">
        <f t="shared" si="56"/>
        <v>6</v>
      </c>
      <c r="I241">
        <f t="shared" si="57"/>
        <v>1</v>
      </c>
      <c r="J241">
        <f t="shared" si="58"/>
        <v>2</v>
      </c>
      <c r="K241">
        <f t="shared" si="59"/>
        <v>1</v>
      </c>
    </row>
    <row r="242" spans="2:11">
      <c r="B242" t="str">
        <f t="shared" si="51"/>
        <v>GAS_LIN</v>
      </c>
      <c r="C242">
        <f t="shared" si="52"/>
        <v>2015</v>
      </c>
      <c r="D242" t="str">
        <f t="shared" si="53"/>
        <v>default</v>
      </c>
      <c r="E242" t="str">
        <f t="shared" si="54"/>
        <v>FR0</v>
      </c>
      <c r="F242" s="26">
        <f t="shared" si="55"/>
        <v>9646.1954399999995</v>
      </c>
      <c r="H242">
        <f t="shared" si="56"/>
        <v>7</v>
      </c>
      <c r="I242">
        <f t="shared" si="57"/>
        <v>1</v>
      </c>
      <c r="J242">
        <f t="shared" si="58"/>
        <v>2</v>
      </c>
      <c r="K242">
        <f t="shared" si="59"/>
        <v>1</v>
      </c>
    </row>
    <row r="243" spans="2:11">
      <c r="B243" t="str">
        <f t="shared" si="51"/>
        <v>GAS_NEW</v>
      </c>
      <c r="C243">
        <f t="shared" si="52"/>
        <v>2015</v>
      </c>
      <c r="D243" t="str">
        <f t="shared" si="53"/>
        <v>default</v>
      </c>
      <c r="E243" t="str">
        <f t="shared" si="54"/>
        <v>FR0</v>
      </c>
      <c r="F243" s="26">
        <f t="shared" si="55"/>
        <v>0</v>
      </c>
      <c r="H243">
        <f t="shared" si="56"/>
        <v>8</v>
      </c>
      <c r="I243">
        <f t="shared" si="57"/>
        <v>1</v>
      </c>
      <c r="J243">
        <f t="shared" si="58"/>
        <v>2</v>
      </c>
      <c r="K243">
        <f t="shared" si="59"/>
        <v>1</v>
      </c>
    </row>
    <row r="244" spans="2:11">
      <c r="B244" t="str">
        <f t="shared" ref="B244:B307" si="60">INDEX(H$100:H$114,H244)</f>
        <v>OIL_LIN</v>
      </c>
      <c r="C244">
        <f t="shared" ref="C244:C307" si="61">INDEX(I$100:I$114,I244)</f>
        <v>2015</v>
      </c>
      <c r="D244" t="str">
        <f t="shared" ref="D244:D307" si="62">INDEX(K$100:K$114,K244)</f>
        <v>default</v>
      </c>
      <c r="E244" t="str">
        <f t="shared" ref="E244:E307" si="63">INDEX(J$100:J$114,J244)</f>
        <v>FR0</v>
      </c>
      <c r="F244" s="26">
        <f t="shared" ref="F244:F307" si="64">INDEX($P$6:$X$84,MATCH(E244&amp;"."&amp;B244,$Z$6:$Z$84,0),MATCH(C244,$P$5:$X$5,0))</f>
        <v>7692.8021099999996</v>
      </c>
      <c r="H244">
        <f t="shared" si="56"/>
        <v>9</v>
      </c>
      <c r="I244">
        <f t="shared" si="57"/>
        <v>1</v>
      </c>
      <c r="J244">
        <f t="shared" si="58"/>
        <v>2</v>
      </c>
      <c r="K244">
        <f t="shared" si="59"/>
        <v>1</v>
      </c>
    </row>
    <row r="245" spans="2:11">
      <c r="B245" t="str">
        <f t="shared" si="60"/>
        <v>BAL_ELC</v>
      </c>
      <c r="C245">
        <f t="shared" si="61"/>
        <v>2015</v>
      </c>
      <c r="D245" t="str">
        <f t="shared" si="62"/>
        <v>default</v>
      </c>
      <c r="E245" t="str">
        <f t="shared" si="63"/>
        <v>FR0</v>
      </c>
      <c r="F245" s="26">
        <f t="shared" si="64"/>
        <v>922.97180000000003</v>
      </c>
      <c r="H245">
        <f t="shared" ref="H245:H308" si="65">IF(H244=$H$99,1,H244+1)</f>
        <v>10</v>
      </c>
      <c r="I245">
        <f t="shared" ref="I245:I308" si="66">IF(H245=1,IF(I244=$I$99,1,I244+1),I244)</f>
        <v>1</v>
      </c>
      <c r="J245">
        <f t="shared" ref="J245:J308" si="67">IF(AND(I245=1,I244&gt;1),IF(J244=$J$99,1,J244+1),J244)</f>
        <v>2</v>
      </c>
      <c r="K245">
        <f t="shared" ref="K245:K308" si="68">IF(AND(J245=1,J244&gt;1),IF(K244=$K$99,1,K244+1),K244)</f>
        <v>1</v>
      </c>
    </row>
    <row r="246" spans="2:11">
      <c r="B246" t="str">
        <f t="shared" si="60"/>
        <v>WAS_ELC</v>
      </c>
      <c r="C246">
        <f t="shared" si="61"/>
        <v>2015</v>
      </c>
      <c r="D246" t="str">
        <f t="shared" si="62"/>
        <v>default</v>
      </c>
      <c r="E246" t="str">
        <f t="shared" si="63"/>
        <v>FR0</v>
      </c>
      <c r="F246" s="26">
        <f t="shared" si="64"/>
        <v>779.92819999999995</v>
      </c>
      <c r="H246">
        <f t="shared" si="65"/>
        <v>11</v>
      </c>
      <c r="I246">
        <f t="shared" si="66"/>
        <v>1</v>
      </c>
      <c r="J246">
        <f t="shared" si="67"/>
        <v>2</v>
      </c>
      <c r="K246">
        <f t="shared" si="68"/>
        <v>1</v>
      </c>
    </row>
    <row r="247" spans="2:11">
      <c r="B247" t="str">
        <f t="shared" si="60"/>
        <v>LIG_LIN</v>
      </c>
      <c r="C247">
        <f t="shared" si="61"/>
        <v>2015</v>
      </c>
      <c r="D247" t="str">
        <f t="shared" si="62"/>
        <v>default</v>
      </c>
      <c r="E247" t="str">
        <f t="shared" si="63"/>
        <v>FR0</v>
      </c>
      <c r="F247" s="26">
        <f t="shared" si="64"/>
        <v>0</v>
      </c>
      <c r="H247">
        <f t="shared" si="65"/>
        <v>12</v>
      </c>
      <c r="I247">
        <f t="shared" si="66"/>
        <v>1</v>
      </c>
      <c r="J247">
        <f t="shared" si="67"/>
        <v>2</v>
      </c>
      <c r="K247">
        <f t="shared" si="68"/>
        <v>1</v>
      </c>
    </row>
    <row r="248" spans="2:11">
      <c r="B248" t="str">
        <f t="shared" si="60"/>
        <v>HCO_LIN</v>
      </c>
      <c r="C248">
        <f t="shared" si="61"/>
        <v>2015</v>
      </c>
      <c r="D248" t="str">
        <f t="shared" si="62"/>
        <v>default</v>
      </c>
      <c r="E248" t="str">
        <f t="shared" si="63"/>
        <v>FR0</v>
      </c>
      <c r="F248" s="26">
        <f t="shared" si="64"/>
        <v>5384.8374999999996</v>
      </c>
      <c r="H248">
        <f t="shared" si="65"/>
        <v>13</v>
      </c>
      <c r="I248">
        <f t="shared" si="66"/>
        <v>1</v>
      </c>
      <c r="J248">
        <f t="shared" si="67"/>
        <v>2</v>
      </c>
      <c r="K248">
        <f t="shared" si="68"/>
        <v>1</v>
      </c>
    </row>
    <row r="249" spans="2:11">
      <c r="B249" t="str">
        <f t="shared" si="60"/>
        <v>GEO_ELC</v>
      </c>
      <c r="C249">
        <f t="shared" si="61"/>
        <v>2015</v>
      </c>
      <c r="D249" t="str">
        <f t="shared" si="62"/>
        <v>default</v>
      </c>
      <c r="E249" t="str">
        <f t="shared" si="63"/>
        <v>FR0</v>
      </c>
      <c r="F249" s="26">
        <f t="shared" si="64"/>
        <v>2</v>
      </c>
      <c r="H249">
        <f t="shared" si="65"/>
        <v>14</v>
      </c>
      <c r="I249">
        <f t="shared" si="66"/>
        <v>1</v>
      </c>
      <c r="J249">
        <f t="shared" si="67"/>
        <v>2</v>
      </c>
      <c r="K249">
        <f t="shared" si="68"/>
        <v>1</v>
      </c>
    </row>
    <row r="250" spans="2:11">
      <c r="B250" t="str">
        <f t="shared" si="60"/>
        <v>WIN_OFF</v>
      </c>
      <c r="C250">
        <f t="shared" si="61"/>
        <v>2015</v>
      </c>
      <c r="D250" t="str">
        <f t="shared" si="62"/>
        <v>default</v>
      </c>
      <c r="E250" t="str">
        <f t="shared" si="63"/>
        <v>FR0</v>
      </c>
      <c r="F250" s="26">
        <f t="shared" si="64"/>
        <v>0</v>
      </c>
      <c r="H250">
        <f t="shared" si="65"/>
        <v>15</v>
      </c>
      <c r="I250">
        <f t="shared" si="66"/>
        <v>1</v>
      </c>
      <c r="J250">
        <f t="shared" si="67"/>
        <v>2</v>
      </c>
      <c r="K250">
        <f t="shared" si="68"/>
        <v>1</v>
      </c>
    </row>
    <row r="251" spans="2:11">
      <c r="B251" t="str">
        <f t="shared" si="60"/>
        <v>NUC_ELC</v>
      </c>
      <c r="C251">
        <f t="shared" si="61"/>
        <v>2020</v>
      </c>
      <c r="D251" t="str">
        <f t="shared" si="62"/>
        <v>default</v>
      </c>
      <c r="E251" t="str">
        <f t="shared" si="63"/>
        <v>FR0</v>
      </c>
      <c r="F251" s="26">
        <f t="shared" si="64"/>
        <v>61326.720000000001</v>
      </c>
      <c r="H251">
        <f t="shared" si="65"/>
        <v>1</v>
      </c>
      <c r="I251">
        <f t="shared" si="66"/>
        <v>2</v>
      </c>
      <c r="J251">
        <f t="shared" si="67"/>
        <v>2</v>
      </c>
      <c r="K251">
        <f t="shared" si="68"/>
        <v>1</v>
      </c>
    </row>
    <row r="252" spans="2:11">
      <c r="B252" t="str">
        <f t="shared" si="60"/>
        <v>SOL_PHO</v>
      </c>
      <c r="C252">
        <f t="shared" si="61"/>
        <v>2020</v>
      </c>
      <c r="D252" t="str">
        <f t="shared" si="62"/>
        <v>default</v>
      </c>
      <c r="E252" t="str">
        <f t="shared" si="63"/>
        <v>FR0</v>
      </c>
      <c r="F252" s="26">
        <f t="shared" si="64"/>
        <v>20535.284350296701</v>
      </c>
      <c r="H252">
        <f t="shared" si="65"/>
        <v>2</v>
      </c>
      <c r="I252">
        <f t="shared" si="66"/>
        <v>2</v>
      </c>
      <c r="J252">
        <f t="shared" si="67"/>
        <v>2</v>
      </c>
      <c r="K252">
        <f t="shared" si="68"/>
        <v>1</v>
      </c>
    </row>
    <row r="253" spans="2:11">
      <c r="B253" t="str">
        <f t="shared" si="60"/>
        <v>WIN_ONS</v>
      </c>
      <c r="C253">
        <f t="shared" si="61"/>
        <v>2020</v>
      </c>
      <c r="D253" t="str">
        <f t="shared" si="62"/>
        <v>default</v>
      </c>
      <c r="E253" t="str">
        <f t="shared" si="63"/>
        <v>FR0</v>
      </c>
      <c r="F253" s="26">
        <f t="shared" si="64"/>
        <v>20469.963322958636</v>
      </c>
      <c r="H253">
        <f t="shared" si="65"/>
        <v>3</v>
      </c>
      <c r="I253">
        <f t="shared" si="66"/>
        <v>2</v>
      </c>
      <c r="J253">
        <f t="shared" si="67"/>
        <v>2</v>
      </c>
      <c r="K253">
        <f t="shared" si="68"/>
        <v>1</v>
      </c>
    </row>
    <row r="254" spans="2:11">
      <c r="B254" t="str">
        <f t="shared" si="60"/>
        <v>HYD_ROR</v>
      </c>
      <c r="C254">
        <f t="shared" si="61"/>
        <v>2020</v>
      </c>
      <c r="D254" t="str">
        <f t="shared" si="62"/>
        <v>default</v>
      </c>
      <c r="E254" t="str">
        <f t="shared" si="63"/>
        <v>FR0</v>
      </c>
      <c r="F254" s="26">
        <f t="shared" si="64"/>
        <v>10381.052550638075</v>
      </c>
      <c r="H254">
        <f t="shared" si="65"/>
        <v>4</v>
      </c>
      <c r="I254">
        <f t="shared" si="66"/>
        <v>2</v>
      </c>
      <c r="J254">
        <f t="shared" si="67"/>
        <v>2</v>
      </c>
      <c r="K254">
        <f t="shared" si="68"/>
        <v>1</v>
      </c>
    </row>
    <row r="255" spans="2:11">
      <c r="B255" t="str">
        <f t="shared" si="60"/>
        <v>HYD_RES</v>
      </c>
      <c r="C255">
        <f t="shared" si="61"/>
        <v>2020</v>
      </c>
      <c r="D255" t="str">
        <f t="shared" si="62"/>
        <v>default</v>
      </c>
      <c r="E255" t="str">
        <f t="shared" si="63"/>
        <v>FR0</v>
      </c>
      <c r="F255" s="26">
        <f t="shared" si="64"/>
        <v>8260.7258359248281</v>
      </c>
      <c r="H255">
        <f t="shared" si="65"/>
        <v>5</v>
      </c>
      <c r="I255">
        <f t="shared" si="66"/>
        <v>2</v>
      </c>
      <c r="J255">
        <f t="shared" si="67"/>
        <v>2</v>
      </c>
      <c r="K255">
        <f t="shared" si="68"/>
        <v>1</v>
      </c>
    </row>
    <row r="256" spans="2:11">
      <c r="B256" t="str">
        <f t="shared" si="60"/>
        <v>HYD_STO</v>
      </c>
      <c r="C256">
        <f t="shared" si="61"/>
        <v>2020</v>
      </c>
      <c r="D256" t="str">
        <f t="shared" si="62"/>
        <v>default</v>
      </c>
      <c r="E256" t="str">
        <f t="shared" si="63"/>
        <v>FR0</v>
      </c>
      <c r="F256" s="26">
        <f t="shared" si="64"/>
        <v>4993.2437028690974</v>
      </c>
      <c r="H256">
        <f t="shared" si="65"/>
        <v>6</v>
      </c>
      <c r="I256">
        <f t="shared" si="66"/>
        <v>2</v>
      </c>
      <c r="J256">
        <f t="shared" si="67"/>
        <v>2</v>
      </c>
      <c r="K256">
        <f t="shared" si="68"/>
        <v>1</v>
      </c>
    </row>
    <row r="257" spans="2:11">
      <c r="B257" t="str">
        <f t="shared" si="60"/>
        <v>GAS_LIN</v>
      </c>
      <c r="C257">
        <f t="shared" si="61"/>
        <v>2020</v>
      </c>
      <c r="D257" t="str">
        <f t="shared" si="62"/>
        <v>default</v>
      </c>
      <c r="E257" t="str">
        <f t="shared" si="63"/>
        <v>FR0</v>
      </c>
      <c r="F257" s="26">
        <f t="shared" si="64"/>
        <v>9180.9182541502105</v>
      </c>
      <c r="H257">
        <f t="shared" si="65"/>
        <v>7</v>
      </c>
      <c r="I257">
        <f t="shared" si="66"/>
        <v>2</v>
      </c>
      <c r="J257">
        <f t="shared" si="67"/>
        <v>2</v>
      </c>
      <c r="K257">
        <f t="shared" si="68"/>
        <v>1</v>
      </c>
    </row>
    <row r="258" spans="2:11">
      <c r="B258" t="str">
        <f t="shared" si="60"/>
        <v>GAS_NEW</v>
      </c>
      <c r="C258">
        <f t="shared" si="61"/>
        <v>2020</v>
      </c>
      <c r="D258" t="str">
        <f t="shared" si="62"/>
        <v>default</v>
      </c>
      <c r="E258" t="str">
        <f t="shared" si="63"/>
        <v>FR0</v>
      </c>
      <c r="F258" s="26">
        <f t="shared" si="64"/>
        <v>0</v>
      </c>
      <c r="H258">
        <f t="shared" si="65"/>
        <v>8</v>
      </c>
      <c r="I258">
        <f t="shared" si="66"/>
        <v>2</v>
      </c>
      <c r="J258">
        <f t="shared" si="67"/>
        <v>2</v>
      </c>
      <c r="K258">
        <f t="shared" si="68"/>
        <v>1</v>
      </c>
    </row>
    <row r="259" spans="2:11">
      <c r="B259" t="str">
        <f t="shared" si="60"/>
        <v>OIL_LIN</v>
      </c>
      <c r="C259">
        <f t="shared" si="61"/>
        <v>2020</v>
      </c>
      <c r="D259" t="str">
        <f t="shared" si="62"/>
        <v>default</v>
      </c>
      <c r="E259" t="str">
        <f t="shared" si="63"/>
        <v>FR0</v>
      </c>
      <c r="F259" s="26">
        <f t="shared" si="64"/>
        <v>5008.3338227870099</v>
      </c>
      <c r="H259">
        <f t="shared" si="65"/>
        <v>9</v>
      </c>
      <c r="I259">
        <f t="shared" si="66"/>
        <v>2</v>
      </c>
      <c r="J259">
        <f t="shared" si="67"/>
        <v>2</v>
      </c>
      <c r="K259">
        <f t="shared" si="68"/>
        <v>1</v>
      </c>
    </row>
    <row r="260" spans="2:11">
      <c r="B260" t="str">
        <f t="shared" si="60"/>
        <v>BAL_ELC</v>
      </c>
      <c r="C260">
        <f t="shared" si="61"/>
        <v>2020</v>
      </c>
      <c r="D260" t="str">
        <f t="shared" si="62"/>
        <v>default</v>
      </c>
      <c r="E260" t="str">
        <f t="shared" si="63"/>
        <v>FR0</v>
      </c>
      <c r="F260" s="26">
        <f t="shared" si="64"/>
        <v>1568.4584305942778</v>
      </c>
      <c r="H260">
        <f t="shared" si="65"/>
        <v>10</v>
      </c>
      <c r="I260">
        <f t="shared" si="66"/>
        <v>2</v>
      </c>
      <c r="J260">
        <f t="shared" si="67"/>
        <v>2</v>
      </c>
      <c r="K260">
        <f t="shared" si="68"/>
        <v>1</v>
      </c>
    </row>
    <row r="261" spans="2:11">
      <c r="B261" t="str">
        <f t="shared" si="60"/>
        <v>WAS_ELC</v>
      </c>
      <c r="C261">
        <f t="shared" si="61"/>
        <v>2020</v>
      </c>
      <c r="D261" t="str">
        <f t="shared" si="62"/>
        <v>default</v>
      </c>
      <c r="E261" t="str">
        <f t="shared" si="63"/>
        <v>FR0</v>
      </c>
      <c r="F261" s="26">
        <f t="shared" si="64"/>
        <v>1325.3763121995923</v>
      </c>
      <c r="H261">
        <f t="shared" si="65"/>
        <v>11</v>
      </c>
      <c r="I261">
        <f t="shared" si="66"/>
        <v>2</v>
      </c>
      <c r="J261">
        <f t="shared" si="67"/>
        <v>2</v>
      </c>
      <c r="K261">
        <f t="shared" si="68"/>
        <v>1</v>
      </c>
    </row>
    <row r="262" spans="2:11">
      <c r="B262" t="str">
        <f t="shared" si="60"/>
        <v>LIG_LIN</v>
      </c>
      <c r="C262">
        <f t="shared" si="61"/>
        <v>2020</v>
      </c>
      <c r="D262" t="str">
        <f t="shared" si="62"/>
        <v>default</v>
      </c>
      <c r="E262" t="str">
        <f t="shared" si="63"/>
        <v>FR0</v>
      </c>
      <c r="F262" s="26">
        <f t="shared" si="64"/>
        <v>0</v>
      </c>
      <c r="H262">
        <f t="shared" si="65"/>
        <v>12</v>
      </c>
      <c r="I262">
        <f t="shared" si="66"/>
        <v>2</v>
      </c>
      <c r="J262">
        <f t="shared" si="67"/>
        <v>2</v>
      </c>
      <c r="K262">
        <f t="shared" si="68"/>
        <v>1</v>
      </c>
    </row>
    <row r="263" spans="2:11">
      <c r="B263" t="str">
        <f t="shared" si="60"/>
        <v>HCO_LIN</v>
      </c>
      <c r="C263">
        <f t="shared" si="61"/>
        <v>2020</v>
      </c>
      <c r="D263" t="str">
        <f t="shared" si="62"/>
        <v>default</v>
      </c>
      <c r="E263" t="str">
        <f t="shared" si="63"/>
        <v>FR0</v>
      </c>
      <c r="F263" s="26">
        <f t="shared" si="64"/>
        <v>3855.5255000000002</v>
      </c>
      <c r="H263">
        <f t="shared" si="65"/>
        <v>13</v>
      </c>
      <c r="I263">
        <f t="shared" si="66"/>
        <v>2</v>
      </c>
      <c r="J263">
        <f t="shared" si="67"/>
        <v>2</v>
      </c>
      <c r="K263">
        <f t="shared" si="68"/>
        <v>1</v>
      </c>
    </row>
    <row r="264" spans="2:11">
      <c r="B264" t="str">
        <f t="shared" si="60"/>
        <v>GEO_ELC</v>
      </c>
      <c r="C264">
        <f t="shared" si="61"/>
        <v>2020</v>
      </c>
      <c r="D264" t="str">
        <f t="shared" si="62"/>
        <v>default</v>
      </c>
      <c r="E264" t="str">
        <f t="shared" si="63"/>
        <v>FR0</v>
      </c>
      <c r="F264" s="26">
        <f t="shared" si="64"/>
        <v>3.1213716085118901</v>
      </c>
      <c r="H264">
        <f t="shared" si="65"/>
        <v>14</v>
      </c>
      <c r="I264">
        <f t="shared" si="66"/>
        <v>2</v>
      </c>
      <c r="J264">
        <f t="shared" si="67"/>
        <v>2</v>
      </c>
      <c r="K264">
        <f t="shared" si="68"/>
        <v>1</v>
      </c>
    </row>
    <row r="265" spans="2:11">
      <c r="B265" t="str">
        <f t="shared" si="60"/>
        <v>WIN_OFF</v>
      </c>
      <c r="C265">
        <f t="shared" si="61"/>
        <v>2020</v>
      </c>
      <c r="D265" t="str">
        <f t="shared" si="62"/>
        <v>default</v>
      </c>
      <c r="E265" t="str">
        <f t="shared" si="63"/>
        <v>FR0</v>
      </c>
      <c r="F265" s="26">
        <f t="shared" si="64"/>
        <v>1659.7267559155648</v>
      </c>
      <c r="H265">
        <f t="shared" si="65"/>
        <v>15</v>
      </c>
      <c r="I265">
        <f t="shared" si="66"/>
        <v>2</v>
      </c>
      <c r="J265">
        <f t="shared" si="67"/>
        <v>2</v>
      </c>
      <c r="K265">
        <f t="shared" si="68"/>
        <v>1</v>
      </c>
    </row>
    <row r="266" spans="2:11">
      <c r="B266" t="str">
        <f t="shared" si="60"/>
        <v>NUC_ELC</v>
      </c>
      <c r="C266">
        <f t="shared" si="61"/>
        <v>2025</v>
      </c>
      <c r="D266" t="str">
        <f t="shared" si="62"/>
        <v>default</v>
      </c>
      <c r="E266" t="str">
        <f t="shared" si="63"/>
        <v>FR0</v>
      </c>
      <c r="F266" s="26">
        <f t="shared" si="64"/>
        <v>59493.120000000003</v>
      </c>
      <c r="H266">
        <f t="shared" si="65"/>
        <v>1</v>
      </c>
      <c r="I266">
        <f t="shared" si="66"/>
        <v>3</v>
      </c>
      <c r="J266">
        <f t="shared" si="67"/>
        <v>2</v>
      </c>
      <c r="K266">
        <f t="shared" si="68"/>
        <v>1</v>
      </c>
    </row>
    <row r="267" spans="2:11">
      <c r="B267" t="str">
        <f t="shared" si="60"/>
        <v>SOL_PHO</v>
      </c>
      <c r="C267">
        <f t="shared" si="61"/>
        <v>2025</v>
      </c>
      <c r="D267" t="str">
        <f t="shared" si="62"/>
        <v>default</v>
      </c>
      <c r="E267" t="str">
        <f t="shared" si="63"/>
        <v>FR0</v>
      </c>
      <c r="F267" s="26">
        <f t="shared" si="64"/>
        <v>24531.672330268499</v>
      </c>
      <c r="H267">
        <f t="shared" si="65"/>
        <v>2</v>
      </c>
      <c r="I267">
        <f t="shared" si="66"/>
        <v>3</v>
      </c>
      <c r="J267">
        <f t="shared" si="67"/>
        <v>2</v>
      </c>
      <c r="K267">
        <f t="shared" si="68"/>
        <v>1</v>
      </c>
    </row>
    <row r="268" spans="2:11">
      <c r="B268" t="str">
        <f t="shared" si="60"/>
        <v>WIN_ONS</v>
      </c>
      <c r="C268">
        <f t="shared" si="61"/>
        <v>2025</v>
      </c>
      <c r="D268" t="str">
        <f t="shared" si="62"/>
        <v>default</v>
      </c>
      <c r="E268" t="str">
        <f t="shared" si="63"/>
        <v>FR0</v>
      </c>
      <c r="F268" s="26">
        <f t="shared" si="64"/>
        <v>20979.281158932474</v>
      </c>
      <c r="H268">
        <f t="shared" si="65"/>
        <v>3</v>
      </c>
      <c r="I268">
        <f t="shared" si="66"/>
        <v>3</v>
      </c>
      <c r="J268">
        <f t="shared" si="67"/>
        <v>2</v>
      </c>
      <c r="K268">
        <f t="shared" si="68"/>
        <v>1</v>
      </c>
    </row>
    <row r="269" spans="2:11">
      <c r="B269" t="str">
        <f t="shared" si="60"/>
        <v>HYD_ROR</v>
      </c>
      <c r="C269">
        <f t="shared" si="61"/>
        <v>2025</v>
      </c>
      <c r="D269" t="str">
        <f t="shared" si="62"/>
        <v>default</v>
      </c>
      <c r="E269" t="str">
        <f t="shared" si="63"/>
        <v>FR0</v>
      </c>
      <c r="F269" s="26">
        <f t="shared" si="64"/>
        <v>10381.052550638075</v>
      </c>
      <c r="H269">
        <f t="shared" si="65"/>
        <v>4</v>
      </c>
      <c r="I269">
        <f t="shared" si="66"/>
        <v>3</v>
      </c>
      <c r="J269">
        <f t="shared" si="67"/>
        <v>2</v>
      </c>
      <c r="K269">
        <f t="shared" si="68"/>
        <v>1</v>
      </c>
    </row>
    <row r="270" spans="2:11">
      <c r="B270" t="str">
        <f t="shared" si="60"/>
        <v>HYD_RES</v>
      </c>
      <c r="C270">
        <f t="shared" si="61"/>
        <v>2025</v>
      </c>
      <c r="D270" t="str">
        <f t="shared" si="62"/>
        <v>default</v>
      </c>
      <c r="E270" t="str">
        <f t="shared" si="63"/>
        <v>FR0</v>
      </c>
      <c r="F270" s="26">
        <f t="shared" si="64"/>
        <v>8260.7258359248281</v>
      </c>
      <c r="H270">
        <f t="shared" si="65"/>
        <v>5</v>
      </c>
      <c r="I270">
        <f t="shared" si="66"/>
        <v>3</v>
      </c>
      <c r="J270">
        <f t="shared" si="67"/>
        <v>2</v>
      </c>
      <c r="K270">
        <f t="shared" si="68"/>
        <v>1</v>
      </c>
    </row>
    <row r="271" spans="2:11">
      <c r="B271" t="str">
        <f t="shared" si="60"/>
        <v>HYD_STO</v>
      </c>
      <c r="C271">
        <f t="shared" si="61"/>
        <v>2025</v>
      </c>
      <c r="D271" t="str">
        <f t="shared" si="62"/>
        <v>default</v>
      </c>
      <c r="E271" t="str">
        <f t="shared" si="63"/>
        <v>FR0</v>
      </c>
      <c r="F271" s="26">
        <f t="shared" si="64"/>
        <v>4993.2437028690974</v>
      </c>
      <c r="H271">
        <f t="shared" si="65"/>
        <v>6</v>
      </c>
      <c r="I271">
        <f t="shared" si="66"/>
        <v>3</v>
      </c>
      <c r="J271">
        <f t="shared" si="67"/>
        <v>2</v>
      </c>
      <c r="K271">
        <f t="shared" si="68"/>
        <v>1</v>
      </c>
    </row>
    <row r="272" spans="2:11">
      <c r="B272" t="str">
        <f t="shared" si="60"/>
        <v>GAS_LIN</v>
      </c>
      <c r="C272">
        <f t="shared" si="61"/>
        <v>2025</v>
      </c>
      <c r="D272" t="str">
        <f t="shared" si="62"/>
        <v>default</v>
      </c>
      <c r="E272" t="str">
        <f t="shared" si="63"/>
        <v>FR0</v>
      </c>
      <c r="F272" s="26">
        <f t="shared" si="64"/>
        <v>8902.3027766084197</v>
      </c>
      <c r="H272">
        <f t="shared" si="65"/>
        <v>7</v>
      </c>
      <c r="I272">
        <f t="shared" si="66"/>
        <v>3</v>
      </c>
      <c r="J272">
        <f t="shared" si="67"/>
        <v>2</v>
      </c>
      <c r="K272">
        <f t="shared" si="68"/>
        <v>1</v>
      </c>
    </row>
    <row r="273" spans="2:11">
      <c r="B273" t="str">
        <f t="shared" si="60"/>
        <v>GAS_NEW</v>
      </c>
      <c r="C273">
        <f t="shared" si="61"/>
        <v>2025</v>
      </c>
      <c r="D273" t="str">
        <f t="shared" si="62"/>
        <v>default</v>
      </c>
      <c r="E273" t="str">
        <f t="shared" si="63"/>
        <v>FR0</v>
      </c>
      <c r="F273" s="26">
        <f t="shared" si="64"/>
        <v>0</v>
      </c>
      <c r="H273">
        <f t="shared" si="65"/>
        <v>8</v>
      </c>
      <c r="I273">
        <f t="shared" si="66"/>
        <v>3</v>
      </c>
      <c r="J273">
        <f t="shared" si="67"/>
        <v>2</v>
      </c>
      <c r="K273">
        <f t="shared" si="68"/>
        <v>1</v>
      </c>
    </row>
    <row r="274" spans="2:11">
      <c r="B274" t="str">
        <f t="shared" si="60"/>
        <v>OIL_LIN</v>
      </c>
      <c r="C274">
        <f t="shared" si="61"/>
        <v>2025</v>
      </c>
      <c r="D274" t="str">
        <f t="shared" si="62"/>
        <v>default</v>
      </c>
      <c r="E274" t="str">
        <f t="shared" si="63"/>
        <v>FR0</v>
      </c>
      <c r="F274" s="26">
        <f t="shared" si="64"/>
        <v>1849.26455278701</v>
      </c>
      <c r="H274">
        <f t="shared" si="65"/>
        <v>9</v>
      </c>
      <c r="I274">
        <f t="shared" si="66"/>
        <v>3</v>
      </c>
      <c r="J274">
        <f t="shared" si="67"/>
        <v>2</v>
      </c>
      <c r="K274">
        <f t="shared" si="68"/>
        <v>1</v>
      </c>
    </row>
    <row r="275" spans="2:11">
      <c r="B275" t="str">
        <f t="shared" si="60"/>
        <v>BAL_ELC</v>
      </c>
      <c r="C275">
        <f t="shared" si="61"/>
        <v>2025</v>
      </c>
      <c r="D275" t="str">
        <f t="shared" si="62"/>
        <v>default</v>
      </c>
      <c r="E275" t="str">
        <f t="shared" si="63"/>
        <v>FR0</v>
      </c>
      <c r="F275" s="26">
        <f t="shared" si="64"/>
        <v>1786.5361861474291</v>
      </c>
      <c r="H275">
        <f t="shared" si="65"/>
        <v>10</v>
      </c>
      <c r="I275">
        <f t="shared" si="66"/>
        <v>3</v>
      </c>
      <c r="J275">
        <f t="shared" si="67"/>
        <v>2</v>
      </c>
      <c r="K275">
        <f t="shared" si="68"/>
        <v>1</v>
      </c>
    </row>
    <row r="276" spans="2:11">
      <c r="B276" t="str">
        <f t="shared" si="60"/>
        <v>WAS_ELC</v>
      </c>
      <c r="C276">
        <f t="shared" si="61"/>
        <v>2025</v>
      </c>
      <c r="D276" t="str">
        <f t="shared" si="62"/>
        <v>default</v>
      </c>
      <c r="E276" t="str">
        <f t="shared" si="63"/>
        <v>FR0</v>
      </c>
      <c r="F276" s="26">
        <f t="shared" si="64"/>
        <v>1509.656039216831</v>
      </c>
      <c r="H276">
        <f t="shared" si="65"/>
        <v>11</v>
      </c>
      <c r="I276">
        <f t="shared" si="66"/>
        <v>3</v>
      </c>
      <c r="J276">
        <f t="shared" si="67"/>
        <v>2</v>
      </c>
      <c r="K276">
        <f t="shared" si="68"/>
        <v>1</v>
      </c>
    </row>
    <row r="277" spans="2:11">
      <c r="B277" t="str">
        <f t="shared" si="60"/>
        <v>LIG_LIN</v>
      </c>
      <c r="C277">
        <f t="shared" si="61"/>
        <v>2025</v>
      </c>
      <c r="D277" t="str">
        <f t="shared" si="62"/>
        <v>default</v>
      </c>
      <c r="E277" t="str">
        <f t="shared" si="63"/>
        <v>FR0</v>
      </c>
      <c r="F277" s="26">
        <f t="shared" si="64"/>
        <v>0</v>
      </c>
      <c r="H277">
        <f t="shared" si="65"/>
        <v>12</v>
      </c>
      <c r="I277">
        <f t="shared" si="66"/>
        <v>3</v>
      </c>
      <c r="J277">
        <f t="shared" si="67"/>
        <v>2</v>
      </c>
      <c r="K277">
        <f t="shared" si="68"/>
        <v>1</v>
      </c>
    </row>
    <row r="278" spans="2:11">
      <c r="B278" t="str">
        <f t="shared" si="60"/>
        <v>HCO_LIN</v>
      </c>
      <c r="C278">
        <f t="shared" si="61"/>
        <v>2025</v>
      </c>
      <c r="D278" t="str">
        <f t="shared" si="62"/>
        <v>default</v>
      </c>
      <c r="E278" t="str">
        <f t="shared" si="63"/>
        <v>FR0</v>
      </c>
      <c r="F278" s="26">
        <f t="shared" si="64"/>
        <v>3833.5329999999999</v>
      </c>
      <c r="H278">
        <f t="shared" si="65"/>
        <v>13</v>
      </c>
      <c r="I278">
        <f t="shared" si="66"/>
        <v>3</v>
      </c>
      <c r="J278">
        <f t="shared" si="67"/>
        <v>2</v>
      </c>
      <c r="K278">
        <f t="shared" si="68"/>
        <v>1</v>
      </c>
    </row>
    <row r="279" spans="2:11">
      <c r="B279" t="str">
        <f t="shared" si="60"/>
        <v>GEO_ELC</v>
      </c>
      <c r="C279">
        <f t="shared" si="61"/>
        <v>2025</v>
      </c>
      <c r="D279" t="str">
        <f t="shared" si="62"/>
        <v>default</v>
      </c>
      <c r="E279" t="str">
        <f t="shared" si="63"/>
        <v>FR0</v>
      </c>
      <c r="F279" s="26">
        <f t="shared" si="64"/>
        <v>3.1213716085118901</v>
      </c>
      <c r="H279">
        <f t="shared" si="65"/>
        <v>14</v>
      </c>
      <c r="I279">
        <f t="shared" si="66"/>
        <v>3</v>
      </c>
      <c r="J279">
        <f t="shared" si="67"/>
        <v>2</v>
      </c>
      <c r="K279">
        <f t="shared" si="68"/>
        <v>1</v>
      </c>
    </row>
    <row r="280" spans="2:11">
      <c r="B280" t="str">
        <f t="shared" si="60"/>
        <v>WIN_OFF</v>
      </c>
      <c r="C280">
        <f t="shared" si="61"/>
        <v>2025</v>
      </c>
      <c r="D280" t="str">
        <f t="shared" si="62"/>
        <v>default</v>
      </c>
      <c r="E280" t="str">
        <f t="shared" si="63"/>
        <v>FR0</v>
      </c>
      <c r="F280" s="26">
        <f t="shared" si="64"/>
        <v>4150.4089199417222</v>
      </c>
      <c r="H280">
        <f t="shared" si="65"/>
        <v>15</v>
      </c>
      <c r="I280">
        <f t="shared" si="66"/>
        <v>3</v>
      </c>
      <c r="J280">
        <f t="shared" si="67"/>
        <v>2</v>
      </c>
      <c r="K280">
        <f t="shared" si="68"/>
        <v>1</v>
      </c>
    </row>
    <row r="281" spans="2:11">
      <c r="B281" t="str">
        <f t="shared" si="60"/>
        <v>NUC_ELC</v>
      </c>
      <c r="C281">
        <f t="shared" si="61"/>
        <v>2030</v>
      </c>
      <c r="D281" t="str">
        <f t="shared" si="62"/>
        <v>default</v>
      </c>
      <c r="E281" t="str">
        <f t="shared" si="63"/>
        <v>FR0</v>
      </c>
      <c r="F281" s="26">
        <f t="shared" si="64"/>
        <v>59493.120000000003</v>
      </c>
      <c r="H281">
        <f t="shared" si="65"/>
        <v>1</v>
      </c>
      <c r="I281">
        <f t="shared" si="66"/>
        <v>4</v>
      </c>
      <c r="J281">
        <f t="shared" si="67"/>
        <v>2</v>
      </c>
      <c r="K281">
        <f t="shared" si="68"/>
        <v>1</v>
      </c>
    </row>
    <row r="282" spans="2:11">
      <c r="B282" t="str">
        <f t="shared" si="60"/>
        <v>SOL_PHO</v>
      </c>
      <c r="C282">
        <f t="shared" si="61"/>
        <v>2030</v>
      </c>
      <c r="D282" t="str">
        <f t="shared" si="62"/>
        <v>default</v>
      </c>
      <c r="E282" t="str">
        <f t="shared" si="63"/>
        <v>FR0</v>
      </c>
      <c r="F282" s="26">
        <f t="shared" si="64"/>
        <v>25381.672330268499</v>
      </c>
      <c r="H282">
        <f t="shared" si="65"/>
        <v>2</v>
      </c>
      <c r="I282">
        <f t="shared" si="66"/>
        <v>4</v>
      </c>
      <c r="J282">
        <f t="shared" si="67"/>
        <v>2</v>
      </c>
      <c r="K282">
        <f t="shared" si="68"/>
        <v>1</v>
      </c>
    </row>
    <row r="283" spans="2:11">
      <c r="B283" t="str">
        <f t="shared" si="60"/>
        <v>WIN_ONS</v>
      </c>
      <c r="C283">
        <f t="shared" si="61"/>
        <v>2030</v>
      </c>
      <c r="D283" t="str">
        <f t="shared" si="62"/>
        <v>default</v>
      </c>
      <c r="E283" t="str">
        <f t="shared" si="63"/>
        <v>FR0</v>
      </c>
      <c r="F283" s="26">
        <f t="shared" si="64"/>
        <v>22914.911888970058</v>
      </c>
      <c r="H283">
        <f t="shared" si="65"/>
        <v>3</v>
      </c>
      <c r="I283">
        <f t="shared" si="66"/>
        <v>4</v>
      </c>
      <c r="J283">
        <f t="shared" si="67"/>
        <v>2</v>
      </c>
      <c r="K283">
        <f t="shared" si="68"/>
        <v>1</v>
      </c>
    </row>
    <row r="284" spans="2:11">
      <c r="B284" t="str">
        <f t="shared" si="60"/>
        <v>HYD_ROR</v>
      </c>
      <c r="C284">
        <f t="shared" si="61"/>
        <v>2030</v>
      </c>
      <c r="D284" t="str">
        <f t="shared" si="62"/>
        <v>default</v>
      </c>
      <c r="E284" t="str">
        <f t="shared" si="63"/>
        <v>FR0</v>
      </c>
      <c r="F284" s="26">
        <f t="shared" si="64"/>
        <v>10381.052550638075</v>
      </c>
      <c r="H284">
        <f t="shared" si="65"/>
        <v>4</v>
      </c>
      <c r="I284">
        <f t="shared" si="66"/>
        <v>4</v>
      </c>
      <c r="J284">
        <f t="shared" si="67"/>
        <v>2</v>
      </c>
      <c r="K284">
        <f t="shared" si="68"/>
        <v>1</v>
      </c>
    </row>
    <row r="285" spans="2:11">
      <c r="B285" t="str">
        <f t="shared" si="60"/>
        <v>HYD_RES</v>
      </c>
      <c r="C285">
        <f t="shared" si="61"/>
        <v>2030</v>
      </c>
      <c r="D285" t="str">
        <f t="shared" si="62"/>
        <v>default</v>
      </c>
      <c r="E285" t="str">
        <f t="shared" si="63"/>
        <v>FR0</v>
      </c>
      <c r="F285" s="26">
        <f t="shared" si="64"/>
        <v>8260.7258359248281</v>
      </c>
      <c r="H285">
        <f t="shared" si="65"/>
        <v>5</v>
      </c>
      <c r="I285">
        <f t="shared" si="66"/>
        <v>4</v>
      </c>
      <c r="J285">
        <f t="shared" si="67"/>
        <v>2</v>
      </c>
      <c r="K285">
        <f t="shared" si="68"/>
        <v>1</v>
      </c>
    </row>
    <row r="286" spans="2:11">
      <c r="B286" t="str">
        <f t="shared" si="60"/>
        <v>HYD_STO</v>
      </c>
      <c r="C286">
        <f t="shared" si="61"/>
        <v>2030</v>
      </c>
      <c r="D286" t="str">
        <f t="shared" si="62"/>
        <v>default</v>
      </c>
      <c r="E286" t="str">
        <f t="shared" si="63"/>
        <v>FR0</v>
      </c>
      <c r="F286" s="26">
        <f t="shared" si="64"/>
        <v>4993.2437028690974</v>
      </c>
      <c r="H286">
        <f t="shared" si="65"/>
        <v>6</v>
      </c>
      <c r="I286">
        <f t="shared" si="66"/>
        <v>4</v>
      </c>
      <c r="J286">
        <f t="shared" si="67"/>
        <v>2</v>
      </c>
      <c r="K286">
        <f t="shared" si="68"/>
        <v>1</v>
      </c>
    </row>
    <row r="287" spans="2:11">
      <c r="B287" t="str">
        <f t="shared" si="60"/>
        <v>GAS_LIN</v>
      </c>
      <c r="C287">
        <f t="shared" si="61"/>
        <v>2030</v>
      </c>
      <c r="D287" t="str">
        <f t="shared" si="62"/>
        <v>default</v>
      </c>
      <c r="E287" t="str">
        <f t="shared" si="63"/>
        <v>FR0</v>
      </c>
      <c r="F287" s="26">
        <f t="shared" si="64"/>
        <v>8343.6593825100408</v>
      </c>
      <c r="H287">
        <f t="shared" si="65"/>
        <v>7</v>
      </c>
      <c r="I287">
        <f t="shared" si="66"/>
        <v>4</v>
      </c>
      <c r="J287">
        <f t="shared" si="67"/>
        <v>2</v>
      </c>
      <c r="K287">
        <f t="shared" si="68"/>
        <v>1</v>
      </c>
    </row>
    <row r="288" spans="2:11">
      <c r="B288" t="str">
        <f t="shared" si="60"/>
        <v>GAS_NEW</v>
      </c>
      <c r="C288">
        <f t="shared" si="61"/>
        <v>2030</v>
      </c>
      <c r="D288" t="str">
        <f t="shared" si="62"/>
        <v>default</v>
      </c>
      <c r="E288" t="str">
        <f t="shared" si="63"/>
        <v>FR0</v>
      </c>
      <c r="F288" s="26">
        <f t="shared" si="64"/>
        <v>0</v>
      </c>
      <c r="H288">
        <f t="shared" si="65"/>
        <v>8</v>
      </c>
      <c r="I288">
        <f t="shared" si="66"/>
        <v>4</v>
      </c>
      <c r="J288">
        <f t="shared" si="67"/>
        <v>2</v>
      </c>
      <c r="K288">
        <f t="shared" si="68"/>
        <v>1</v>
      </c>
    </row>
    <row r="289" spans="2:11">
      <c r="B289" t="str">
        <f t="shared" si="60"/>
        <v>OIL_LIN</v>
      </c>
      <c r="C289">
        <f t="shared" si="61"/>
        <v>2030</v>
      </c>
      <c r="D289" t="str">
        <f t="shared" si="62"/>
        <v>default</v>
      </c>
      <c r="E289" t="str">
        <f t="shared" si="63"/>
        <v>FR0</v>
      </c>
      <c r="F289" s="26">
        <f t="shared" si="64"/>
        <v>1678.6422027870001</v>
      </c>
      <c r="H289">
        <f t="shared" si="65"/>
        <v>9</v>
      </c>
      <c r="I289">
        <f t="shared" si="66"/>
        <v>4</v>
      </c>
      <c r="J289">
        <f t="shared" si="67"/>
        <v>2</v>
      </c>
      <c r="K289">
        <f t="shared" si="68"/>
        <v>1</v>
      </c>
    </row>
    <row r="290" spans="2:11">
      <c r="B290" t="str">
        <f t="shared" si="60"/>
        <v>BAL_ELC</v>
      </c>
      <c r="C290">
        <f t="shared" si="61"/>
        <v>2030</v>
      </c>
      <c r="D290" t="str">
        <f t="shared" si="62"/>
        <v>default</v>
      </c>
      <c r="E290" t="str">
        <f t="shared" si="63"/>
        <v>FR0</v>
      </c>
      <c r="F290" s="26">
        <f t="shared" si="64"/>
        <v>1859.7369178300278</v>
      </c>
      <c r="H290">
        <f t="shared" si="65"/>
        <v>10</v>
      </c>
      <c r="I290">
        <f t="shared" si="66"/>
        <v>4</v>
      </c>
      <c r="J290">
        <f t="shared" si="67"/>
        <v>2</v>
      </c>
      <c r="K290">
        <f t="shared" si="68"/>
        <v>1</v>
      </c>
    </row>
    <row r="291" spans="2:11">
      <c r="B291" t="str">
        <f t="shared" si="60"/>
        <v>WAS_ELC</v>
      </c>
      <c r="C291">
        <f t="shared" si="61"/>
        <v>2030</v>
      </c>
      <c r="D291" t="str">
        <f t="shared" si="62"/>
        <v>default</v>
      </c>
      <c r="E291" t="str">
        <f t="shared" si="63"/>
        <v>FR0</v>
      </c>
      <c r="F291" s="26">
        <f t="shared" si="64"/>
        <v>1571.5120080556321</v>
      </c>
      <c r="H291">
        <f t="shared" si="65"/>
        <v>11</v>
      </c>
      <c r="I291">
        <f t="shared" si="66"/>
        <v>4</v>
      </c>
      <c r="J291">
        <f t="shared" si="67"/>
        <v>2</v>
      </c>
      <c r="K291">
        <f t="shared" si="68"/>
        <v>1</v>
      </c>
    </row>
    <row r="292" spans="2:11">
      <c r="B292" t="str">
        <f t="shared" si="60"/>
        <v>LIG_LIN</v>
      </c>
      <c r="C292">
        <f t="shared" si="61"/>
        <v>2030</v>
      </c>
      <c r="D292" t="str">
        <f t="shared" si="62"/>
        <v>default</v>
      </c>
      <c r="E292" t="str">
        <f t="shared" si="63"/>
        <v>FR0</v>
      </c>
      <c r="F292" s="26">
        <f t="shared" si="64"/>
        <v>0</v>
      </c>
      <c r="H292">
        <f t="shared" si="65"/>
        <v>12</v>
      </c>
      <c r="I292">
        <f t="shared" si="66"/>
        <v>4</v>
      </c>
      <c r="J292">
        <f t="shared" si="67"/>
        <v>2</v>
      </c>
      <c r="K292">
        <f t="shared" si="68"/>
        <v>1</v>
      </c>
    </row>
    <row r="293" spans="2:11">
      <c r="B293" t="str">
        <f t="shared" si="60"/>
        <v>HCO_LIN</v>
      </c>
      <c r="C293">
        <f t="shared" si="61"/>
        <v>2030</v>
      </c>
      <c r="D293" t="str">
        <f t="shared" si="62"/>
        <v>default</v>
      </c>
      <c r="E293" t="str">
        <f t="shared" si="63"/>
        <v>FR0</v>
      </c>
      <c r="F293" s="26">
        <f t="shared" si="64"/>
        <v>3779.5729999999999</v>
      </c>
      <c r="H293">
        <f t="shared" si="65"/>
        <v>13</v>
      </c>
      <c r="I293">
        <f t="shared" si="66"/>
        <v>4</v>
      </c>
      <c r="J293">
        <f t="shared" si="67"/>
        <v>2</v>
      </c>
      <c r="K293">
        <f t="shared" si="68"/>
        <v>1</v>
      </c>
    </row>
    <row r="294" spans="2:11">
      <c r="B294" t="str">
        <f t="shared" si="60"/>
        <v>GEO_ELC</v>
      </c>
      <c r="C294">
        <f t="shared" si="61"/>
        <v>2030</v>
      </c>
      <c r="D294" t="str">
        <f t="shared" si="62"/>
        <v>default</v>
      </c>
      <c r="E294" t="str">
        <f t="shared" si="63"/>
        <v>FR0</v>
      </c>
      <c r="F294" s="26">
        <f t="shared" si="64"/>
        <v>3.1213716085118901</v>
      </c>
      <c r="H294">
        <f t="shared" si="65"/>
        <v>14</v>
      </c>
      <c r="I294">
        <f t="shared" si="66"/>
        <v>4</v>
      </c>
      <c r="J294">
        <f t="shared" si="67"/>
        <v>2</v>
      </c>
      <c r="K294">
        <f t="shared" si="68"/>
        <v>1</v>
      </c>
    </row>
    <row r="295" spans="2:11">
      <c r="B295" t="str">
        <f t="shared" si="60"/>
        <v>WIN_OFF</v>
      </c>
      <c r="C295">
        <f t="shared" si="61"/>
        <v>2030</v>
      </c>
      <c r="D295" t="str">
        <f t="shared" si="62"/>
        <v>default</v>
      </c>
      <c r="E295" t="str">
        <f t="shared" si="63"/>
        <v>FR0</v>
      </c>
      <c r="F295" s="26">
        <f t="shared" si="64"/>
        <v>7856.5412190754469</v>
      </c>
      <c r="H295">
        <f t="shared" si="65"/>
        <v>15</v>
      </c>
      <c r="I295">
        <f t="shared" si="66"/>
        <v>4</v>
      </c>
      <c r="J295">
        <f t="shared" si="67"/>
        <v>2</v>
      </c>
      <c r="K295">
        <f t="shared" si="68"/>
        <v>1</v>
      </c>
    </row>
    <row r="296" spans="2:11">
      <c r="B296" t="str">
        <f t="shared" si="60"/>
        <v>NUC_ELC</v>
      </c>
      <c r="C296">
        <f t="shared" si="61"/>
        <v>2035</v>
      </c>
      <c r="D296" t="str">
        <f t="shared" si="62"/>
        <v>default</v>
      </c>
      <c r="E296" t="str">
        <f t="shared" si="63"/>
        <v>FR0</v>
      </c>
      <c r="F296" s="26">
        <f t="shared" si="64"/>
        <v>56330.16</v>
      </c>
      <c r="H296">
        <f t="shared" si="65"/>
        <v>1</v>
      </c>
      <c r="I296">
        <f t="shared" si="66"/>
        <v>5</v>
      </c>
      <c r="J296">
        <f t="shared" si="67"/>
        <v>2</v>
      </c>
      <c r="K296">
        <f t="shared" si="68"/>
        <v>1</v>
      </c>
    </row>
    <row r="297" spans="2:11">
      <c r="B297" t="str">
        <f t="shared" si="60"/>
        <v>SOL_PHO</v>
      </c>
      <c r="C297">
        <f t="shared" si="61"/>
        <v>2035</v>
      </c>
      <c r="D297" t="str">
        <f t="shared" si="62"/>
        <v>default</v>
      </c>
      <c r="E297" t="str">
        <f t="shared" si="63"/>
        <v>FR0</v>
      </c>
      <c r="F297" s="26">
        <f t="shared" si="64"/>
        <v>25731.672330268499</v>
      </c>
      <c r="H297">
        <f t="shared" si="65"/>
        <v>2</v>
      </c>
      <c r="I297">
        <f t="shared" si="66"/>
        <v>5</v>
      </c>
      <c r="J297">
        <f t="shared" si="67"/>
        <v>2</v>
      </c>
      <c r="K297">
        <f t="shared" si="68"/>
        <v>1</v>
      </c>
    </row>
    <row r="298" spans="2:11">
      <c r="B298" t="str">
        <f t="shared" si="60"/>
        <v>WIN_ONS</v>
      </c>
      <c r="C298">
        <f t="shared" si="61"/>
        <v>2035</v>
      </c>
      <c r="D298" t="str">
        <f t="shared" si="62"/>
        <v>default</v>
      </c>
      <c r="E298" t="str">
        <f t="shared" si="63"/>
        <v>FR0</v>
      </c>
      <c r="F298" s="26">
        <f t="shared" si="64"/>
        <v>22914.911888970058</v>
      </c>
      <c r="H298">
        <f t="shared" si="65"/>
        <v>3</v>
      </c>
      <c r="I298">
        <f t="shared" si="66"/>
        <v>5</v>
      </c>
      <c r="J298">
        <f t="shared" si="67"/>
        <v>2</v>
      </c>
      <c r="K298">
        <f t="shared" si="68"/>
        <v>1</v>
      </c>
    </row>
    <row r="299" spans="2:11">
      <c r="B299" t="str">
        <f t="shared" si="60"/>
        <v>HYD_ROR</v>
      </c>
      <c r="C299">
        <f t="shared" si="61"/>
        <v>2035</v>
      </c>
      <c r="D299" t="str">
        <f t="shared" si="62"/>
        <v>default</v>
      </c>
      <c r="E299" t="str">
        <f t="shared" si="63"/>
        <v>FR0</v>
      </c>
      <c r="F299" s="26">
        <f t="shared" si="64"/>
        <v>10518.100080352559</v>
      </c>
      <c r="H299">
        <f t="shared" si="65"/>
        <v>4</v>
      </c>
      <c r="I299">
        <f t="shared" si="66"/>
        <v>5</v>
      </c>
      <c r="J299">
        <f t="shared" si="67"/>
        <v>2</v>
      </c>
      <c r="K299">
        <f t="shared" si="68"/>
        <v>1</v>
      </c>
    </row>
    <row r="300" spans="2:11">
      <c r="B300" t="str">
        <f t="shared" si="60"/>
        <v>HYD_RES</v>
      </c>
      <c r="C300">
        <f t="shared" si="61"/>
        <v>2035</v>
      </c>
      <c r="D300" t="str">
        <f t="shared" si="62"/>
        <v>default</v>
      </c>
      <c r="E300" t="str">
        <f t="shared" si="63"/>
        <v>FR0</v>
      </c>
      <c r="F300" s="26">
        <f t="shared" si="64"/>
        <v>8369.7814508482425</v>
      </c>
      <c r="H300">
        <f t="shared" si="65"/>
        <v>5</v>
      </c>
      <c r="I300">
        <f t="shared" si="66"/>
        <v>5</v>
      </c>
      <c r="J300">
        <f t="shared" si="67"/>
        <v>2</v>
      </c>
      <c r="K300">
        <f t="shared" si="68"/>
        <v>1</v>
      </c>
    </row>
    <row r="301" spans="2:11">
      <c r="B301" t="str">
        <f t="shared" si="60"/>
        <v>HYD_STO</v>
      </c>
      <c r="C301">
        <f t="shared" si="61"/>
        <v>2035</v>
      </c>
      <c r="D301" t="str">
        <f t="shared" si="62"/>
        <v>default</v>
      </c>
      <c r="E301" t="str">
        <f t="shared" si="63"/>
        <v>FR0</v>
      </c>
      <c r="F301" s="26">
        <f t="shared" si="64"/>
        <v>5059.1630026127978</v>
      </c>
      <c r="H301">
        <f t="shared" si="65"/>
        <v>6</v>
      </c>
      <c r="I301">
        <f t="shared" si="66"/>
        <v>5</v>
      </c>
      <c r="J301">
        <f t="shared" si="67"/>
        <v>2</v>
      </c>
      <c r="K301">
        <f t="shared" si="68"/>
        <v>1</v>
      </c>
    </row>
    <row r="302" spans="2:11">
      <c r="B302" t="str">
        <f t="shared" si="60"/>
        <v>GAS_LIN</v>
      </c>
      <c r="C302">
        <f t="shared" si="61"/>
        <v>2035</v>
      </c>
      <c r="D302" t="str">
        <f t="shared" si="62"/>
        <v>default</v>
      </c>
      <c r="E302" t="str">
        <f t="shared" si="63"/>
        <v>FR0</v>
      </c>
      <c r="F302" s="26">
        <f t="shared" si="64"/>
        <v>8343.6593825100408</v>
      </c>
      <c r="H302">
        <f t="shared" si="65"/>
        <v>7</v>
      </c>
      <c r="I302">
        <f t="shared" si="66"/>
        <v>5</v>
      </c>
      <c r="J302">
        <f t="shared" si="67"/>
        <v>2</v>
      </c>
      <c r="K302">
        <f t="shared" si="68"/>
        <v>1</v>
      </c>
    </row>
    <row r="303" spans="2:11">
      <c r="B303" t="str">
        <f t="shared" si="60"/>
        <v>GAS_NEW</v>
      </c>
      <c r="C303">
        <f t="shared" si="61"/>
        <v>2035</v>
      </c>
      <c r="D303" t="str">
        <f t="shared" si="62"/>
        <v>default</v>
      </c>
      <c r="E303" t="str">
        <f t="shared" si="63"/>
        <v>FR0</v>
      </c>
      <c r="F303" s="26">
        <f t="shared" si="64"/>
        <v>4923.6136319191592</v>
      </c>
      <c r="H303">
        <f t="shared" si="65"/>
        <v>8</v>
      </c>
      <c r="I303">
        <f t="shared" si="66"/>
        <v>5</v>
      </c>
      <c r="J303">
        <f t="shared" si="67"/>
        <v>2</v>
      </c>
      <c r="K303">
        <f t="shared" si="68"/>
        <v>1</v>
      </c>
    </row>
    <row r="304" spans="2:11">
      <c r="B304" t="str">
        <f t="shared" si="60"/>
        <v>OIL_LIN</v>
      </c>
      <c r="C304">
        <f t="shared" si="61"/>
        <v>2035</v>
      </c>
      <c r="D304" t="str">
        <f t="shared" si="62"/>
        <v>default</v>
      </c>
      <c r="E304" t="str">
        <f t="shared" si="63"/>
        <v>FR0</v>
      </c>
      <c r="F304" s="26">
        <f t="shared" si="64"/>
        <v>799.20989999999995</v>
      </c>
      <c r="H304">
        <f t="shared" si="65"/>
        <v>9</v>
      </c>
      <c r="I304">
        <f t="shared" si="66"/>
        <v>5</v>
      </c>
      <c r="J304">
        <f t="shared" si="67"/>
        <v>2</v>
      </c>
      <c r="K304">
        <f t="shared" si="68"/>
        <v>1</v>
      </c>
    </row>
    <row r="305" spans="2:11">
      <c r="B305" t="str">
        <f t="shared" si="60"/>
        <v>BAL_ELC</v>
      </c>
      <c r="C305">
        <f t="shared" si="61"/>
        <v>2035</v>
      </c>
      <c r="D305" t="str">
        <f t="shared" si="62"/>
        <v>default</v>
      </c>
      <c r="E305" t="str">
        <f t="shared" si="63"/>
        <v>FR0</v>
      </c>
      <c r="F305" s="26">
        <f t="shared" si="64"/>
        <v>1875.663472685434</v>
      </c>
      <c r="H305">
        <f t="shared" si="65"/>
        <v>10</v>
      </c>
      <c r="I305">
        <f t="shared" si="66"/>
        <v>5</v>
      </c>
      <c r="J305">
        <f t="shared" si="67"/>
        <v>2</v>
      </c>
      <c r="K305">
        <f t="shared" si="68"/>
        <v>1</v>
      </c>
    </row>
    <row r="306" spans="2:11">
      <c r="B306" t="str">
        <f t="shared" si="60"/>
        <v>WAS_ELC</v>
      </c>
      <c r="C306">
        <f t="shared" si="61"/>
        <v>2035</v>
      </c>
      <c r="D306" t="str">
        <f t="shared" si="62"/>
        <v>default</v>
      </c>
      <c r="E306" t="str">
        <f t="shared" si="63"/>
        <v>FR0</v>
      </c>
      <c r="F306" s="26">
        <f t="shared" si="64"/>
        <v>1584.9702407563259</v>
      </c>
      <c r="H306">
        <f t="shared" si="65"/>
        <v>11</v>
      </c>
      <c r="I306">
        <f t="shared" si="66"/>
        <v>5</v>
      </c>
      <c r="J306">
        <f t="shared" si="67"/>
        <v>2</v>
      </c>
      <c r="K306">
        <f t="shared" si="68"/>
        <v>1</v>
      </c>
    </row>
    <row r="307" spans="2:11">
      <c r="B307" t="str">
        <f t="shared" si="60"/>
        <v>LIG_LIN</v>
      </c>
      <c r="C307">
        <f t="shared" si="61"/>
        <v>2035</v>
      </c>
      <c r="D307" t="str">
        <f t="shared" si="62"/>
        <v>default</v>
      </c>
      <c r="E307" t="str">
        <f t="shared" si="63"/>
        <v>FR0</v>
      </c>
      <c r="F307" s="26">
        <f t="shared" si="64"/>
        <v>0</v>
      </c>
      <c r="H307">
        <f t="shared" si="65"/>
        <v>12</v>
      </c>
      <c r="I307">
        <f t="shared" si="66"/>
        <v>5</v>
      </c>
      <c r="J307">
        <f t="shared" si="67"/>
        <v>2</v>
      </c>
      <c r="K307">
        <f t="shared" si="68"/>
        <v>1</v>
      </c>
    </row>
    <row r="308" spans="2:11">
      <c r="B308" t="str">
        <f t="shared" ref="B308:B371" si="69">INDEX(H$100:H$114,H308)</f>
        <v>HCO_LIN</v>
      </c>
      <c r="C308">
        <f t="shared" ref="C308:C371" si="70">INDEX(I$100:I$114,I308)</f>
        <v>2035</v>
      </c>
      <c r="D308" t="str">
        <f t="shared" ref="D308:D371" si="71">INDEX(K$100:K$114,K308)</f>
        <v>default</v>
      </c>
      <c r="E308" t="str">
        <f t="shared" ref="E308:E371" si="72">INDEX(J$100:J$114,J308)</f>
        <v>FR0</v>
      </c>
      <c r="F308" s="26">
        <f t="shared" ref="F308:F371" si="73">INDEX($P$6:$X$84,MATCH(E308&amp;"."&amp;B308,$Z$6:$Z$84,0),MATCH(C308,$P$5:$X$5,0))</f>
        <v>3479.9</v>
      </c>
      <c r="H308">
        <f t="shared" si="65"/>
        <v>13</v>
      </c>
      <c r="I308">
        <f t="shared" si="66"/>
        <v>5</v>
      </c>
      <c r="J308">
        <f t="shared" si="67"/>
        <v>2</v>
      </c>
      <c r="K308">
        <f t="shared" si="68"/>
        <v>1</v>
      </c>
    </row>
    <row r="309" spans="2:11">
      <c r="B309" t="str">
        <f t="shared" si="69"/>
        <v>GEO_ELC</v>
      </c>
      <c r="C309">
        <f t="shared" si="70"/>
        <v>2035</v>
      </c>
      <c r="D309" t="str">
        <f t="shared" si="71"/>
        <v>default</v>
      </c>
      <c r="E309" t="str">
        <f t="shared" si="72"/>
        <v>FR0</v>
      </c>
      <c r="F309" s="26">
        <f t="shared" si="73"/>
        <v>3.1213716085118901</v>
      </c>
      <c r="H309">
        <f t="shared" ref="H309:H372" si="74">IF(H308=$H$99,1,H308+1)</f>
        <v>14</v>
      </c>
      <c r="I309">
        <f t="shared" ref="I309:I372" si="75">IF(H309=1,IF(I308=$I$99,1,I308+1),I308)</f>
        <v>5</v>
      </c>
      <c r="J309">
        <f t="shared" ref="J309:J372" si="76">IF(AND(I309=1,I308&gt;1),IF(J308=$J$99,1,J308+1),J308)</f>
        <v>2</v>
      </c>
      <c r="K309">
        <f t="shared" ref="K309:K372" si="77">IF(AND(J309=1,J308&gt;1),IF(K308=$K$99,1,K308+1),K308)</f>
        <v>1</v>
      </c>
    </row>
    <row r="310" spans="2:11">
      <c r="B310" t="str">
        <f t="shared" si="69"/>
        <v>WIN_OFF</v>
      </c>
      <c r="C310">
        <f t="shared" si="70"/>
        <v>2035</v>
      </c>
      <c r="D310" t="str">
        <f t="shared" si="71"/>
        <v>default</v>
      </c>
      <c r="E310" t="str">
        <f t="shared" si="72"/>
        <v>FR0</v>
      </c>
      <c r="F310" s="26">
        <f t="shared" si="73"/>
        <v>7856.5412190754469</v>
      </c>
      <c r="H310">
        <f t="shared" si="74"/>
        <v>15</v>
      </c>
      <c r="I310">
        <f t="shared" si="75"/>
        <v>5</v>
      </c>
      <c r="J310">
        <f t="shared" si="76"/>
        <v>2</v>
      </c>
      <c r="K310">
        <f t="shared" si="77"/>
        <v>1</v>
      </c>
    </row>
    <row r="311" spans="2:11">
      <c r="B311" t="str">
        <f t="shared" si="69"/>
        <v>NUC_ELC</v>
      </c>
      <c r="C311">
        <f t="shared" si="70"/>
        <v>2040</v>
      </c>
      <c r="D311" t="str">
        <f t="shared" si="71"/>
        <v>default</v>
      </c>
      <c r="E311" t="str">
        <f t="shared" si="72"/>
        <v>FR0</v>
      </c>
      <c r="F311" s="26">
        <f t="shared" si="73"/>
        <v>42452.160000000003</v>
      </c>
      <c r="H311">
        <f t="shared" si="74"/>
        <v>1</v>
      </c>
      <c r="I311">
        <f t="shared" si="75"/>
        <v>6</v>
      </c>
      <c r="J311">
        <f t="shared" si="76"/>
        <v>2</v>
      </c>
      <c r="K311">
        <f t="shared" si="77"/>
        <v>1</v>
      </c>
    </row>
    <row r="312" spans="2:11">
      <c r="B312" t="str">
        <f t="shared" si="69"/>
        <v>SOL_PHO</v>
      </c>
      <c r="C312">
        <f t="shared" si="70"/>
        <v>2040</v>
      </c>
      <c r="D312" t="str">
        <f t="shared" si="71"/>
        <v>default</v>
      </c>
      <c r="E312" t="str">
        <f t="shared" si="72"/>
        <v>FR0</v>
      </c>
      <c r="F312" s="26">
        <f t="shared" si="73"/>
        <v>31850.081245220499</v>
      </c>
      <c r="H312">
        <f t="shared" si="74"/>
        <v>2</v>
      </c>
      <c r="I312">
        <f t="shared" si="75"/>
        <v>6</v>
      </c>
      <c r="J312">
        <f t="shared" si="76"/>
        <v>2</v>
      </c>
      <c r="K312">
        <f t="shared" si="77"/>
        <v>1</v>
      </c>
    </row>
    <row r="313" spans="2:11">
      <c r="B313" t="str">
        <f t="shared" si="69"/>
        <v>WIN_ONS</v>
      </c>
      <c r="C313">
        <f t="shared" si="70"/>
        <v>2040</v>
      </c>
      <c r="D313" t="str">
        <f t="shared" si="71"/>
        <v>default</v>
      </c>
      <c r="E313" t="str">
        <f t="shared" si="72"/>
        <v>FR0</v>
      </c>
      <c r="F313" s="26">
        <f t="shared" si="73"/>
        <v>27463.543853365696</v>
      </c>
      <c r="H313">
        <f t="shared" si="74"/>
        <v>3</v>
      </c>
      <c r="I313">
        <f t="shared" si="75"/>
        <v>6</v>
      </c>
      <c r="J313">
        <f t="shared" si="76"/>
        <v>2</v>
      </c>
      <c r="K313">
        <f t="shared" si="77"/>
        <v>1</v>
      </c>
    </row>
    <row r="314" spans="2:11">
      <c r="B314" t="str">
        <f t="shared" si="69"/>
        <v>HYD_ROR</v>
      </c>
      <c r="C314">
        <f t="shared" si="70"/>
        <v>2040</v>
      </c>
      <c r="D314" t="str">
        <f t="shared" si="71"/>
        <v>default</v>
      </c>
      <c r="E314" t="str">
        <f t="shared" si="72"/>
        <v>FR0</v>
      </c>
      <c r="F314" s="26">
        <f t="shared" si="73"/>
        <v>10884.129152471993</v>
      </c>
      <c r="H314">
        <f t="shared" si="74"/>
        <v>4</v>
      </c>
      <c r="I314">
        <f t="shared" si="75"/>
        <v>6</v>
      </c>
      <c r="J314">
        <f t="shared" si="76"/>
        <v>2</v>
      </c>
      <c r="K314">
        <f t="shared" si="77"/>
        <v>1</v>
      </c>
    </row>
    <row r="315" spans="2:11">
      <c r="B315" t="str">
        <f t="shared" si="69"/>
        <v>HYD_RES</v>
      </c>
      <c r="C315">
        <f t="shared" si="70"/>
        <v>2040</v>
      </c>
      <c r="D315" t="str">
        <f t="shared" si="71"/>
        <v>default</v>
      </c>
      <c r="E315" t="str">
        <f t="shared" si="72"/>
        <v>FR0</v>
      </c>
      <c r="F315" s="26">
        <f t="shared" si="73"/>
        <v>8661.0492002414139</v>
      </c>
      <c r="H315">
        <f t="shared" si="74"/>
        <v>5</v>
      </c>
      <c r="I315">
        <f t="shared" si="75"/>
        <v>6</v>
      </c>
      <c r="J315">
        <f t="shared" si="76"/>
        <v>2</v>
      </c>
      <c r="K315">
        <f t="shared" si="77"/>
        <v>1</v>
      </c>
    </row>
    <row r="316" spans="2:11">
      <c r="B316" t="str">
        <f t="shared" si="69"/>
        <v>HYD_STO</v>
      </c>
      <c r="C316">
        <f t="shared" si="70"/>
        <v>2040</v>
      </c>
      <c r="D316" t="str">
        <f t="shared" si="71"/>
        <v>default</v>
      </c>
      <c r="E316" t="str">
        <f t="shared" si="72"/>
        <v>FR0</v>
      </c>
      <c r="F316" s="26">
        <f t="shared" si="73"/>
        <v>5235.2214851714898</v>
      </c>
      <c r="H316">
        <f t="shared" si="74"/>
        <v>6</v>
      </c>
      <c r="I316">
        <f t="shared" si="75"/>
        <v>6</v>
      </c>
      <c r="J316">
        <f t="shared" si="76"/>
        <v>2</v>
      </c>
      <c r="K316">
        <f t="shared" si="77"/>
        <v>1</v>
      </c>
    </row>
    <row r="317" spans="2:11">
      <c r="B317" t="str">
        <f t="shared" si="69"/>
        <v>GAS_LIN</v>
      </c>
      <c r="C317">
        <f t="shared" si="70"/>
        <v>2040</v>
      </c>
      <c r="D317" t="str">
        <f t="shared" si="71"/>
        <v>default</v>
      </c>
      <c r="E317" t="str">
        <f t="shared" si="72"/>
        <v>FR0</v>
      </c>
      <c r="F317" s="26">
        <f t="shared" si="73"/>
        <v>8343.6593825100408</v>
      </c>
      <c r="H317">
        <f t="shared" si="74"/>
        <v>7</v>
      </c>
      <c r="I317">
        <f t="shared" si="75"/>
        <v>6</v>
      </c>
      <c r="J317">
        <f t="shared" si="76"/>
        <v>2</v>
      </c>
      <c r="K317">
        <f t="shared" si="77"/>
        <v>1</v>
      </c>
    </row>
    <row r="318" spans="2:11">
      <c r="B318" t="str">
        <f t="shared" si="69"/>
        <v>GAS_NEW</v>
      </c>
      <c r="C318">
        <f t="shared" si="70"/>
        <v>2040</v>
      </c>
      <c r="D318" t="str">
        <f t="shared" si="71"/>
        <v>default</v>
      </c>
      <c r="E318" t="str">
        <f t="shared" si="72"/>
        <v>FR0</v>
      </c>
      <c r="F318" s="26">
        <f t="shared" si="73"/>
        <v>14849.69255299066</v>
      </c>
      <c r="H318">
        <f t="shared" si="74"/>
        <v>8</v>
      </c>
      <c r="I318">
        <f t="shared" si="75"/>
        <v>6</v>
      </c>
      <c r="J318">
        <f t="shared" si="76"/>
        <v>2</v>
      </c>
      <c r="K318">
        <f t="shared" si="77"/>
        <v>1</v>
      </c>
    </row>
    <row r="319" spans="2:11">
      <c r="B319" t="str">
        <f t="shared" si="69"/>
        <v>OIL_LIN</v>
      </c>
      <c r="C319">
        <f t="shared" si="70"/>
        <v>2040</v>
      </c>
      <c r="D319" t="str">
        <f t="shared" si="71"/>
        <v>default</v>
      </c>
      <c r="E319" t="str">
        <f t="shared" si="72"/>
        <v>FR0</v>
      </c>
      <c r="F319" s="26">
        <f t="shared" si="73"/>
        <v>708.27380000000005</v>
      </c>
      <c r="H319">
        <f t="shared" si="74"/>
        <v>9</v>
      </c>
      <c r="I319">
        <f t="shared" si="75"/>
        <v>6</v>
      </c>
      <c r="J319">
        <f t="shared" si="76"/>
        <v>2</v>
      </c>
      <c r="K319">
        <f t="shared" si="77"/>
        <v>1</v>
      </c>
    </row>
    <row r="320" spans="2:11">
      <c r="B320" t="str">
        <f t="shared" si="69"/>
        <v>BAL_ELC</v>
      </c>
      <c r="C320">
        <f t="shared" si="70"/>
        <v>2040</v>
      </c>
      <c r="D320" t="str">
        <f t="shared" si="71"/>
        <v>default</v>
      </c>
      <c r="E320" t="str">
        <f t="shared" si="72"/>
        <v>FR0</v>
      </c>
      <c r="F320" s="26">
        <f t="shared" si="73"/>
        <v>1901.4454886440619</v>
      </c>
      <c r="H320">
        <f t="shared" si="74"/>
        <v>10</v>
      </c>
      <c r="I320">
        <f t="shared" si="75"/>
        <v>6</v>
      </c>
      <c r="J320">
        <f t="shared" si="76"/>
        <v>2</v>
      </c>
      <c r="K320">
        <f t="shared" si="77"/>
        <v>1</v>
      </c>
    </row>
    <row r="321" spans="2:11">
      <c r="B321" t="str">
        <f t="shared" si="69"/>
        <v>WAS_ELC</v>
      </c>
      <c r="C321">
        <f t="shared" si="70"/>
        <v>2040</v>
      </c>
      <c r="D321" t="str">
        <f t="shared" si="71"/>
        <v>default</v>
      </c>
      <c r="E321" t="str">
        <f t="shared" si="72"/>
        <v>FR0</v>
      </c>
      <c r="F321" s="26">
        <f t="shared" si="73"/>
        <v>1606.7565199243179</v>
      </c>
      <c r="H321">
        <f t="shared" si="74"/>
        <v>11</v>
      </c>
      <c r="I321">
        <f t="shared" si="75"/>
        <v>6</v>
      </c>
      <c r="J321">
        <f t="shared" si="76"/>
        <v>2</v>
      </c>
      <c r="K321">
        <f t="shared" si="77"/>
        <v>1</v>
      </c>
    </row>
    <row r="322" spans="2:11">
      <c r="B322" t="str">
        <f t="shared" si="69"/>
        <v>LIG_LIN</v>
      </c>
      <c r="C322">
        <f t="shared" si="70"/>
        <v>2040</v>
      </c>
      <c r="D322" t="str">
        <f t="shared" si="71"/>
        <v>default</v>
      </c>
      <c r="E322" t="str">
        <f t="shared" si="72"/>
        <v>FR0</v>
      </c>
      <c r="F322" s="26">
        <f t="shared" si="73"/>
        <v>0</v>
      </c>
      <c r="H322">
        <f t="shared" si="74"/>
        <v>12</v>
      </c>
      <c r="I322">
        <f t="shared" si="75"/>
        <v>6</v>
      </c>
      <c r="J322">
        <f t="shared" si="76"/>
        <v>2</v>
      </c>
      <c r="K322">
        <f t="shared" si="77"/>
        <v>1</v>
      </c>
    </row>
    <row r="323" spans="2:11">
      <c r="B323" t="str">
        <f t="shared" si="69"/>
        <v>HCO_LIN</v>
      </c>
      <c r="C323">
        <f t="shared" si="70"/>
        <v>2040</v>
      </c>
      <c r="D323" t="str">
        <f t="shared" si="71"/>
        <v>default</v>
      </c>
      <c r="E323" t="str">
        <f t="shared" si="72"/>
        <v>FR0</v>
      </c>
      <c r="F323" s="26">
        <f t="shared" si="73"/>
        <v>2891.56</v>
      </c>
      <c r="H323">
        <f t="shared" si="74"/>
        <v>13</v>
      </c>
      <c r="I323">
        <f t="shared" si="75"/>
        <v>6</v>
      </c>
      <c r="J323">
        <f t="shared" si="76"/>
        <v>2</v>
      </c>
      <c r="K323">
        <f t="shared" si="77"/>
        <v>1</v>
      </c>
    </row>
    <row r="324" spans="2:11">
      <c r="B324" t="str">
        <f t="shared" si="69"/>
        <v>GEO_ELC</v>
      </c>
      <c r="C324">
        <f t="shared" si="70"/>
        <v>2040</v>
      </c>
      <c r="D324" t="str">
        <f t="shared" si="71"/>
        <v>default</v>
      </c>
      <c r="E324" t="str">
        <f t="shared" si="72"/>
        <v>FR0</v>
      </c>
      <c r="F324" s="26">
        <f t="shared" si="73"/>
        <v>3.1213716085118901</v>
      </c>
      <c r="H324">
        <f t="shared" si="74"/>
        <v>14</v>
      </c>
      <c r="I324">
        <f t="shared" si="75"/>
        <v>6</v>
      </c>
      <c r="J324">
        <f t="shared" si="76"/>
        <v>2</v>
      </c>
      <c r="K324">
        <f t="shared" si="77"/>
        <v>1</v>
      </c>
    </row>
    <row r="325" spans="2:11">
      <c r="B325" t="str">
        <f t="shared" si="69"/>
        <v>WIN_OFF</v>
      </c>
      <c r="C325">
        <f t="shared" si="70"/>
        <v>2040</v>
      </c>
      <c r="D325" t="str">
        <f t="shared" si="71"/>
        <v>default</v>
      </c>
      <c r="E325" t="str">
        <f t="shared" si="72"/>
        <v>FR0</v>
      </c>
      <c r="F325" s="26">
        <f t="shared" si="73"/>
        <v>9416.0721782968085</v>
      </c>
      <c r="H325">
        <f t="shared" si="74"/>
        <v>15</v>
      </c>
      <c r="I325">
        <f t="shared" si="75"/>
        <v>6</v>
      </c>
      <c r="J325">
        <f t="shared" si="76"/>
        <v>2</v>
      </c>
      <c r="K325">
        <f t="shared" si="77"/>
        <v>1</v>
      </c>
    </row>
    <row r="326" spans="2:11">
      <c r="B326" t="str">
        <f t="shared" si="69"/>
        <v>NUC_ELC</v>
      </c>
      <c r="C326">
        <f t="shared" si="70"/>
        <v>2045</v>
      </c>
      <c r="D326" t="str">
        <f t="shared" si="71"/>
        <v>default</v>
      </c>
      <c r="E326" t="str">
        <f t="shared" si="72"/>
        <v>FR0</v>
      </c>
      <c r="F326" s="26">
        <f t="shared" si="73"/>
        <v>39118.559999999998</v>
      </c>
      <c r="H326">
        <f t="shared" si="74"/>
        <v>1</v>
      </c>
      <c r="I326">
        <f t="shared" si="75"/>
        <v>7</v>
      </c>
      <c r="J326">
        <f t="shared" si="76"/>
        <v>2</v>
      </c>
      <c r="K326">
        <f t="shared" si="77"/>
        <v>1</v>
      </c>
    </row>
    <row r="327" spans="2:11">
      <c r="B327" t="str">
        <f t="shared" si="69"/>
        <v>SOL_PHO</v>
      </c>
      <c r="C327">
        <f t="shared" si="70"/>
        <v>2045</v>
      </c>
      <c r="D327" t="str">
        <f t="shared" si="71"/>
        <v>default</v>
      </c>
      <c r="E327" t="str">
        <f t="shared" si="72"/>
        <v>FR0</v>
      </c>
      <c r="F327" s="26">
        <f t="shared" si="73"/>
        <v>35312.334179876503</v>
      </c>
      <c r="H327">
        <f t="shared" si="74"/>
        <v>2</v>
      </c>
      <c r="I327">
        <f t="shared" si="75"/>
        <v>7</v>
      </c>
      <c r="J327">
        <f t="shared" si="76"/>
        <v>2</v>
      </c>
      <c r="K327">
        <f t="shared" si="77"/>
        <v>1</v>
      </c>
    </row>
    <row r="328" spans="2:11">
      <c r="B328" t="str">
        <f t="shared" si="69"/>
        <v>WIN_ONS</v>
      </c>
      <c r="C328">
        <f t="shared" si="70"/>
        <v>2045</v>
      </c>
      <c r="D328" t="str">
        <f t="shared" si="71"/>
        <v>default</v>
      </c>
      <c r="E328" t="str">
        <f t="shared" si="72"/>
        <v>FR0</v>
      </c>
      <c r="F328" s="26">
        <f t="shared" si="73"/>
        <v>31903.122328619804</v>
      </c>
      <c r="H328">
        <f t="shared" si="74"/>
        <v>3</v>
      </c>
      <c r="I328">
        <f t="shared" si="75"/>
        <v>7</v>
      </c>
      <c r="J328">
        <f t="shared" si="76"/>
        <v>2</v>
      </c>
      <c r="K328">
        <f t="shared" si="77"/>
        <v>1</v>
      </c>
    </row>
    <row r="329" spans="2:11">
      <c r="B329" t="str">
        <f t="shared" si="69"/>
        <v>HYD_ROR</v>
      </c>
      <c r="C329">
        <f t="shared" si="70"/>
        <v>2045</v>
      </c>
      <c r="D329" t="str">
        <f t="shared" si="71"/>
        <v>default</v>
      </c>
      <c r="E329" t="str">
        <f t="shared" si="72"/>
        <v>FR0</v>
      </c>
      <c r="F329" s="26">
        <f t="shared" si="73"/>
        <v>11271.393841983194</v>
      </c>
      <c r="H329">
        <f t="shared" si="74"/>
        <v>4</v>
      </c>
      <c r="I329">
        <f t="shared" si="75"/>
        <v>7</v>
      </c>
      <c r="J329">
        <f t="shared" si="76"/>
        <v>2</v>
      </c>
      <c r="K329">
        <f t="shared" si="77"/>
        <v>1</v>
      </c>
    </row>
    <row r="330" spans="2:11">
      <c r="B330" t="str">
        <f t="shared" si="69"/>
        <v>HYD_RES</v>
      </c>
      <c r="C330">
        <f t="shared" si="70"/>
        <v>2045</v>
      </c>
      <c r="D330" t="str">
        <f t="shared" si="71"/>
        <v>default</v>
      </c>
      <c r="E330" t="str">
        <f t="shared" si="72"/>
        <v>FR0</v>
      </c>
      <c r="F330" s="26">
        <f t="shared" si="73"/>
        <v>8969.2151988606929</v>
      </c>
      <c r="H330">
        <f t="shared" si="74"/>
        <v>5</v>
      </c>
      <c r="I330">
        <f t="shared" si="75"/>
        <v>7</v>
      </c>
      <c r="J330">
        <f t="shared" si="76"/>
        <v>2</v>
      </c>
      <c r="K330">
        <f t="shared" si="77"/>
        <v>1</v>
      </c>
    </row>
    <row r="331" spans="2:11">
      <c r="B331" t="str">
        <f t="shared" si="69"/>
        <v>HYD_STO</v>
      </c>
      <c r="C331">
        <f t="shared" si="70"/>
        <v>2045</v>
      </c>
      <c r="D331" t="str">
        <f t="shared" si="71"/>
        <v>default</v>
      </c>
      <c r="E331" t="str">
        <f t="shared" si="72"/>
        <v>FR0</v>
      </c>
      <c r="F331" s="26">
        <f t="shared" si="73"/>
        <v>5421.494212605714</v>
      </c>
      <c r="H331">
        <f t="shared" si="74"/>
        <v>6</v>
      </c>
      <c r="I331">
        <f t="shared" si="75"/>
        <v>7</v>
      </c>
      <c r="J331">
        <f t="shared" si="76"/>
        <v>2</v>
      </c>
      <c r="K331">
        <f t="shared" si="77"/>
        <v>1</v>
      </c>
    </row>
    <row r="332" spans="2:11">
      <c r="B332" t="str">
        <f t="shared" si="69"/>
        <v>GAS_LIN</v>
      </c>
      <c r="C332">
        <f t="shared" si="70"/>
        <v>2045</v>
      </c>
      <c r="D332" t="str">
        <f t="shared" si="71"/>
        <v>default</v>
      </c>
      <c r="E332" t="str">
        <f t="shared" si="72"/>
        <v>FR0</v>
      </c>
      <c r="F332" s="26">
        <f t="shared" si="73"/>
        <v>8343.6593825100408</v>
      </c>
      <c r="H332">
        <f t="shared" si="74"/>
        <v>7</v>
      </c>
      <c r="I332">
        <f t="shared" si="75"/>
        <v>7</v>
      </c>
      <c r="J332">
        <f t="shared" si="76"/>
        <v>2</v>
      </c>
      <c r="K332">
        <f t="shared" si="77"/>
        <v>1</v>
      </c>
    </row>
    <row r="333" spans="2:11">
      <c r="B333" t="str">
        <f t="shared" si="69"/>
        <v>GAS_NEW</v>
      </c>
      <c r="C333">
        <f t="shared" si="70"/>
        <v>2045</v>
      </c>
      <c r="D333" t="str">
        <f t="shared" si="71"/>
        <v>default</v>
      </c>
      <c r="E333" t="str">
        <f t="shared" si="72"/>
        <v>FR0</v>
      </c>
      <c r="F333" s="26">
        <f t="shared" si="73"/>
        <v>18916.099536294561</v>
      </c>
      <c r="H333">
        <f t="shared" si="74"/>
        <v>8</v>
      </c>
      <c r="I333">
        <f t="shared" si="75"/>
        <v>7</v>
      </c>
      <c r="J333">
        <f t="shared" si="76"/>
        <v>2</v>
      </c>
      <c r="K333">
        <f t="shared" si="77"/>
        <v>1</v>
      </c>
    </row>
    <row r="334" spans="2:11">
      <c r="B334" t="str">
        <f t="shared" si="69"/>
        <v>OIL_LIN</v>
      </c>
      <c r="C334">
        <f t="shared" si="70"/>
        <v>2045</v>
      </c>
      <c r="D334" t="str">
        <f t="shared" si="71"/>
        <v>default</v>
      </c>
      <c r="E334" t="str">
        <f t="shared" si="72"/>
        <v>FR0</v>
      </c>
      <c r="F334" s="26">
        <f t="shared" si="73"/>
        <v>693.75</v>
      </c>
      <c r="H334">
        <f t="shared" si="74"/>
        <v>9</v>
      </c>
      <c r="I334">
        <f t="shared" si="75"/>
        <v>7</v>
      </c>
      <c r="J334">
        <f t="shared" si="76"/>
        <v>2</v>
      </c>
      <c r="K334">
        <f t="shared" si="77"/>
        <v>1</v>
      </c>
    </row>
    <row r="335" spans="2:11">
      <c r="B335" t="str">
        <f t="shared" si="69"/>
        <v>BAL_ELC</v>
      </c>
      <c r="C335">
        <f t="shared" si="70"/>
        <v>2045</v>
      </c>
      <c r="D335" t="str">
        <f t="shared" si="71"/>
        <v>default</v>
      </c>
      <c r="E335" t="str">
        <f t="shared" si="72"/>
        <v>FR0</v>
      </c>
      <c r="F335" s="26">
        <f t="shared" si="73"/>
        <v>1950.1638160508269</v>
      </c>
      <c r="H335">
        <f t="shared" si="74"/>
        <v>10</v>
      </c>
      <c r="I335">
        <f t="shared" si="75"/>
        <v>7</v>
      </c>
      <c r="J335">
        <f t="shared" si="76"/>
        <v>2</v>
      </c>
      <c r="K335">
        <f t="shared" si="77"/>
        <v>1</v>
      </c>
    </row>
    <row r="336" spans="2:11">
      <c r="B336" t="str">
        <f t="shared" si="69"/>
        <v>WAS_ELC</v>
      </c>
      <c r="C336">
        <f t="shared" si="70"/>
        <v>2045</v>
      </c>
      <c r="D336" t="str">
        <f t="shared" si="71"/>
        <v>default</v>
      </c>
      <c r="E336" t="str">
        <f t="shared" si="72"/>
        <v>FR0</v>
      </c>
      <c r="F336" s="26">
        <f t="shared" si="73"/>
        <v>1647.9244054451633</v>
      </c>
      <c r="H336">
        <f t="shared" si="74"/>
        <v>11</v>
      </c>
      <c r="I336">
        <f t="shared" si="75"/>
        <v>7</v>
      </c>
      <c r="J336">
        <f t="shared" si="76"/>
        <v>2</v>
      </c>
      <c r="K336">
        <f t="shared" si="77"/>
        <v>1</v>
      </c>
    </row>
    <row r="337" spans="2:11">
      <c r="B337" t="str">
        <f t="shared" si="69"/>
        <v>LIG_LIN</v>
      </c>
      <c r="C337">
        <f t="shared" si="70"/>
        <v>2045</v>
      </c>
      <c r="D337" t="str">
        <f t="shared" si="71"/>
        <v>default</v>
      </c>
      <c r="E337" t="str">
        <f t="shared" si="72"/>
        <v>FR0</v>
      </c>
      <c r="F337" s="26">
        <f t="shared" si="73"/>
        <v>0</v>
      </c>
      <c r="H337">
        <f t="shared" si="74"/>
        <v>12</v>
      </c>
      <c r="I337">
        <f t="shared" si="75"/>
        <v>7</v>
      </c>
      <c r="J337">
        <f t="shared" si="76"/>
        <v>2</v>
      </c>
      <c r="K337">
        <f t="shared" si="77"/>
        <v>1</v>
      </c>
    </row>
    <row r="338" spans="2:11">
      <c r="B338" t="str">
        <f t="shared" si="69"/>
        <v>HCO_LIN</v>
      </c>
      <c r="C338">
        <f t="shared" si="70"/>
        <v>2045</v>
      </c>
      <c r="D338" t="str">
        <f t="shared" si="71"/>
        <v>default</v>
      </c>
      <c r="E338" t="str">
        <f t="shared" si="72"/>
        <v>FR0</v>
      </c>
      <c r="F338" s="26">
        <f t="shared" si="73"/>
        <v>2891.56</v>
      </c>
      <c r="H338">
        <f t="shared" si="74"/>
        <v>13</v>
      </c>
      <c r="I338">
        <f t="shared" si="75"/>
        <v>7</v>
      </c>
      <c r="J338">
        <f t="shared" si="76"/>
        <v>2</v>
      </c>
      <c r="K338">
        <f t="shared" si="77"/>
        <v>1</v>
      </c>
    </row>
    <row r="339" spans="2:11">
      <c r="B339" t="str">
        <f t="shared" si="69"/>
        <v>GEO_ELC</v>
      </c>
      <c r="C339">
        <f t="shared" si="70"/>
        <v>2045</v>
      </c>
      <c r="D339" t="str">
        <f t="shared" si="71"/>
        <v>default</v>
      </c>
      <c r="E339" t="str">
        <f t="shared" si="72"/>
        <v>FR0</v>
      </c>
      <c r="F339" s="26">
        <f t="shared" si="73"/>
        <v>3.1213716085118901</v>
      </c>
      <c r="H339">
        <f t="shared" si="74"/>
        <v>14</v>
      </c>
      <c r="I339">
        <f t="shared" si="75"/>
        <v>7</v>
      </c>
      <c r="J339">
        <f t="shared" si="76"/>
        <v>2</v>
      </c>
      <c r="K339">
        <f t="shared" si="77"/>
        <v>1</v>
      </c>
    </row>
    <row r="340" spans="2:11">
      <c r="B340" t="str">
        <f t="shared" si="69"/>
        <v>WIN_OFF</v>
      </c>
      <c r="C340">
        <f t="shared" si="70"/>
        <v>2045</v>
      </c>
      <c r="D340" t="str">
        <f t="shared" si="71"/>
        <v>default</v>
      </c>
      <c r="E340" t="str">
        <f t="shared" si="72"/>
        <v>FR0</v>
      </c>
      <c r="F340" s="26">
        <f t="shared" si="73"/>
        <v>10938.213369812502</v>
      </c>
      <c r="H340">
        <f t="shared" si="74"/>
        <v>15</v>
      </c>
      <c r="I340">
        <f t="shared" si="75"/>
        <v>7</v>
      </c>
      <c r="J340">
        <f t="shared" si="76"/>
        <v>2</v>
      </c>
      <c r="K340">
        <f t="shared" si="77"/>
        <v>1</v>
      </c>
    </row>
    <row r="341" spans="2:11">
      <c r="B341" t="str">
        <f t="shared" si="69"/>
        <v>NUC_ELC</v>
      </c>
      <c r="C341">
        <f t="shared" si="70"/>
        <v>2050</v>
      </c>
      <c r="D341" t="str">
        <f t="shared" si="71"/>
        <v>default</v>
      </c>
      <c r="E341" t="str">
        <f t="shared" si="72"/>
        <v>FR0</v>
      </c>
      <c r="F341" s="26">
        <f t="shared" si="73"/>
        <v>32276.400000000001</v>
      </c>
      <c r="H341">
        <f t="shared" si="74"/>
        <v>1</v>
      </c>
      <c r="I341">
        <f t="shared" si="75"/>
        <v>8</v>
      </c>
      <c r="J341">
        <f t="shared" si="76"/>
        <v>2</v>
      </c>
      <c r="K341">
        <f t="shared" si="77"/>
        <v>1</v>
      </c>
    </row>
    <row r="342" spans="2:11">
      <c r="B342" t="str">
        <f t="shared" si="69"/>
        <v>SOL_PHO</v>
      </c>
      <c r="C342">
        <f t="shared" si="70"/>
        <v>2050</v>
      </c>
      <c r="D342" t="str">
        <f t="shared" si="71"/>
        <v>default</v>
      </c>
      <c r="E342" t="str">
        <f t="shared" si="72"/>
        <v>FR0</v>
      </c>
      <c r="F342" s="26">
        <f t="shared" si="73"/>
        <v>45200.004896947001</v>
      </c>
      <c r="H342">
        <f t="shared" si="74"/>
        <v>2</v>
      </c>
      <c r="I342">
        <f t="shared" si="75"/>
        <v>8</v>
      </c>
      <c r="J342">
        <f t="shared" si="76"/>
        <v>2</v>
      </c>
      <c r="K342">
        <f t="shared" si="77"/>
        <v>1</v>
      </c>
    </row>
    <row r="343" spans="2:11">
      <c r="B343" t="str">
        <f t="shared" si="69"/>
        <v>WIN_ONS</v>
      </c>
      <c r="C343">
        <f t="shared" si="70"/>
        <v>2050</v>
      </c>
      <c r="D343" t="str">
        <f t="shared" si="71"/>
        <v>default</v>
      </c>
      <c r="E343" t="str">
        <f t="shared" si="72"/>
        <v>FR0</v>
      </c>
      <c r="F343" s="26">
        <f t="shared" si="73"/>
        <v>42870.423406673093</v>
      </c>
      <c r="H343">
        <f t="shared" si="74"/>
        <v>3</v>
      </c>
      <c r="I343">
        <f t="shared" si="75"/>
        <v>8</v>
      </c>
      <c r="J343">
        <f t="shared" si="76"/>
        <v>2</v>
      </c>
      <c r="K343">
        <f t="shared" si="77"/>
        <v>1</v>
      </c>
    </row>
    <row r="344" spans="2:11">
      <c r="B344" t="str">
        <f t="shared" si="69"/>
        <v>HYD_ROR</v>
      </c>
      <c r="C344">
        <f t="shared" si="70"/>
        <v>2050</v>
      </c>
      <c r="D344" t="str">
        <f t="shared" si="71"/>
        <v>default</v>
      </c>
      <c r="E344" t="str">
        <f t="shared" si="72"/>
        <v>FR0</v>
      </c>
      <c r="F344" s="26">
        <f t="shared" si="73"/>
        <v>11665.450795641442</v>
      </c>
      <c r="H344">
        <f t="shared" si="74"/>
        <v>4</v>
      </c>
      <c r="I344">
        <f t="shared" si="75"/>
        <v>8</v>
      </c>
      <c r="J344">
        <f t="shared" si="76"/>
        <v>2</v>
      </c>
      <c r="K344">
        <f t="shared" si="77"/>
        <v>1</v>
      </c>
    </row>
    <row r="345" spans="2:11">
      <c r="B345" t="str">
        <f t="shared" si="69"/>
        <v>HYD_RES</v>
      </c>
      <c r="C345">
        <f t="shared" si="70"/>
        <v>2050</v>
      </c>
      <c r="D345" t="str">
        <f t="shared" si="71"/>
        <v>default</v>
      </c>
      <c r="E345" t="str">
        <f t="shared" si="72"/>
        <v>FR0</v>
      </c>
      <c r="F345" s="26">
        <f t="shared" si="73"/>
        <v>9282.7861438137097</v>
      </c>
      <c r="H345">
        <f t="shared" si="74"/>
        <v>5</v>
      </c>
      <c r="I345">
        <f t="shared" si="75"/>
        <v>8</v>
      </c>
      <c r="J345">
        <f t="shared" si="76"/>
        <v>2</v>
      </c>
      <c r="K345">
        <f t="shared" si="77"/>
        <v>1</v>
      </c>
    </row>
    <row r="346" spans="2:11">
      <c r="B346" t="str">
        <f t="shared" si="69"/>
        <v>HYD_STO</v>
      </c>
      <c r="C346">
        <f t="shared" si="70"/>
        <v>2050</v>
      </c>
      <c r="D346" t="str">
        <f t="shared" si="71"/>
        <v>default</v>
      </c>
      <c r="E346" t="str">
        <f t="shared" si="72"/>
        <v>FR0</v>
      </c>
      <c r="F346" s="26">
        <f t="shared" si="73"/>
        <v>5611.0339912387471</v>
      </c>
      <c r="H346">
        <f t="shared" si="74"/>
        <v>6</v>
      </c>
      <c r="I346">
        <f t="shared" si="75"/>
        <v>8</v>
      </c>
      <c r="J346">
        <f t="shared" si="76"/>
        <v>2</v>
      </c>
      <c r="K346">
        <f t="shared" si="77"/>
        <v>1</v>
      </c>
    </row>
    <row r="347" spans="2:11">
      <c r="B347" t="str">
        <f t="shared" si="69"/>
        <v>GAS_LIN</v>
      </c>
      <c r="C347">
        <f t="shared" si="70"/>
        <v>2050</v>
      </c>
      <c r="D347" t="str">
        <f t="shared" si="71"/>
        <v>default</v>
      </c>
      <c r="E347" t="str">
        <f t="shared" si="72"/>
        <v>FR0</v>
      </c>
      <c r="F347" s="26">
        <f t="shared" si="73"/>
        <v>8343.6593825100408</v>
      </c>
      <c r="H347">
        <f t="shared" si="74"/>
        <v>7</v>
      </c>
      <c r="I347">
        <f t="shared" si="75"/>
        <v>8</v>
      </c>
      <c r="J347">
        <f t="shared" si="76"/>
        <v>2</v>
      </c>
      <c r="K347">
        <f t="shared" si="77"/>
        <v>1</v>
      </c>
    </row>
    <row r="348" spans="2:11">
      <c r="B348" t="str">
        <f t="shared" si="69"/>
        <v>GAS_NEW</v>
      </c>
      <c r="C348">
        <f t="shared" si="70"/>
        <v>2050</v>
      </c>
      <c r="D348" t="str">
        <f t="shared" si="71"/>
        <v>default</v>
      </c>
      <c r="E348" t="str">
        <f t="shared" si="72"/>
        <v>FR0</v>
      </c>
      <c r="F348" s="26">
        <f t="shared" si="73"/>
        <v>26580.733478190159</v>
      </c>
      <c r="H348">
        <f t="shared" si="74"/>
        <v>8</v>
      </c>
      <c r="I348">
        <f t="shared" si="75"/>
        <v>8</v>
      </c>
      <c r="J348">
        <f t="shared" si="76"/>
        <v>2</v>
      </c>
      <c r="K348">
        <f t="shared" si="77"/>
        <v>1</v>
      </c>
    </row>
    <row r="349" spans="2:11">
      <c r="B349" t="str">
        <f t="shared" si="69"/>
        <v>OIL_LIN</v>
      </c>
      <c r="C349">
        <f t="shared" si="70"/>
        <v>2050</v>
      </c>
      <c r="D349" t="str">
        <f t="shared" si="71"/>
        <v>default</v>
      </c>
      <c r="E349" t="str">
        <f t="shared" si="72"/>
        <v>FR0</v>
      </c>
      <c r="F349" s="26">
        <f t="shared" si="73"/>
        <v>625.02200000000005</v>
      </c>
      <c r="H349">
        <f t="shared" si="74"/>
        <v>9</v>
      </c>
      <c r="I349">
        <f t="shared" si="75"/>
        <v>8</v>
      </c>
      <c r="J349">
        <f t="shared" si="76"/>
        <v>2</v>
      </c>
      <c r="K349">
        <f t="shared" si="77"/>
        <v>1</v>
      </c>
    </row>
    <row r="350" spans="2:11">
      <c r="B350" t="str">
        <f t="shared" si="69"/>
        <v>BAL_ELC</v>
      </c>
      <c r="C350">
        <f t="shared" si="70"/>
        <v>2050</v>
      </c>
      <c r="D350" t="str">
        <f t="shared" si="71"/>
        <v>default</v>
      </c>
      <c r="E350" t="str">
        <f t="shared" si="72"/>
        <v>FR0</v>
      </c>
      <c r="F350" s="26">
        <f t="shared" si="73"/>
        <v>1970.6151429698432</v>
      </c>
      <c r="H350">
        <f t="shared" si="74"/>
        <v>10</v>
      </c>
      <c r="I350">
        <f t="shared" si="75"/>
        <v>8</v>
      </c>
      <c r="J350">
        <f t="shared" si="76"/>
        <v>2</v>
      </c>
      <c r="K350">
        <f t="shared" si="77"/>
        <v>1</v>
      </c>
    </row>
    <row r="351" spans="2:11">
      <c r="B351" t="str">
        <f t="shared" si="69"/>
        <v>WAS_ELC</v>
      </c>
      <c r="C351">
        <f t="shared" si="70"/>
        <v>2050</v>
      </c>
      <c r="D351" t="str">
        <f t="shared" si="71"/>
        <v>default</v>
      </c>
      <c r="E351" t="str">
        <f t="shared" si="72"/>
        <v>FR0</v>
      </c>
      <c r="F351" s="26">
        <f t="shared" si="73"/>
        <v>1665.206154022487</v>
      </c>
      <c r="H351">
        <f t="shared" si="74"/>
        <v>11</v>
      </c>
      <c r="I351">
        <f t="shared" si="75"/>
        <v>8</v>
      </c>
      <c r="J351">
        <f t="shared" si="76"/>
        <v>2</v>
      </c>
      <c r="K351">
        <f t="shared" si="77"/>
        <v>1</v>
      </c>
    </row>
    <row r="352" spans="2:11">
      <c r="B352" t="str">
        <f t="shared" si="69"/>
        <v>LIG_LIN</v>
      </c>
      <c r="C352">
        <f t="shared" si="70"/>
        <v>2050</v>
      </c>
      <c r="D352" t="str">
        <f t="shared" si="71"/>
        <v>default</v>
      </c>
      <c r="E352" t="str">
        <f t="shared" si="72"/>
        <v>FR0</v>
      </c>
      <c r="F352" s="26">
        <f t="shared" si="73"/>
        <v>0</v>
      </c>
      <c r="H352">
        <f t="shared" si="74"/>
        <v>12</v>
      </c>
      <c r="I352">
        <f t="shared" si="75"/>
        <v>8</v>
      </c>
      <c r="J352">
        <f t="shared" si="76"/>
        <v>2</v>
      </c>
      <c r="K352">
        <f t="shared" si="77"/>
        <v>1</v>
      </c>
    </row>
    <row r="353" spans="2:11">
      <c r="B353" t="str">
        <f t="shared" si="69"/>
        <v>HCO_LIN</v>
      </c>
      <c r="C353">
        <f t="shared" si="70"/>
        <v>2050</v>
      </c>
      <c r="D353" t="str">
        <f t="shared" si="71"/>
        <v>default</v>
      </c>
      <c r="E353" t="str">
        <f t="shared" si="72"/>
        <v>FR0</v>
      </c>
      <c r="F353" s="26">
        <f t="shared" si="73"/>
        <v>2891.56</v>
      </c>
      <c r="H353">
        <f t="shared" si="74"/>
        <v>13</v>
      </c>
      <c r="I353">
        <f t="shared" si="75"/>
        <v>8</v>
      </c>
      <c r="J353">
        <f t="shared" si="76"/>
        <v>2</v>
      </c>
      <c r="K353">
        <f t="shared" si="77"/>
        <v>1</v>
      </c>
    </row>
    <row r="354" spans="2:11">
      <c r="B354" t="str">
        <f t="shared" si="69"/>
        <v>GEO_ELC</v>
      </c>
      <c r="C354">
        <f t="shared" si="70"/>
        <v>2050</v>
      </c>
      <c r="D354" t="str">
        <f t="shared" si="71"/>
        <v>default</v>
      </c>
      <c r="E354" t="str">
        <f t="shared" si="72"/>
        <v>FR0</v>
      </c>
      <c r="F354" s="26">
        <f t="shared" si="73"/>
        <v>3.1213716085118901</v>
      </c>
      <c r="H354">
        <f t="shared" si="74"/>
        <v>14</v>
      </c>
      <c r="I354">
        <f t="shared" si="75"/>
        <v>8</v>
      </c>
      <c r="J354">
        <f t="shared" si="76"/>
        <v>2</v>
      </c>
      <c r="K354">
        <f t="shared" si="77"/>
        <v>1</v>
      </c>
    </row>
    <row r="355" spans="2:11">
      <c r="B355" t="str">
        <f t="shared" si="69"/>
        <v>WIN_OFF</v>
      </c>
      <c r="C355">
        <f t="shared" si="70"/>
        <v>2050</v>
      </c>
      <c r="D355" t="str">
        <f t="shared" si="71"/>
        <v>default</v>
      </c>
      <c r="E355" t="str">
        <f t="shared" si="72"/>
        <v>FR0</v>
      </c>
      <c r="F355" s="26">
        <f t="shared" si="73"/>
        <v>14698.430882287914</v>
      </c>
      <c r="H355">
        <f t="shared" si="74"/>
        <v>15</v>
      </c>
      <c r="I355">
        <f t="shared" si="75"/>
        <v>8</v>
      </c>
      <c r="J355">
        <f t="shared" si="76"/>
        <v>2</v>
      </c>
      <c r="K355">
        <f t="shared" si="77"/>
        <v>1</v>
      </c>
    </row>
    <row r="356" spans="2:11">
      <c r="B356" t="str">
        <f t="shared" si="69"/>
        <v>NUC_ELC</v>
      </c>
      <c r="C356">
        <f t="shared" si="70"/>
        <v>2015</v>
      </c>
      <c r="D356" t="str">
        <f t="shared" si="71"/>
        <v>default</v>
      </c>
      <c r="E356" t="str">
        <f t="shared" si="72"/>
        <v>IT0</v>
      </c>
      <c r="F356" s="26">
        <f t="shared" si="73"/>
        <v>0</v>
      </c>
      <c r="H356">
        <f t="shared" si="74"/>
        <v>1</v>
      </c>
      <c r="I356">
        <f t="shared" si="75"/>
        <v>1</v>
      </c>
      <c r="J356">
        <f t="shared" si="76"/>
        <v>3</v>
      </c>
      <c r="K356">
        <f t="shared" si="77"/>
        <v>1</v>
      </c>
    </row>
    <row r="357" spans="2:11">
      <c r="B357" t="str">
        <f t="shared" si="69"/>
        <v>SOL_PHO</v>
      </c>
      <c r="C357">
        <f t="shared" si="70"/>
        <v>2015</v>
      </c>
      <c r="D357" t="str">
        <f t="shared" si="71"/>
        <v>default</v>
      </c>
      <c r="E357" t="str">
        <f t="shared" si="72"/>
        <v>IT0</v>
      </c>
      <c r="F357" s="26">
        <f t="shared" si="73"/>
        <v>18904.953000000001</v>
      </c>
      <c r="H357">
        <f t="shared" si="74"/>
        <v>2</v>
      </c>
      <c r="I357">
        <f t="shared" si="75"/>
        <v>1</v>
      </c>
      <c r="J357">
        <f t="shared" si="76"/>
        <v>3</v>
      </c>
      <c r="K357">
        <f t="shared" si="77"/>
        <v>1</v>
      </c>
    </row>
    <row r="358" spans="2:11">
      <c r="B358" t="str">
        <f t="shared" si="69"/>
        <v>WIN_ONS</v>
      </c>
      <c r="C358">
        <f t="shared" si="70"/>
        <v>2015</v>
      </c>
      <c r="D358" t="str">
        <f t="shared" si="71"/>
        <v>default</v>
      </c>
      <c r="E358" t="str">
        <f t="shared" si="72"/>
        <v>IT0</v>
      </c>
      <c r="F358" s="26">
        <f t="shared" si="73"/>
        <v>8957.7999999999993</v>
      </c>
      <c r="H358">
        <f t="shared" si="74"/>
        <v>3</v>
      </c>
      <c r="I358">
        <f t="shared" si="75"/>
        <v>1</v>
      </c>
      <c r="J358">
        <f t="shared" si="76"/>
        <v>3</v>
      </c>
      <c r="K358">
        <f t="shared" si="77"/>
        <v>1</v>
      </c>
    </row>
    <row r="359" spans="2:11">
      <c r="B359" t="str">
        <f t="shared" si="69"/>
        <v>HYD_ROR</v>
      </c>
      <c r="C359">
        <f t="shared" si="70"/>
        <v>2015</v>
      </c>
      <c r="D359" t="str">
        <f t="shared" si="71"/>
        <v>default</v>
      </c>
      <c r="E359" t="str">
        <f t="shared" si="72"/>
        <v>IT0</v>
      </c>
      <c r="F359" s="26">
        <f t="shared" si="73"/>
        <v>5228.0961778530418</v>
      </c>
      <c r="H359">
        <f t="shared" si="74"/>
        <v>4</v>
      </c>
      <c r="I359">
        <f t="shared" si="75"/>
        <v>1</v>
      </c>
      <c r="J359">
        <f t="shared" si="76"/>
        <v>3</v>
      </c>
      <c r="K359">
        <f t="shared" si="77"/>
        <v>1</v>
      </c>
    </row>
    <row r="360" spans="2:11">
      <c r="B360" t="str">
        <f t="shared" si="69"/>
        <v>HYD_RES</v>
      </c>
      <c r="C360">
        <f t="shared" si="70"/>
        <v>2015</v>
      </c>
      <c r="D360" t="str">
        <f t="shared" si="71"/>
        <v>default</v>
      </c>
      <c r="E360" t="str">
        <f t="shared" si="72"/>
        <v>IT0</v>
      </c>
      <c r="F360" s="26">
        <f t="shared" si="73"/>
        <v>13283.903822146958</v>
      </c>
      <c r="H360">
        <f t="shared" si="74"/>
        <v>5</v>
      </c>
      <c r="I360">
        <f t="shared" si="75"/>
        <v>1</v>
      </c>
      <c r="J360">
        <f t="shared" si="76"/>
        <v>3</v>
      </c>
      <c r="K360">
        <f t="shared" si="77"/>
        <v>1</v>
      </c>
    </row>
    <row r="361" spans="2:11">
      <c r="B361" t="str">
        <f t="shared" si="69"/>
        <v>HYD_STO</v>
      </c>
      <c r="C361">
        <f t="shared" si="70"/>
        <v>2015</v>
      </c>
      <c r="D361" t="str">
        <f t="shared" si="71"/>
        <v>default</v>
      </c>
      <c r="E361" t="str">
        <f t="shared" si="72"/>
        <v>IT0</v>
      </c>
      <c r="F361" s="26">
        <f t="shared" si="73"/>
        <v>3795.9</v>
      </c>
      <c r="H361">
        <f t="shared" si="74"/>
        <v>6</v>
      </c>
      <c r="I361">
        <f t="shared" si="75"/>
        <v>1</v>
      </c>
      <c r="J361">
        <f t="shared" si="76"/>
        <v>3</v>
      </c>
      <c r="K361">
        <f t="shared" si="77"/>
        <v>1</v>
      </c>
    </row>
    <row r="362" spans="2:11">
      <c r="B362" t="str">
        <f t="shared" si="69"/>
        <v>GAS_LIN</v>
      </c>
      <c r="C362">
        <f t="shared" si="70"/>
        <v>2015</v>
      </c>
      <c r="D362" t="str">
        <f t="shared" si="71"/>
        <v>default</v>
      </c>
      <c r="E362" t="str">
        <f t="shared" si="72"/>
        <v>IT0</v>
      </c>
      <c r="F362" s="26">
        <f t="shared" si="73"/>
        <v>52044.520140000001</v>
      </c>
      <c r="H362">
        <f t="shared" si="74"/>
        <v>7</v>
      </c>
      <c r="I362">
        <f t="shared" si="75"/>
        <v>1</v>
      </c>
      <c r="J362">
        <f t="shared" si="76"/>
        <v>3</v>
      </c>
      <c r="K362">
        <f t="shared" si="77"/>
        <v>1</v>
      </c>
    </row>
    <row r="363" spans="2:11">
      <c r="B363" t="str">
        <f t="shared" si="69"/>
        <v>GAS_NEW</v>
      </c>
      <c r="C363">
        <f t="shared" si="70"/>
        <v>2015</v>
      </c>
      <c r="D363" t="str">
        <f t="shared" si="71"/>
        <v>default</v>
      </c>
      <c r="E363" t="str">
        <f t="shared" si="72"/>
        <v>IT0</v>
      </c>
      <c r="F363" s="26">
        <f t="shared" si="73"/>
        <v>0</v>
      </c>
      <c r="H363">
        <f t="shared" si="74"/>
        <v>8</v>
      </c>
      <c r="I363">
        <f t="shared" si="75"/>
        <v>1</v>
      </c>
      <c r="J363">
        <f t="shared" si="76"/>
        <v>3</v>
      </c>
      <c r="K363">
        <f t="shared" si="77"/>
        <v>1</v>
      </c>
    </row>
    <row r="364" spans="2:11">
      <c r="B364" t="str">
        <f t="shared" si="69"/>
        <v>OIL_LIN</v>
      </c>
      <c r="C364">
        <f t="shared" si="70"/>
        <v>2015</v>
      </c>
      <c r="D364" t="str">
        <f t="shared" si="71"/>
        <v>default</v>
      </c>
      <c r="E364" t="str">
        <f t="shared" si="72"/>
        <v>IT0</v>
      </c>
      <c r="F364" s="26">
        <f t="shared" si="73"/>
        <v>13927.99768</v>
      </c>
      <c r="H364">
        <f t="shared" si="74"/>
        <v>9</v>
      </c>
      <c r="I364">
        <f t="shared" si="75"/>
        <v>1</v>
      </c>
      <c r="J364">
        <f t="shared" si="76"/>
        <v>3</v>
      </c>
      <c r="K364">
        <f t="shared" si="77"/>
        <v>1</v>
      </c>
    </row>
    <row r="365" spans="2:11">
      <c r="B365" t="str">
        <f t="shared" si="69"/>
        <v>BAL_ELC</v>
      </c>
      <c r="C365">
        <f t="shared" si="70"/>
        <v>2015</v>
      </c>
      <c r="D365" t="str">
        <f t="shared" si="71"/>
        <v>default</v>
      </c>
      <c r="E365" t="str">
        <f t="shared" si="72"/>
        <v>IT0</v>
      </c>
      <c r="F365" s="26">
        <f t="shared" si="73"/>
        <v>2984.4095869118501</v>
      </c>
      <c r="H365">
        <f t="shared" si="74"/>
        <v>10</v>
      </c>
      <c r="I365">
        <f t="shared" si="75"/>
        <v>1</v>
      </c>
      <c r="J365">
        <f t="shared" si="76"/>
        <v>3</v>
      </c>
      <c r="K365">
        <f t="shared" si="77"/>
        <v>1</v>
      </c>
    </row>
    <row r="366" spans="2:11">
      <c r="B366" t="str">
        <f t="shared" si="69"/>
        <v>WAS_ELC</v>
      </c>
      <c r="C366">
        <f t="shared" si="70"/>
        <v>2015</v>
      </c>
      <c r="D366" t="str">
        <f t="shared" si="71"/>
        <v>default</v>
      </c>
      <c r="E366" t="str">
        <f t="shared" si="72"/>
        <v>IT0</v>
      </c>
      <c r="F366" s="26">
        <f t="shared" si="73"/>
        <v>916.759056476757</v>
      </c>
      <c r="H366">
        <f t="shared" si="74"/>
        <v>11</v>
      </c>
      <c r="I366">
        <f t="shared" si="75"/>
        <v>1</v>
      </c>
      <c r="J366">
        <f t="shared" si="76"/>
        <v>3</v>
      </c>
      <c r="K366">
        <f t="shared" si="77"/>
        <v>1</v>
      </c>
    </row>
    <row r="367" spans="2:11">
      <c r="B367" t="str">
        <f t="shared" si="69"/>
        <v>LIG_LIN</v>
      </c>
      <c r="C367">
        <f t="shared" si="70"/>
        <v>2015</v>
      </c>
      <c r="D367" t="str">
        <f t="shared" si="71"/>
        <v>default</v>
      </c>
      <c r="E367" t="str">
        <f t="shared" si="72"/>
        <v>IT0</v>
      </c>
      <c r="F367" s="26">
        <f t="shared" si="73"/>
        <v>0</v>
      </c>
      <c r="H367">
        <f t="shared" si="74"/>
        <v>12</v>
      </c>
      <c r="I367">
        <f t="shared" si="75"/>
        <v>1</v>
      </c>
      <c r="J367">
        <f t="shared" si="76"/>
        <v>3</v>
      </c>
      <c r="K367">
        <f t="shared" si="77"/>
        <v>1</v>
      </c>
    </row>
    <row r="368" spans="2:11">
      <c r="B368" t="str">
        <f t="shared" si="69"/>
        <v>HCO_LIN</v>
      </c>
      <c r="C368">
        <f t="shared" si="70"/>
        <v>2015</v>
      </c>
      <c r="D368" t="str">
        <f t="shared" si="71"/>
        <v>default</v>
      </c>
      <c r="E368" t="str">
        <f t="shared" si="72"/>
        <v>IT0</v>
      </c>
      <c r="F368" s="26">
        <f t="shared" si="73"/>
        <v>9511.49</v>
      </c>
      <c r="H368">
        <f t="shared" si="74"/>
        <v>13</v>
      </c>
      <c r="I368">
        <f t="shared" si="75"/>
        <v>1</v>
      </c>
      <c r="J368">
        <f t="shared" si="76"/>
        <v>3</v>
      </c>
      <c r="K368">
        <f t="shared" si="77"/>
        <v>1</v>
      </c>
    </row>
    <row r="369" spans="2:11">
      <c r="B369" t="str">
        <f t="shared" si="69"/>
        <v>GEO_ELC</v>
      </c>
      <c r="C369">
        <f t="shared" si="70"/>
        <v>2015</v>
      </c>
      <c r="D369" t="str">
        <f t="shared" si="71"/>
        <v>default</v>
      </c>
      <c r="E369" t="str">
        <f t="shared" si="72"/>
        <v>IT0</v>
      </c>
      <c r="F369" s="26">
        <f t="shared" si="73"/>
        <v>773</v>
      </c>
      <c r="H369">
        <f t="shared" si="74"/>
        <v>14</v>
      </c>
      <c r="I369">
        <f t="shared" si="75"/>
        <v>1</v>
      </c>
      <c r="J369">
        <f t="shared" si="76"/>
        <v>3</v>
      </c>
      <c r="K369">
        <f t="shared" si="77"/>
        <v>1</v>
      </c>
    </row>
    <row r="370" spans="2:11">
      <c r="B370" t="str">
        <f t="shared" si="69"/>
        <v>WIN_OFF</v>
      </c>
      <c r="C370">
        <f t="shared" si="70"/>
        <v>2015</v>
      </c>
      <c r="D370" t="str">
        <f t="shared" si="71"/>
        <v>default</v>
      </c>
      <c r="E370" t="str">
        <f t="shared" si="72"/>
        <v>IT0</v>
      </c>
      <c r="F370" s="26">
        <f t="shared" si="73"/>
        <v>0</v>
      </c>
      <c r="H370">
        <f t="shared" si="74"/>
        <v>15</v>
      </c>
      <c r="I370">
        <f t="shared" si="75"/>
        <v>1</v>
      </c>
      <c r="J370">
        <f t="shared" si="76"/>
        <v>3</v>
      </c>
      <c r="K370">
        <f t="shared" si="77"/>
        <v>1</v>
      </c>
    </row>
    <row r="371" spans="2:11">
      <c r="B371" t="str">
        <f t="shared" si="69"/>
        <v>NUC_ELC</v>
      </c>
      <c r="C371">
        <f t="shared" si="70"/>
        <v>2020</v>
      </c>
      <c r="D371" t="str">
        <f t="shared" si="71"/>
        <v>default</v>
      </c>
      <c r="E371" t="str">
        <f t="shared" si="72"/>
        <v>IT0</v>
      </c>
      <c r="F371" s="26">
        <f t="shared" si="73"/>
        <v>0</v>
      </c>
      <c r="H371">
        <f t="shared" si="74"/>
        <v>1</v>
      </c>
      <c r="I371">
        <f t="shared" si="75"/>
        <v>2</v>
      </c>
      <c r="J371">
        <f t="shared" si="76"/>
        <v>3</v>
      </c>
      <c r="K371">
        <f t="shared" si="77"/>
        <v>1</v>
      </c>
    </row>
    <row r="372" spans="2:11">
      <c r="B372" t="str">
        <f t="shared" ref="B372:B435" si="78">INDEX(H$100:H$114,H372)</f>
        <v>SOL_PHO</v>
      </c>
      <c r="C372">
        <f t="shared" ref="C372:C435" si="79">INDEX(I$100:I$114,I372)</f>
        <v>2020</v>
      </c>
      <c r="D372" t="str">
        <f t="shared" ref="D372:D435" si="80">INDEX(K$100:K$114,K372)</f>
        <v>default</v>
      </c>
      <c r="E372" t="str">
        <f t="shared" ref="E372:E435" si="81">INDEX(J$100:J$114,J372)</f>
        <v>IT0</v>
      </c>
      <c r="F372" s="26">
        <f t="shared" ref="F372:F435" si="82">INDEX($P$6:$X$84,MATCH(E372&amp;"."&amp;B372,$Z$6:$Z$84,0),MATCH(C372,$P$5:$X$5,0))</f>
        <v>20056.8173441047</v>
      </c>
      <c r="H372">
        <f t="shared" si="74"/>
        <v>2</v>
      </c>
      <c r="I372">
        <f t="shared" si="75"/>
        <v>2</v>
      </c>
      <c r="J372">
        <f t="shared" si="76"/>
        <v>3</v>
      </c>
      <c r="K372">
        <f t="shared" si="77"/>
        <v>1</v>
      </c>
    </row>
    <row r="373" spans="2:11">
      <c r="B373" t="str">
        <f t="shared" si="78"/>
        <v>WIN_ONS</v>
      </c>
      <c r="C373">
        <f t="shared" si="79"/>
        <v>2020</v>
      </c>
      <c r="D373" t="str">
        <f t="shared" si="80"/>
        <v>default</v>
      </c>
      <c r="E373" t="str">
        <f t="shared" si="81"/>
        <v>IT0</v>
      </c>
      <c r="F373" s="26">
        <f t="shared" si="82"/>
        <v>8963.4827562516202</v>
      </c>
      <c r="H373">
        <f t="shared" ref="H373:H436" si="83">IF(H372=$H$99,1,H372+1)</f>
        <v>3</v>
      </c>
      <c r="I373">
        <f t="shared" ref="I373:I436" si="84">IF(H373=1,IF(I372=$I$99,1,I372+1),I372)</f>
        <v>2</v>
      </c>
      <c r="J373">
        <f t="shared" ref="J373:J436" si="85">IF(AND(I373=1,I372&gt;1),IF(J372=$J$99,1,J372+1),J372)</f>
        <v>3</v>
      </c>
      <c r="K373">
        <f t="shared" ref="K373:K436" si="86">IF(AND(J373=1,J372&gt;1),IF(K372=$K$99,1,K372+1),K372)</f>
        <v>1</v>
      </c>
    </row>
    <row r="374" spans="2:11">
      <c r="B374" t="str">
        <f t="shared" si="78"/>
        <v>HYD_ROR</v>
      </c>
      <c r="C374">
        <f t="shared" si="79"/>
        <v>2020</v>
      </c>
      <c r="D374" t="str">
        <f t="shared" si="80"/>
        <v>default</v>
      </c>
      <c r="E374" t="str">
        <f t="shared" si="81"/>
        <v>IT0</v>
      </c>
      <c r="F374" s="26">
        <f t="shared" si="82"/>
        <v>5311.7741878489278</v>
      </c>
      <c r="H374">
        <f t="shared" si="83"/>
        <v>4</v>
      </c>
      <c r="I374">
        <f t="shared" si="84"/>
        <v>2</v>
      </c>
      <c r="J374">
        <f t="shared" si="85"/>
        <v>3</v>
      </c>
      <c r="K374">
        <f t="shared" si="86"/>
        <v>1</v>
      </c>
    </row>
    <row r="375" spans="2:11">
      <c r="B375" t="str">
        <f t="shared" si="78"/>
        <v>HYD_RES</v>
      </c>
      <c r="C375">
        <f t="shared" si="79"/>
        <v>2020</v>
      </c>
      <c r="D375" t="str">
        <f t="shared" si="80"/>
        <v>default</v>
      </c>
      <c r="E375" t="str">
        <f t="shared" si="81"/>
        <v>IT0</v>
      </c>
      <c r="F375" s="26">
        <f t="shared" si="82"/>
        <v>13496.518624744273</v>
      </c>
      <c r="H375">
        <f t="shared" si="83"/>
        <v>5</v>
      </c>
      <c r="I375">
        <f t="shared" si="84"/>
        <v>2</v>
      </c>
      <c r="J375">
        <f t="shared" si="85"/>
        <v>3</v>
      </c>
      <c r="K375">
        <f t="shared" si="86"/>
        <v>1</v>
      </c>
    </row>
    <row r="376" spans="2:11">
      <c r="B376" t="str">
        <f t="shared" si="78"/>
        <v>HYD_STO</v>
      </c>
      <c r="C376">
        <f t="shared" si="79"/>
        <v>2020</v>
      </c>
      <c r="D376" t="str">
        <f t="shared" si="80"/>
        <v>default</v>
      </c>
      <c r="E376" t="str">
        <f t="shared" si="81"/>
        <v>IT0</v>
      </c>
      <c r="F376" s="26">
        <f t="shared" si="82"/>
        <v>3795.9</v>
      </c>
      <c r="H376">
        <f t="shared" si="83"/>
        <v>6</v>
      </c>
      <c r="I376">
        <f t="shared" si="84"/>
        <v>2</v>
      </c>
      <c r="J376">
        <f t="shared" si="85"/>
        <v>3</v>
      </c>
      <c r="K376">
        <f t="shared" si="86"/>
        <v>1</v>
      </c>
    </row>
    <row r="377" spans="2:11">
      <c r="B377" t="str">
        <f t="shared" si="78"/>
        <v>GAS_LIN</v>
      </c>
      <c r="C377">
        <f t="shared" si="79"/>
        <v>2020</v>
      </c>
      <c r="D377" t="str">
        <f t="shared" si="80"/>
        <v>default</v>
      </c>
      <c r="E377" t="str">
        <f t="shared" si="81"/>
        <v>IT0</v>
      </c>
      <c r="F377" s="26">
        <f t="shared" si="82"/>
        <v>51352.575464723202</v>
      </c>
      <c r="H377">
        <f t="shared" si="83"/>
        <v>7</v>
      </c>
      <c r="I377">
        <f t="shared" si="84"/>
        <v>2</v>
      </c>
      <c r="J377">
        <f t="shared" si="85"/>
        <v>3</v>
      </c>
      <c r="K377">
        <f t="shared" si="86"/>
        <v>1</v>
      </c>
    </row>
    <row r="378" spans="2:11">
      <c r="B378" t="str">
        <f t="shared" si="78"/>
        <v>GAS_NEW</v>
      </c>
      <c r="C378">
        <f t="shared" si="79"/>
        <v>2020</v>
      </c>
      <c r="D378" t="str">
        <f t="shared" si="80"/>
        <v>default</v>
      </c>
      <c r="E378" t="str">
        <f t="shared" si="81"/>
        <v>IT0</v>
      </c>
      <c r="F378" s="26">
        <f t="shared" si="82"/>
        <v>0</v>
      </c>
      <c r="H378">
        <f t="shared" si="83"/>
        <v>8</v>
      </c>
      <c r="I378">
        <f t="shared" si="84"/>
        <v>2</v>
      </c>
      <c r="J378">
        <f t="shared" si="85"/>
        <v>3</v>
      </c>
      <c r="K378">
        <f t="shared" si="86"/>
        <v>1</v>
      </c>
    </row>
    <row r="379" spans="2:11">
      <c r="B379" t="str">
        <f t="shared" si="78"/>
        <v>OIL_LIN</v>
      </c>
      <c r="C379">
        <f t="shared" si="79"/>
        <v>2020</v>
      </c>
      <c r="D379" t="str">
        <f t="shared" si="80"/>
        <v>default</v>
      </c>
      <c r="E379" t="str">
        <f t="shared" si="81"/>
        <v>IT0</v>
      </c>
      <c r="F379" s="26">
        <f t="shared" si="82"/>
        <v>8629.2116280374794</v>
      </c>
      <c r="H379">
        <f t="shared" si="83"/>
        <v>9</v>
      </c>
      <c r="I379">
        <f t="shared" si="84"/>
        <v>2</v>
      </c>
      <c r="J379">
        <f t="shared" si="85"/>
        <v>3</v>
      </c>
      <c r="K379">
        <f t="shared" si="86"/>
        <v>1</v>
      </c>
    </row>
    <row r="380" spans="2:11">
      <c r="B380" t="str">
        <f t="shared" si="78"/>
        <v>BAL_ELC</v>
      </c>
      <c r="C380">
        <f t="shared" si="79"/>
        <v>2020</v>
      </c>
      <c r="D380" t="str">
        <f t="shared" si="80"/>
        <v>default</v>
      </c>
      <c r="E380" t="str">
        <f t="shared" si="81"/>
        <v>IT0</v>
      </c>
      <c r="F380" s="26">
        <f t="shared" si="82"/>
        <v>3734.3996342659284</v>
      </c>
      <c r="H380">
        <f t="shared" si="83"/>
        <v>10</v>
      </c>
      <c r="I380">
        <f t="shared" si="84"/>
        <v>2</v>
      </c>
      <c r="J380">
        <f t="shared" si="85"/>
        <v>3</v>
      </c>
      <c r="K380">
        <f t="shared" si="86"/>
        <v>1</v>
      </c>
    </row>
    <row r="381" spans="2:11">
      <c r="B381" t="str">
        <f t="shared" si="78"/>
        <v>WAS_ELC</v>
      </c>
      <c r="C381">
        <f t="shared" si="79"/>
        <v>2020</v>
      </c>
      <c r="D381" t="str">
        <f t="shared" si="80"/>
        <v>default</v>
      </c>
      <c r="E381" t="str">
        <f t="shared" si="81"/>
        <v>IT0</v>
      </c>
      <c r="F381" s="26">
        <f t="shared" si="82"/>
        <v>1147.1430396922588</v>
      </c>
      <c r="H381">
        <f t="shared" si="83"/>
        <v>11</v>
      </c>
      <c r="I381">
        <f t="shared" si="84"/>
        <v>2</v>
      </c>
      <c r="J381">
        <f t="shared" si="85"/>
        <v>3</v>
      </c>
      <c r="K381">
        <f t="shared" si="86"/>
        <v>1</v>
      </c>
    </row>
    <row r="382" spans="2:11">
      <c r="B382" t="str">
        <f t="shared" si="78"/>
        <v>LIG_LIN</v>
      </c>
      <c r="C382">
        <f t="shared" si="79"/>
        <v>2020</v>
      </c>
      <c r="D382" t="str">
        <f t="shared" si="80"/>
        <v>default</v>
      </c>
      <c r="E382" t="str">
        <f t="shared" si="81"/>
        <v>IT0</v>
      </c>
      <c r="F382" s="26">
        <f t="shared" si="82"/>
        <v>0</v>
      </c>
      <c r="H382">
        <f t="shared" si="83"/>
        <v>12</v>
      </c>
      <c r="I382">
        <f t="shared" si="84"/>
        <v>2</v>
      </c>
      <c r="J382">
        <f t="shared" si="85"/>
        <v>3</v>
      </c>
      <c r="K382">
        <f t="shared" si="86"/>
        <v>1</v>
      </c>
    </row>
    <row r="383" spans="2:11">
      <c r="B383" t="str">
        <f t="shared" si="78"/>
        <v>HCO_LIN</v>
      </c>
      <c r="C383">
        <f t="shared" si="79"/>
        <v>2020</v>
      </c>
      <c r="D383" t="str">
        <f t="shared" si="80"/>
        <v>default</v>
      </c>
      <c r="E383" t="str">
        <f t="shared" si="81"/>
        <v>IT0</v>
      </c>
      <c r="F383" s="26">
        <f t="shared" si="82"/>
        <v>8858.0188836439702</v>
      </c>
      <c r="H383">
        <f t="shared" si="83"/>
        <v>13</v>
      </c>
      <c r="I383">
        <f t="shared" si="84"/>
        <v>2</v>
      </c>
      <c r="J383">
        <f t="shared" si="85"/>
        <v>3</v>
      </c>
      <c r="K383">
        <f t="shared" si="86"/>
        <v>1</v>
      </c>
    </row>
    <row r="384" spans="2:11">
      <c r="B384" t="str">
        <f t="shared" si="78"/>
        <v>GEO_ELC</v>
      </c>
      <c r="C384">
        <f t="shared" si="79"/>
        <v>2020</v>
      </c>
      <c r="D384" t="str">
        <f t="shared" si="80"/>
        <v>default</v>
      </c>
      <c r="E384" t="str">
        <f t="shared" si="81"/>
        <v>IT0</v>
      </c>
      <c r="F384" s="26">
        <f t="shared" si="82"/>
        <v>773</v>
      </c>
      <c r="H384">
        <f t="shared" si="83"/>
        <v>14</v>
      </c>
      <c r="I384">
        <f t="shared" si="84"/>
        <v>2</v>
      </c>
      <c r="J384">
        <f t="shared" si="85"/>
        <v>3</v>
      </c>
      <c r="K384">
        <f t="shared" si="86"/>
        <v>1</v>
      </c>
    </row>
    <row r="385" spans="2:11">
      <c r="B385" t="str">
        <f t="shared" si="78"/>
        <v>WIN_OFF</v>
      </c>
      <c r="C385">
        <f t="shared" si="79"/>
        <v>2020</v>
      </c>
      <c r="D385" t="str">
        <f t="shared" si="80"/>
        <v>default</v>
      </c>
      <c r="E385" t="str">
        <f t="shared" si="81"/>
        <v>IT0</v>
      </c>
      <c r="F385" s="26">
        <f t="shared" si="82"/>
        <v>0</v>
      </c>
      <c r="H385">
        <f t="shared" si="83"/>
        <v>15</v>
      </c>
      <c r="I385">
        <f t="shared" si="84"/>
        <v>2</v>
      </c>
      <c r="J385">
        <f t="shared" si="85"/>
        <v>3</v>
      </c>
      <c r="K385">
        <f t="shared" si="86"/>
        <v>1</v>
      </c>
    </row>
    <row r="386" spans="2:11">
      <c r="B386" t="str">
        <f t="shared" si="78"/>
        <v>NUC_ELC</v>
      </c>
      <c r="C386">
        <f t="shared" si="79"/>
        <v>2025</v>
      </c>
      <c r="D386" t="str">
        <f t="shared" si="80"/>
        <v>default</v>
      </c>
      <c r="E386" t="str">
        <f t="shared" si="81"/>
        <v>IT0</v>
      </c>
      <c r="F386" s="26">
        <f t="shared" si="82"/>
        <v>0</v>
      </c>
      <c r="H386">
        <f t="shared" si="83"/>
        <v>1</v>
      </c>
      <c r="I386">
        <f t="shared" si="84"/>
        <v>3</v>
      </c>
      <c r="J386">
        <f t="shared" si="85"/>
        <v>3</v>
      </c>
      <c r="K386">
        <f t="shared" si="86"/>
        <v>1</v>
      </c>
    </row>
    <row r="387" spans="2:11">
      <c r="B387" t="str">
        <f t="shared" si="78"/>
        <v>SOL_PHO</v>
      </c>
      <c r="C387">
        <f t="shared" si="79"/>
        <v>2025</v>
      </c>
      <c r="D387" t="str">
        <f t="shared" si="80"/>
        <v>default</v>
      </c>
      <c r="E387" t="str">
        <f t="shared" si="81"/>
        <v>IT0</v>
      </c>
      <c r="F387" s="26">
        <f t="shared" si="82"/>
        <v>23014.953000000001</v>
      </c>
      <c r="H387">
        <f t="shared" si="83"/>
        <v>2</v>
      </c>
      <c r="I387">
        <f t="shared" si="84"/>
        <v>3</v>
      </c>
      <c r="J387">
        <f t="shared" si="85"/>
        <v>3</v>
      </c>
      <c r="K387">
        <f t="shared" si="86"/>
        <v>1</v>
      </c>
    </row>
    <row r="388" spans="2:11">
      <c r="B388" t="str">
        <f t="shared" si="78"/>
        <v>WIN_ONS</v>
      </c>
      <c r="C388">
        <f t="shared" si="79"/>
        <v>2025</v>
      </c>
      <c r="D388" t="str">
        <f t="shared" si="80"/>
        <v>default</v>
      </c>
      <c r="E388" t="str">
        <f t="shared" si="81"/>
        <v>IT0</v>
      </c>
      <c r="F388" s="26">
        <f t="shared" si="82"/>
        <v>12569.6664818425</v>
      </c>
      <c r="H388">
        <f t="shared" si="83"/>
        <v>3</v>
      </c>
      <c r="I388">
        <f t="shared" si="84"/>
        <v>3</v>
      </c>
      <c r="J388">
        <f t="shared" si="85"/>
        <v>3</v>
      </c>
      <c r="K388">
        <f t="shared" si="86"/>
        <v>1</v>
      </c>
    </row>
    <row r="389" spans="2:11">
      <c r="B389" t="str">
        <f t="shared" si="78"/>
        <v>HYD_ROR</v>
      </c>
      <c r="C389">
        <f t="shared" si="79"/>
        <v>2025</v>
      </c>
      <c r="D389" t="str">
        <f t="shared" si="80"/>
        <v>default</v>
      </c>
      <c r="E389" t="str">
        <f t="shared" si="81"/>
        <v>IT0</v>
      </c>
      <c r="F389" s="26">
        <f t="shared" si="82"/>
        <v>5311.7741878489278</v>
      </c>
      <c r="H389">
        <f t="shared" si="83"/>
        <v>4</v>
      </c>
      <c r="I389">
        <f t="shared" si="84"/>
        <v>3</v>
      </c>
      <c r="J389">
        <f t="shared" si="85"/>
        <v>3</v>
      </c>
      <c r="K389">
        <f t="shared" si="86"/>
        <v>1</v>
      </c>
    </row>
    <row r="390" spans="2:11">
      <c r="B390" t="str">
        <f t="shared" si="78"/>
        <v>HYD_RES</v>
      </c>
      <c r="C390">
        <f t="shared" si="79"/>
        <v>2025</v>
      </c>
      <c r="D390" t="str">
        <f t="shared" si="80"/>
        <v>default</v>
      </c>
      <c r="E390" t="str">
        <f t="shared" si="81"/>
        <v>IT0</v>
      </c>
      <c r="F390" s="26">
        <f t="shared" si="82"/>
        <v>13496.518624744273</v>
      </c>
      <c r="H390">
        <f t="shared" si="83"/>
        <v>5</v>
      </c>
      <c r="I390">
        <f t="shared" si="84"/>
        <v>3</v>
      </c>
      <c r="J390">
        <f t="shared" si="85"/>
        <v>3</v>
      </c>
      <c r="K390">
        <f t="shared" si="86"/>
        <v>1</v>
      </c>
    </row>
    <row r="391" spans="2:11">
      <c r="B391" t="str">
        <f t="shared" si="78"/>
        <v>HYD_STO</v>
      </c>
      <c r="C391">
        <f t="shared" si="79"/>
        <v>2025</v>
      </c>
      <c r="D391" t="str">
        <f t="shared" si="80"/>
        <v>default</v>
      </c>
      <c r="E391" t="str">
        <f t="shared" si="81"/>
        <v>IT0</v>
      </c>
      <c r="F391" s="26">
        <f t="shared" si="82"/>
        <v>3795.9</v>
      </c>
      <c r="H391">
        <f t="shared" si="83"/>
        <v>6</v>
      </c>
      <c r="I391">
        <f t="shared" si="84"/>
        <v>3</v>
      </c>
      <c r="J391">
        <f t="shared" si="85"/>
        <v>3</v>
      </c>
      <c r="K391">
        <f t="shared" si="86"/>
        <v>1</v>
      </c>
    </row>
    <row r="392" spans="2:11">
      <c r="B392" t="str">
        <f t="shared" si="78"/>
        <v>GAS_LIN</v>
      </c>
      <c r="C392">
        <f t="shared" si="79"/>
        <v>2025</v>
      </c>
      <c r="D392" t="str">
        <f t="shared" si="80"/>
        <v>default</v>
      </c>
      <c r="E392" t="str">
        <f t="shared" si="81"/>
        <v>IT0</v>
      </c>
      <c r="F392" s="26">
        <f t="shared" si="82"/>
        <v>47623.093404199499</v>
      </c>
      <c r="H392">
        <f t="shared" si="83"/>
        <v>7</v>
      </c>
      <c r="I392">
        <f t="shared" si="84"/>
        <v>3</v>
      </c>
      <c r="J392">
        <f t="shared" si="85"/>
        <v>3</v>
      </c>
      <c r="K392">
        <f t="shared" si="86"/>
        <v>1</v>
      </c>
    </row>
    <row r="393" spans="2:11">
      <c r="B393" t="str">
        <f t="shared" si="78"/>
        <v>GAS_NEW</v>
      </c>
      <c r="C393">
        <f t="shared" si="79"/>
        <v>2025</v>
      </c>
      <c r="D393" t="str">
        <f t="shared" si="80"/>
        <v>default</v>
      </c>
      <c r="E393" t="str">
        <f t="shared" si="81"/>
        <v>IT0</v>
      </c>
      <c r="F393" s="26">
        <f t="shared" si="82"/>
        <v>0</v>
      </c>
      <c r="H393">
        <f t="shared" si="83"/>
        <v>8</v>
      </c>
      <c r="I393">
        <f t="shared" si="84"/>
        <v>3</v>
      </c>
      <c r="J393">
        <f t="shared" si="85"/>
        <v>3</v>
      </c>
      <c r="K393">
        <f t="shared" si="86"/>
        <v>1</v>
      </c>
    </row>
    <row r="394" spans="2:11">
      <c r="B394" t="str">
        <f t="shared" si="78"/>
        <v>OIL_LIN</v>
      </c>
      <c r="C394">
        <f t="shared" si="79"/>
        <v>2025</v>
      </c>
      <c r="D394" t="str">
        <f t="shared" si="80"/>
        <v>default</v>
      </c>
      <c r="E394" t="str">
        <f t="shared" si="81"/>
        <v>IT0</v>
      </c>
      <c r="F394" s="26">
        <f t="shared" si="82"/>
        <v>6039.6877909933601</v>
      </c>
      <c r="H394">
        <f t="shared" si="83"/>
        <v>9</v>
      </c>
      <c r="I394">
        <f t="shared" si="84"/>
        <v>3</v>
      </c>
      <c r="J394">
        <f t="shared" si="85"/>
        <v>3</v>
      </c>
      <c r="K394">
        <f t="shared" si="86"/>
        <v>1</v>
      </c>
    </row>
    <row r="395" spans="2:11">
      <c r="B395" t="str">
        <f t="shared" si="78"/>
        <v>BAL_ELC</v>
      </c>
      <c r="C395">
        <f t="shared" si="79"/>
        <v>2025</v>
      </c>
      <c r="D395" t="str">
        <f t="shared" si="80"/>
        <v>default</v>
      </c>
      <c r="E395" t="str">
        <f t="shared" si="81"/>
        <v>IT0</v>
      </c>
      <c r="F395" s="26">
        <f t="shared" si="82"/>
        <v>3805.945295235153</v>
      </c>
      <c r="H395">
        <f t="shared" si="83"/>
        <v>10</v>
      </c>
      <c r="I395">
        <f t="shared" si="84"/>
        <v>3</v>
      </c>
      <c r="J395">
        <f t="shared" si="85"/>
        <v>3</v>
      </c>
      <c r="K395">
        <f t="shared" si="86"/>
        <v>1</v>
      </c>
    </row>
    <row r="396" spans="2:11">
      <c r="B396" t="str">
        <f t="shared" si="78"/>
        <v>WAS_ELC</v>
      </c>
      <c r="C396">
        <f t="shared" si="79"/>
        <v>2025</v>
      </c>
      <c r="D396" t="str">
        <f t="shared" si="80"/>
        <v>default</v>
      </c>
      <c r="E396" t="str">
        <f t="shared" si="81"/>
        <v>IT0</v>
      </c>
      <c r="F396" s="26">
        <f t="shared" si="82"/>
        <v>1169.1206304803327</v>
      </c>
      <c r="H396">
        <f t="shared" si="83"/>
        <v>11</v>
      </c>
      <c r="I396">
        <f t="shared" si="84"/>
        <v>3</v>
      </c>
      <c r="J396">
        <f t="shared" si="85"/>
        <v>3</v>
      </c>
      <c r="K396">
        <f t="shared" si="86"/>
        <v>1</v>
      </c>
    </row>
    <row r="397" spans="2:11">
      <c r="B397" t="str">
        <f t="shared" si="78"/>
        <v>LIG_LIN</v>
      </c>
      <c r="C397">
        <f t="shared" si="79"/>
        <v>2025</v>
      </c>
      <c r="D397" t="str">
        <f t="shared" si="80"/>
        <v>default</v>
      </c>
      <c r="E397" t="str">
        <f t="shared" si="81"/>
        <v>IT0</v>
      </c>
      <c r="F397" s="26">
        <f t="shared" si="82"/>
        <v>0</v>
      </c>
      <c r="H397">
        <f t="shared" si="83"/>
        <v>12</v>
      </c>
      <c r="I397">
        <f t="shared" si="84"/>
        <v>3</v>
      </c>
      <c r="J397">
        <f t="shared" si="85"/>
        <v>3</v>
      </c>
      <c r="K397">
        <f t="shared" si="86"/>
        <v>1</v>
      </c>
    </row>
    <row r="398" spans="2:11">
      <c r="B398" t="str">
        <f t="shared" si="78"/>
        <v>HCO_LIN</v>
      </c>
      <c r="C398">
        <f t="shared" si="79"/>
        <v>2025</v>
      </c>
      <c r="D398" t="str">
        <f t="shared" si="80"/>
        <v>default</v>
      </c>
      <c r="E398" t="str">
        <f t="shared" si="81"/>
        <v>IT0</v>
      </c>
      <c r="F398" s="26">
        <f t="shared" si="82"/>
        <v>5103.4988836439697</v>
      </c>
      <c r="H398">
        <f t="shared" si="83"/>
        <v>13</v>
      </c>
      <c r="I398">
        <f t="shared" si="84"/>
        <v>3</v>
      </c>
      <c r="J398">
        <f t="shared" si="85"/>
        <v>3</v>
      </c>
      <c r="K398">
        <f t="shared" si="86"/>
        <v>1</v>
      </c>
    </row>
    <row r="399" spans="2:11">
      <c r="B399" t="str">
        <f t="shared" si="78"/>
        <v>GEO_ELC</v>
      </c>
      <c r="C399">
        <f t="shared" si="79"/>
        <v>2025</v>
      </c>
      <c r="D399" t="str">
        <f t="shared" si="80"/>
        <v>default</v>
      </c>
      <c r="E399" t="str">
        <f t="shared" si="81"/>
        <v>IT0</v>
      </c>
      <c r="F399" s="26">
        <f t="shared" si="82"/>
        <v>773</v>
      </c>
      <c r="H399">
        <f t="shared" si="83"/>
        <v>14</v>
      </c>
      <c r="I399">
        <f t="shared" si="84"/>
        <v>3</v>
      </c>
      <c r="J399">
        <f t="shared" si="85"/>
        <v>3</v>
      </c>
      <c r="K399">
        <f t="shared" si="86"/>
        <v>1</v>
      </c>
    </row>
    <row r="400" spans="2:11">
      <c r="B400" t="str">
        <f t="shared" si="78"/>
        <v>WIN_OFF</v>
      </c>
      <c r="C400">
        <f t="shared" si="79"/>
        <v>2025</v>
      </c>
      <c r="D400" t="str">
        <f t="shared" si="80"/>
        <v>default</v>
      </c>
      <c r="E400" t="str">
        <f t="shared" si="81"/>
        <v>IT0</v>
      </c>
      <c r="F400" s="26">
        <f t="shared" si="82"/>
        <v>0</v>
      </c>
      <c r="H400">
        <f t="shared" si="83"/>
        <v>15</v>
      </c>
      <c r="I400">
        <f t="shared" si="84"/>
        <v>3</v>
      </c>
      <c r="J400">
        <f t="shared" si="85"/>
        <v>3</v>
      </c>
      <c r="K400">
        <f t="shared" si="86"/>
        <v>1</v>
      </c>
    </row>
    <row r="401" spans="2:11">
      <c r="B401" t="str">
        <f t="shared" si="78"/>
        <v>NUC_ELC</v>
      </c>
      <c r="C401">
        <f t="shared" si="79"/>
        <v>2030</v>
      </c>
      <c r="D401" t="str">
        <f t="shared" si="80"/>
        <v>default</v>
      </c>
      <c r="E401" t="str">
        <f t="shared" si="81"/>
        <v>IT0</v>
      </c>
      <c r="F401" s="26">
        <f t="shared" si="82"/>
        <v>0</v>
      </c>
      <c r="H401">
        <f t="shared" si="83"/>
        <v>1</v>
      </c>
      <c r="I401">
        <f t="shared" si="84"/>
        <v>4</v>
      </c>
      <c r="J401">
        <f t="shared" si="85"/>
        <v>3</v>
      </c>
      <c r="K401">
        <f t="shared" si="86"/>
        <v>1</v>
      </c>
    </row>
    <row r="402" spans="2:11">
      <c r="B402" t="str">
        <f t="shared" si="78"/>
        <v>SOL_PHO</v>
      </c>
      <c r="C402">
        <f t="shared" si="79"/>
        <v>2030</v>
      </c>
      <c r="D402" t="str">
        <f t="shared" si="80"/>
        <v>default</v>
      </c>
      <c r="E402" t="str">
        <f t="shared" si="81"/>
        <v>IT0</v>
      </c>
      <c r="F402" s="26">
        <f t="shared" si="82"/>
        <v>24562.015301829899</v>
      </c>
      <c r="H402">
        <f t="shared" si="83"/>
        <v>2</v>
      </c>
      <c r="I402">
        <f t="shared" si="84"/>
        <v>4</v>
      </c>
      <c r="J402">
        <f t="shared" si="85"/>
        <v>3</v>
      </c>
      <c r="K402">
        <f t="shared" si="86"/>
        <v>1</v>
      </c>
    </row>
    <row r="403" spans="2:11">
      <c r="B403" t="str">
        <f t="shared" si="78"/>
        <v>WIN_ONS</v>
      </c>
      <c r="C403">
        <f t="shared" si="79"/>
        <v>2030</v>
      </c>
      <c r="D403" t="str">
        <f t="shared" si="80"/>
        <v>default</v>
      </c>
      <c r="E403" t="str">
        <f t="shared" si="81"/>
        <v>IT0</v>
      </c>
      <c r="F403" s="26">
        <f t="shared" si="82"/>
        <v>15577.442076106499</v>
      </c>
      <c r="H403">
        <f t="shared" si="83"/>
        <v>3</v>
      </c>
      <c r="I403">
        <f t="shared" si="84"/>
        <v>4</v>
      </c>
      <c r="J403">
        <f t="shared" si="85"/>
        <v>3</v>
      </c>
      <c r="K403">
        <f t="shared" si="86"/>
        <v>1</v>
      </c>
    </row>
    <row r="404" spans="2:11">
      <c r="B404" t="str">
        <f t="shared" si="78"/>
        <v>HYD_ROR</v>
      </c>
      <c r="C404">
        <f t="shared" si="79"/>
        <v>2030</v>
      </c>
      <c r="D404" t="str">
        <f t="shared" si="80"/>
        <v>default</v>
      </c>
      <c r="E404" t="str">
        <f t="shared" si="81"/>
        <v>IT0</v>
      </c>
      <c r="F404" s="26">
        <f t="shared" si="82"/>
        <v>5348.6329321956609</v>
      </c>
      <c r="H404">
        <f t="shared" si="83"/>
        <v>4</v>
      </c>
      <c r="I404">
        <f t="shared" si="84"/>
        <v>4</v>
      </c>
      <c r="J404">
        <f t="shared" si="85"/>
        <v>3</v>
      </c>
      <c r="K404">
        <f t="shared" si="86"/>
        <v>1</v>
      </c>
    </row>
    <row r="405" spans="2:11">
      <c r="B405" t="str">
        <f t="shared" si="78"/>
        <v>HYD_RES</v>
      </c>
      <c r="C405">
        <f t="shared" si="79"/>
        <v>2030</v>
      </c>
      <c r="D405" t="str">
        <f t="shared" si="80"/>
        <v>default</v>
      </c>
      <c r="E405" t="str">
        <f t="shared" si="81"/>
        <v>IT0</v>
      </c>
      <c r="F405" s="26">
        <f t="shared" si="82"/>
        <v>13590.171839652838</v>
      </c>
      <c r="H405">
        <f t="shared" si="83"/>
        <v>5</v>
      </c>
      <c r="I405">
        <f t="shared" si="84"/>
        <v>4</v>
      </c>
      <c r="J405">
        <f t="shared" si="85"/>
        <v>3</v>
      </c>
      <c r="K405">
        <f t="shared" si="86"/>
        <v>1</v>
      </c>
    </row>
    <row r="406" spans="2:11">
      <c r="B406" t="str">
        <f t="shared" si="78"/>
        <v>HYD_STO</v>
      </c>
      <c r="C406">
        <f t="shared" si="79"/>
        <v>2030</v>
      </c>
      <c r="D406" t="str">
        <f t="shared" si="80"/>
        <v>default</v>
      </c>
      <c r="E406" t="str">
        <f t="shared" si="81"/>
        <v>IT0</v>
      </c>
      <c r="F406" s="26">
        <f t="shared" si="82"/>
        <v>3795.9</v>
      </c>
      <c r="H406">
        <f t="shared" si="83"/>
        <v>6</v>
      </c>
      <c r="I406">
        <f t="shared" si="84"/>
        <v>4</v>
      </c>
      <c r="J406">
        <f t="shared" si="85"/>
        <v>3</v>
      </c>
      <c r="K406">
        <f t="shared" si="86"/>
        <v>1</v>
      </c>
    </row>
    <row r="407" spans="2:11">
      <c r="B407" t="str">
        <f t="shared" si="78"/>
        <v>GAS_LIN</v>
      </c>
      <c r="C407">
        <f t="shared" si="79"/>
        <v>2030</v>
      </c>
      <c r="D407" t="str">
        <f t="shared" si="80"/>
        <v>default</v>
      </c>
      <c r="E407" t="str">
        <f t="shared" si="81"/>
        <v>IT0</v>
      </c>
      <c r="F407" s="26">
        <f t="shared" si="82"/>
        <v>41739.442986253198</v>
      </c>
      <c r="H407">
        <f t="shared" si="83"/>
        <v>7</v>
      </c>
      <c r="I407">
        <f t="shared" si="84"/>
        <v>4</v>
      </c>
      <c r="J407">
        <f t="shared" si="85"/>
        <v>3</v>
      </c>
      <c r="K407">
        <f t="shared" si="86"/>
        <v>1</v>
      </c>
    </row>
    <row r="408" spans="2:11">
      <c r="B408" t="str">
        <f t="shared" si="78"/>
        <v>GAS_NEW</v>
      </c>
      <c r="C408">
        <f t="shared" si="79"/>
        <v>2030</v>
      </c>
      <c r="D408" t="str">
        <f t="shared" si="80"/>
        <v>default</v>
      </c>
      <c r="E408" t="str">
        <f t="shared" si="81"/>
        <v>IT0</v>
      </c>
      <c r="F408" s="26">
        <f t="shared" si="82"/>
        <v>0</v>
      </c>
      <c r="H408">
        <f t="shared" si="83"/>
        <v>8</v>
      </c>
      <c r="I408">
        <f t="shared" si="84"/>
        <v>4</v>
      </c>
      <c r="J408">
        <f t="shared" si="85"/>
        <v>3</v>
      </c>
      <c r="K408">
        <f t="shared" si="86"/>
        <v>1</v>
      </c>
    </row>
    <row r="409" spans="2:11">
      <c r="B409" t="str">
        <f t="shared" si="78"/>
        <v>OIL_LIN</v>
      </c>
      <c r="C409">
        <f t="shared" si="79"/>
        <v>2030</v>
      </c>
      <c r="D409" t="str">
        <f t="shared" si="80"/>
        <v>default</v>
      </c>
      <c r="E409" t="str">
        <f t="shared" si="81"/>
        <v>IT0</v>
      </c>
      <c r="F409" s="26">
        <f t="shared" si="82"/>
        <v>2331.9670034559199</v>
      </c>
      <c r="H409">
        <f t="shared" si="83"/>
        <v>9</v>
      </c>
      <c r="I409">
        <f t="shared" si="84"/>
        <v>4</v>
      </c>
      <c r="J409">
        <f t="shared" si="85"/>
        <v>3</v>
      </c>
      <c r="K409">
        <f t="shared" si="86"/>
        <v>1</v>
      </c>
    </row>
    <row r="410" spans="2:11">
      <c r="B410" t="str">
        <f t="shared" si="78"/>
        <v>BAL_ELC</v>
      </c>
      <c r="C410">
        <f t="shared" si="79"/>
        <v>2030</v>
      </c>
      <c r="D410" t="str">
        <f t="shared" si="80"/>
        <v>default</v>
      </c>
      <c r="E410" t="str">
        <f t="shared" si="81"/>
        <v>IT0</v>
      </c>
      <c r="F410" s="26">
        <f t="shared" si="82"/>
        <v>3762.1678645948364</v>
      </c>
      <c r="H410">
        <f t="shared" si="83"/>
        <v>10</v>
      </c>
      <c r="I410">
        <f t="shared" si="84"/>
        <v>4</v>
      </c>
      <c r="J410">
        <f t="shared" si="85"/>
        <v>3</v>
      </c>
      <c r="K410">
        <f t="shared" si="86"/>
        <v>1</v>
      </c>
    </row>
    <row r="411" spans="2:11">
      <c r="B411" t="str">
        <f t="shared" si="78"/>
        <v>WAS_ELC</v>
      </c>
      <c r="C411">
        <f t="shared" si="79"/>
        <v>2030</v>
      </c>
      <c r="D411" t="str">
        <f t="shared" si="80"/>
        <v>default</v>
      </c>
      <c r="E411" t="str">
        <f t="shared" si="81"/>
        <v>IT0</v>
      </c>
      <c r="F411" s="26">
        <f t="shared" si="82"/>
        <v>1155.6729602326564</v>
      </c>
      <c r="H411">
        <f t="shared" si="83"/>
        <v>11</v>
      </c>
      <c r="I411">
        <f t="shared" si="84"/>
        <v>4</v>
      </c>
      <c r="J411">
        <f t="shared" si="85"/>
        <v>3</v>
      </c>
      <c r="K411">
        <f t="shared" si="86"/>
        <v>1</v>
      </c>
    </row>
    <row r="412" spans="2:11">
      <c r="B412" t="str">
        <f t="shared" si="78"/>
        <v>LIG_LIN</v>
      </c>
      <c r="C412">
        <f t="shared" si="79"/>
        <v>2030</v>
      </c>
      <c r="D412" t="str">
        <f t="shared" si="80"/>
        <v>default</v>
      </c>
      <c r="E412" t="str">
        <f t="shared" si="81"/>
        <v>IT0</v>
      </c>
      <c r="F412" s="26">
        <f t="shared" si="82"/>
        <v>0</v>
      </c>
      <c r="H412">
        <f t="shared" si="83"/>
        <v>12</v>
      </c>
      <c r="I412">
        <f t="shared" si="84"/>
        <v>4</v>
      </c>
      <c r="J412">
        <f t="shared" si="85"/>
        <v>3</v>
      </c>
      <c r="K412">
        <f t="shared" si="86"/>
        <v>1</v>
      </c>
    </row>
    <row r="413" spans="2:11">
      <c r="B413" t="str">
        <f t="shared" si="78"/>
        <v>HCO_LIN</v>
      </c>
      <c r="C413">
        <f t="shared" si="79"/>
        <v>2030</v>
      </c>
      <c r="D413" t="str">
        <f t="shared" si="80"/>
        <v>default</v>
      </c>
      <c r="E413" t="str">
        <f t="shared" si="81"/>
        <v>IT0</v>
      </c>
      <c r="F413" s="26">
        <f t="shared" si="82"/>
        <v>5098.3688836439696</v>
      </c>
      <c r="H413">
        <f t="shared" si="83"/>
        <v>13</v>
      </c>
      <c r="I413">
        <f t="shared" si="84"/>
        <v>4</v>
      </c>
      <c r="J413">
        <f t="shared" si="85"/>
        <v>3</v>
      </c>
      <c r="K413">
        <f t="shared" si="86"/>
        <v>1</v>
      </c>
    </row>
    <row r="414" spans="2:11">
      <c r="B414" t="str">
        <f t="shared" si="78"/>
        <v>GEO_ELC</v>
      </c>
      <c r="C414">
        <f t="shared" si="79"/>
        <v>2030</v>
      </c>
      <c r="D414" t="str">
        <f t="shared" si="80"/>
        <v>default</v>
      </c>
      <c r="E414" t="str">
        <f t="shared" si="81"/>
        <v>IT0</v>
      </c>
      <c r="F414" s="26">
        <f t="shared" si="82"/>
        <v>773</v>
      </c>
      <c r="H414">
        <f t="shared" si="83"/>
        <v>14</v>
      </c>
      <c r="I414">
        <f t="shared" si="84"/>
        <v>4</v>
      </c>
      <c r="J414">
        <f t="shared" si="85"/>
        <v>3</v>
      </c>
      <c r="K414">
        <f t="shared" si="86"/>
        <v>1</v>
      </c>
    </row>
    <row r="415" spans="2:11">
      <c r="B415" t="str">
        <f t="shared" si="78"/>
        <v>WIN_OFF</v>
      </c>
      <c r="C415">
        <f t="shared" si="79"/>
        <v>2030</v>
      </c>
      <c r="D415" t="str">
        <f t="shared" si="80"/>
        <v>default</v>
      </c>
      <c r="E415" t="str">
        <f t="shared" si="81"/>
        <v>IT0</v>
      </c>
      <c r="F415" s="26">
        <f t="shared" si="82"/>
        <v>0</v>
      </c>
      <c r="H415">
        <f t="shared" si="83"/>
        <v>15</v>
      </c>
      <c r="I415">
        <f t="shared" si="84"/>
        <v>4</v>
      </c>
      <c r="J415">
        <f t="shared" si="85"/>
        <v>3</v>
      </c>
      <c r="K415">
        <f t="shared" si="86"/>
        <v>1</v>
      </c>
    </row>
    <row r="416" spans="2:11">
      <c r="B416" t="str">
        <f t="shared" si="78"/>
        <v>NUC_ELC</v>
      </c>
      <c r="C416">
        <f t="shared" si="79"/>
        <v>2035</v>
      </c>
      <c r="D416" t="str">
        <f t="shared" si="80"/>
        <v>default</v>
      </c>
      <c r="E416" t="str">
        <f t="shared" si="81"/>
        <v>IT0</v>
      </c>
      <c r="F416" s="26">
        <f t="shared" si="82"/>
        <v>0</v>
      </c>
      <c r="H416">
        <f t="shared" si="83"/>
        <v>1</v>
      </c>
      <c r="I416">
        <f t="shared" si="84"/>
        <v>5</v>
      </c>
      <c r="J416">
        <f t="shared" si="85"/>
        <v>3</v>
      </c>
      <c r="K416">
        <f t="shared" si="86"/>
        <v>1</v>
      </c>
    </row>
    <row r="417" spans="2:11">
      <c r="B417" t="str">
        <f t="shared" si="78"/>
        <v>SOL_PHO</v>
      </c>
      <c r="C417">
        <f t="shared" si="79"/>
        <v>2035</v>
      </c>
      <c r="D417" t="str">
        <f t="shared" si="80"/>
        <v>default</v>
      </c>
      <c r="E417" t="str">
        <f t="shared" si="81"/>
        <v>IT0</v>
      </c>
      <c r="F417" s="26">
        <f t="shared" si="82"/>
        <v>25711.015301829899</v>
      </c>
      <c r="H417">
        <f t="shared" si="83"/>
        <v>2</v>
      </c>
      <c r="I417">
        <f t="shared" si="84"/>
        <v>5</v>
      </c>
      <c r="J417">
        <f t="shared" si="85"/>
        <v>3</v>
      </c>
      <c r="K417">
        <f t="shared" si="86"/>
        <v>1</v>
      </c>
    </row>
    <row r="418" spans="2:11">
      <c r="B418" t="str">
        <f t="shared" si="78"/>
        <v>WIN_ONS</v>
      </c>
      <c r="C418">
        <f t="shared" si="79"/>
        <v>2035</v>
      </c>
      <c r="D418" t="str">
        <f t="shared" si="80"/>
        <v>default</v>
      </c>
      <c r="E418" t="str">
        <f t="shared" si="81"/>
        <v>IT0</v>
      </c>
      <c r="F418" s="26">
        <f t="shared" si="82"/>
        <v>15846.2694302456</v>
      </c>
      <c r="H418">
        <f t="shared" si="83"/>
        <v>3</v>
      </c>
      <c r="I418">
        <f t="shared" si="84"/>
        <v>5</v>
      </c>
      <c r="J418">
        <f t="shared" si="85"/>
        <v>3</v>
      </c>
      <c r="K418">
        <f t="shared" si="86"/>
        <v>1</v>
      </c>
    </row>
    <row r="419" spans="2:11">
      <c r="B419" t="str">
        <f t="shared" si="78"/>
        <v>HYD_ROR</v>
      </c>
      <c r="C419">
        <f t="shared" si="79"/>
        <v>2035</v>
      </c>
      <c r="D419" t="str">
        <f t="shared" si="80"/>
        <v>default</v>
      </c>
      <c r="E419" t="str">
        <f t="shared" si="81"/>
        <v>IT0</v>
      </c>
      <c r="F419" s="26">
        <f t="shared" si="82"/>
        <v>5423.7180119674185</v>
      </c>
      <c r="H419">
        <f t="shared" si="83"/>
        <v>4</v>
      </c>
      <c r="I419">
        <f t="shared" si="84"/>
        <v>5</v>
      </c>
      <c r="J419">
        <f t="shared" si="85"/>
        <v>3</v>
      </c>
      <c r="K419">
        <f t="shared" si="86"/>
        <v>1</v>
      </c>
    </row>
    <row r="420" spans="2:11">
      <c r="B420" t="str">
        <f t="shared" si="78"/>
        <v>HYD_RES</v>
      </c>
      <c r="C420">
        <f t="shared" si="79"/>
        <v>2035</v>
      </c>
      <c r="D420" t="str">
        <f t="shared" si="80"/>
        <v>default</v>
      </c>
      <c r="E420" t="str">
        <f t="shared" si="81"/>
        <v>IT0</v>
      </c>
      <c r="F420" s="26">
        <f t="shared" si="82"/>
        <v>13780.953138281482</v>
      </c>
      <c r="H420">
        <f t="shared" si="83"/>
        <v>5</v>
      </c>
      <c r="I420">
        <f t="shared" si="84"/>
        <v>5</v>
      </c>
      <c r="J420">
        <f t="shared" si="85"/>
        <v>3</v>
      </c>
      <c r="K420">
        <f t="shared" si="86"/>
        <v>1</v>
      </c>
    </row>
    <row r="421" spans="2:11">
      <c r="B421" t="str">
        <f t="shared" si="78"/>
        <v>HYD_STO</v>
      </c>
      <c r="C421">
        <f t="shared" si="79"/>
        <v>2035</v>
      </c>
      <c r="D421" t="str">
        <f t="shared" si="80"/>
        <v>default</v>
      </c>
      <c r="E421" t="str">
        <f t="shared" si="81"/>
        <v>IT0</v>
      </c>
      <c r="F421" s="26">
        <f t="shared" si="82"/>
        <v>3795.9</v>
      </c>
      <c r="H421">
        <f t="shared" si="83"/>
        <v>6</v>
      </c>
      <c r="I421">
        <f t="shared" si="84"/>
        <v>5</v>
      </c>
      <c r="J421">
        <f t="shared" si="85"/>
        <v>3</v>
      </c>
      <c r="K421">
        <f t="shared" si="86"/>
        <v>1</v>
      </c>
    </row>
    <row r="422" spans="2:11">
      <c r="B422" t="str">
        <f t="shared" si="78"/>
        <v>GAS_LIN</v>
      </c>
      <c r="C422">
        <f t="shared" si="79"/>
        <v>2035</v>
      </c>
      <c r="D422" t="str">
        <f t="shared" si="80"/>
        <v>default</v>
      </c>
      <c r="E422" t="str">
        <f t="shared" si="81"/>
        <v>IT0</v>
      </c>
      <c r="F422" s="26">
        <f t="shared" si="82"/>
        <v>35862.127868081101</v>
      </c>
      <c r="H422">
        <f t="shared" si="83"/>
        <v>7</v>
      </c>
      <c r="I422">
        <f t="shared" si="84"/>
        <v>5</v>
      </c>
      <c r="J422">
        <f t="shared" si="85"/>
        <v>3</v>
      </c>
      <c r="K422">
        <f t="shared" si="86"/>
        <v>1</v>
      </c>
    </row>
    <row r="423" spans="2:11">
      <c r="B423" t="str">
        <f t="shared" si="78"/>
        <v>GAS_NEW</v>
      </c>
      <c r="C423">
        <f t="shared" si="79"/>
        <v>2035</v>
      </c>
      <c r="D423" t="str">
        <f t="shared" si="80"/>
        <v>default</v>
      </c>
      <c r="E423" t="str">
        <f t="shared" si="81"/>
        <v>IT0</v>
      </c>
      <c r="F423" s="26">
        <f t="shared" si="82"/>
        <v>0</v>
      </c>
      <c r="H423">
        <f t="shared" si="83"/>
        <v>8</v>
      </c>
      <c r="I423">
        <f t="shared" si="84"/>
        <v>5</v>
      </c>
      <c r="J423">
        <f t="shared" si="85"/>
        <v>3</v>
      </c>
      <c r="K423">
        <f t="shared" si="86"/>
        <v>1</v>
      </c>
    </row>
    <row r="424" spans="2:11">
      <c r="B424" t="str">
        <f t="shared" si="78"/>
        <v>OIL_LIN</v>
      </c>
      <c r="C424">
        <f t="shared" si="79"/>
        <v>2035</v>
      </c>
      <c r="D424" t="str">
        <f t="shared" si="80"/>
        <v>default</v>
      </c>
      <c r="E424" t="str">
        <f t="shared" si="81"/>
        <v>IT0</v>
      </c>
      <c r="F424" s="26">
        <f t="shared" si="82"/>
        <v>797.77677413312904</v>
      </c>
      <c r="H424">
        <f t="shared" si="83"/>
        <v>9</v>
      </c>
      <c r="I424">
        <f t="shared" si="84"/>
        <v>5</v>
      </c>
      <c r="J424">
        <f t="shared" si="85"/>
        <v>3</v>
      </c>
      <c r="K424">
        <f t="shared" si="86"/>
        <v>1</v>
      </c>
    </row>
    <row r="425" spans="2:11">
      <c r="B425" t="str">
        <f t="shared" si="78"/>
        <v>BAL_ELC</v>
      </c>
      <c r="C425">
        <f t="shared" si="79"/>
        <v>2035</v>
      </c>
      <c r="D425" t="str">
        <f t="shared" si="80"/>
        <v>default</v>
      </c>
      <c r="E425" t="str">
        <f t="shared" si="81"/>
        <v>IT0</v>
      </c>
      <c r="F425" s="26">
        <f t="shared" si="82"/>
        <v>3860.927558151986</v>
      </c>
      <c r="H425">
        <f t="shared" si="83"/>
        <v>10</v>
      </c>
      <c r="I425">
        <f t="shared" si="84"/>
        <v>5</v>
      </c>
      <c r="J425">
        <f t="shared" si="85"/>
        <v>3</v>
      </c>
      <c r="K425">
        <f t="shared" si="86"/>
        <v>1</v>
      </c>
    </row>
    <row r="426" spans="2:11">
      <c r="B426" t="str">
        <f t="shared" si="78"/>
        <v>WAS_ELC</v>
      </c>
      <c r="C426">
        <f t="shared" si="79"/>
        <v>2035</v>
      </c>
      <c r="D426" t="str">
        <f t="shared" si="80"/>
        <v>default</v>
      </c>
      <c r="E426" t="str">
        <f t="shared" si="81"/>
        <v>IT0</v>
      </c>
      <c r="F426" s="26">
        <f t="shared" si="82"/>
        <v>1186.0102315912679</v>
      </c>
      <c r="H426">
        <f t="shared" si="83"/>
        <v>11</v>
      </c>
      <c r="I426">
        <f t="shared" si="84"/>
        <v>5</v>
      </c>
      <c r="J426">
        <f t="shared" si="85"/>
        <v>3</v>
      </c>
      <c r="K426">
        <f t="shared" si="86"/>
        <v>1</v>
      </c>
    </row>
    <row r="427" spans="2:11">
      <c r="B427" t="str">
        <f t="shared" si="78"/>
        <v>LIG_LIN</v>
      </c>
      <c r="C427">
        <f t="shared" si="79"/>
        <v>2035</v>
      </c>
      <c r="D427" t="str">
        <f t="shared" si="80"/>
        <v>default</v>
      </c>
      <c r="E427" t="str">
        <f t="shared" si="81"/>
        <v>IT0</v>
      </c>
      <c r="F427" s="26">
        <f t="shared" si="82"/>
        <v>0</v>
      </c>
      <c r="H427">
        <f t="shared" si="83"/>
        <v>12</v>
      </c>
      <c r="I427">
        <f t="shared" si="84"/>
        <v>5</v>
      </c>
      <c r="J427">
        <f t="shared" si="85"/>
        <v>3</v>
      </c>
      <c r="K427">
        <f t="shared" si="86"/>
        <v>1</v>
      </c>
    </row>
    <row r="428" spans="2:11">
      <c r="B428" t="str">
        <f t="shared" si="78"/>
        <v>HCO_LIN</v>
      </c>
      <c r="C428">
        <f t="shared" si="79"/>
        <v>2035</v>
      </c>
      <c r="D428" t="str">
        <f t="shared" si="80"/>
        <v>default</v>
      </c>
      <c r="E428" t="str">
        <f t="shared" si="81"/>
        <v>IT0</v>
      </c>
      <c r="F428" s="26">
        <f t="shared" si="82"/>
        <v>4803.0488836439699</v>
      </c>
      <c r="H428">
        <f t="shared" si="83"/>
        <v>13</v>
      </c>
      <c r="I428">
        <f t="shared" si="84"/>
        <v>5</v>
      </c>
      <c r="J428">
        <f t="shared" si="85"/>
        <v>3</v>
      </c>
      <c r="K428">
        <f t="shared" si="86"/>
        <v>1</v>
      </c>
    </row>
    <row r="429" spans="2:11">
      <c r="B429" t="str">
        <f t="shared" si="78"/>
        <v>GEO_ELC</v>
      </c>
      <c r="C429">
        <f t="shared" si="79"/>
        <v>2035</v>
      </c>
      <c r="D429" t="str">
        <f t="shared" si="80"/>
        <v>default</v>
      </c>
      <c r="E429" t="str">
        <f t="shared" si="81"/>
        <v>IT0</v>
      </c>
      <c r="F429" s="26">
        <f t="shared" si="82"/>
        <v>773</v>
      </c>
      <c r="H429">
        <f t="shared" si="83"/>
        <v>14</v>
      </c>
      <c r="I429">
        <f t="shared" si="84"/>
        <v>5</v>
      </c>
      <c r="J429">
        <f t="shared" si="85"/>
        <v>3</v>
      </c>
      <c r="K429">
        <f t="shared" si="86"/>
        <v>1</v>
      </c>
    </row>
    <row r="430" spans="2:11">
      <c r="B430" t="str">
        <f t="shared" si="78"/>
        <v>WIN_OFF</v>
      </c>
      <c r="C430">
        <f t="shared" si="79"/>
        <v>2035</v>
      </c>
      <c r="D430" t="str">
        <f t="shared" si="80"/>
        <v>default</v>
      </c>
      <c r="E430" t="str">
        <f t="shared" si="81"/>
        <v>IT0</v>
      </c>
      <c r="F430" s="26">
        <f t="shared" si="82"/>
        <v>0</v>
      </c>
      <c r="H430">
        <f t="shared" si="83"/>
        <v>15</v>
      </c>
      <c r="I430">
        <f t="shared" si="84"/>
        <v>5</v>
      </c>
      <c r="J430">
        <f t="shared" si="85"/>
        <v>3</v>
      </c>
      <c r="K430">
        <f t="shared" si="86"/>
        <v>1</v>
      </c>
    </row>
    <row r="431" spans="2:11">
      <c r="B431" t="str">
        <f t="shared" si="78"/>
        <v>NUC_ELC</v>
      </c>
      <c r="C431">
        <f t="shared" si="79"/>
        <v>2040</v>
      </c>
      <c r="D431" t="str">
        <f t="shared" si="80"/>
        <v>default</v>
      </c>
      <c r="E431" t="str">
        <f t="shared" si="81"/>
        <v>IT0</v>
      </c>
      <c r="F431" s="26">
        <f t="shared" si="82"/>
        <v>0</v>
      </c>
      <c r="H431">
        <f t="shared" si="83"/>
        <v>1</v>
      </c>
      <c r="I431">
        <f t="shared" si="84"/>
        <v>6</v>
      </c>
      <c r="J431">
        <f t="shared" si="85"/>
        <v>3</v>
      </c>
      <c r="K431">
        <f t="shared" si="86"/>
        <v>1</v>
      </c>
    </row>
    <row r="432" spans="2:11">
      <c r="B432" t="str">
        <f t="shared" si="78"/>
        <v>SOL_PHO</v>
      </c>
      <c r="C432">
        <f t="shared" si="79"/>
        <v>2040</v>
      </c>
      <c r="D432" t="str">
        <f t="shared" si="80"/>
        <v>default</v>
      </c>
      <c r="E432" t="str">
        <f t="shared" si="81"/>
        <v>IT0</v>
      </c>
      <c r="F432" s="26">
        <f t="shared" si="82"/>
        <v>27050.465516039501</v>
      </c>
      <c r="H432">
        <f t="shared" si="83"/>
        <v>2</v>
      </c>
      <c r="I432">
        <f t="shared" si="84"/>
        <v>6</v>
      </c>
      <c r="J432">
        <f t="shared" si="85"/>
        <v>3</v>
      </c>
      <c r="K432">
        <f t="shared" si="86"/>
        <v>1</v>
      </c>
    </row>
    <row r="433" spans="2:11">
      <c r="B433" t="str">
        <f t="shared" si="78"/>
        <v>WIN_ONS</v>
      </c>
      <c r="C433">
        <f t="shared" si="79"/>
        <v>2040</v>
      </c>
      <c r="D433" t="str">
        <f t="shared" si="80"/>
        <v>default</v>
      </c>
      <c r="E433" t="str">
        <f t="shared" si="81"/>
        <v>IT0</v>
      </c>
      <c r="F433" s="26">
        <f t="shared" si="82"/>
        <v>17735.692239690401</v>
      </c>
      <c r="H433">
        <f t="shared" si="83"/>
        <v>3</v>
      </c>
      <c r="I433">
        <f t="shared" si="84"/>
        <v>6</v>
      </c>
      <c r="J433">
        <f t="shared" si="85"/>
        <v>3</v>
      </c>
      <c r="K433">
        <f t="shared" si="86"/>
        <v>1</v>
      </c>
    </row>
    <row r="434" spans="2:11">
      <c r="B434" t="str">
        <f t="shared" si="78"/>
        <v>HYD_ROR</v>
      </c>
      <c r="C434">
        <f t="shared" si="79"/>
        <v>2040</v>
      </c>
      <c r="D434" t="str">
        <f t="shared" si="80"/>
        <v>default</v>
      </c>
      <c r="E434" t="str">
        <f t="shared" si="81"/>
        <v>IT0</v>
      </c>
      <c r="F434" s="26">
        <f t="shared" si="82"/>
        <v>5483.9599771668736</v>
      </c>
      <c r="H434">
        <f t="shared" si="83"/>
        <v>4</v>
      </c>
      <c r="I434">
        <f t="shared" si="84"/>
        <v>6</v>
      </c>
      <c r="J434">
        <f t="shared" si="85"/>
        <v>3</v>
      </c>
      <c r="K434">
        <f t="shared" si="86"/>
        <v>1</v>
      </c>
    </row>
    <row r="435" spans="2:11">
      <c r="B435" t="str">
        <f t="shared" si="78"/>
        <v>HYD_RES</v>
      </c>
      <c r="C435">
        <f t="shared" si="79"/>
        <v>2040</v>
      </c>
      <c r="D435" t="str">
        <f t="shared" si="80"/>
        <v>default</v>
      </c>
      <c r="E435" t="str">
        <f t="shared" si="81"/>
        <v>IT0</v>
      </c>
      <c r="F435" s="26">
        <f t="shared" si="82"/>
        <v>13934.020037692526</v>
      </c>
      <c r="H435">
        <f t="shared" si="83"/>
        <v>5</v>
      </c>
      <c r="I435">
        <f t="shared" si="84"/>
        <v>6</v>
      </c>
      <c r="J435">
        <f t="shared" si="85"/>
        <v>3</v>
      </c>
      <c r="K435">
        <f t="shared" si="86"/>
        <v>1</v>
      </c>
    </row>
    <row r="436" spans="2:11">
      <c r="B436" t="str">
        <f t="shared" ref="B436:B499" si="87">INDEX(H$100:H$114,H436)</f>
        <v>HYD_STO</v>
      </c>
      <c r="C436">
        <f t="shared" ref="C436:C499" si="88">INDEX(I$100:I$114,I436)</f>
        <v>2040</v>
      </c>
      <c r="D436" t="str">
        <f t="shared" ref="D436:D499" si="89">INDEX(K$100:K$114,K436)</f>
        <v>default</v>
      </c>
      <c r="E436" t="str">
        <f t="shared" ref="E436:E499" si="90">INDEX(J$100:J$114,J436)</f>
        <v>IT0</v>
      </c>
      <c r="F436" s="26">
        <f t="shared" ref="F436:F499" si="91">INDEX($P$6:$X$84,MATCH(E436&amp;"."&amp;B436,$Z$6:$Z$84,0),MATCH(C436,$P$5:$X$5,0))</f>
        <v>3795.9</v>
      </c>
      <c r="H436">
        <f t="shared" si="83"/>
        <v>6</v>
      </c>
      <c r="I436">
        <f t="shared" si="84"/>
        <v>6</v>
      </c>
      <c r="J436">
        <f t="shared" si="85"/>
        <v>3</v>
      </c>
      <c r="K436">
        <f t="shared" si="86"/>
        <v>1</v>
      </c>
    </row>
    <row r="437" spans="2:11">
      <c r="B437" t="str">
        <f t="shared" si="87"/>
        <v>GAS_LIN</v>
      </c>
      <c r="C437">
        <f t="shared" si="88"/>
        <v>2040</v>
      </c>
      <c r="D437" t="str">
        <f t="shared" si="89"/>
        <v>default</v>
      </c>
      <c r="E437" t="str">
        <f t="shared" si="90"/>
        <v>IT0</v>
      </c>
      <c r="F437" s="26">
        <f t="shared" si="91"/>
        <v>35862.127868081101</v>
      </c>
      <c r="H437">
        <f t="shared" ref="H437:H500" si="92">IF(H436=$H$99,1,H436+1)</f>
        <v>7</v>
      </c>
      <c r="I437">
        <f t="shared" ref="I437:I500" si="93">IF(H437=1,IF(I436=$I$99,1,I436+1),I436)</f>
        <v>6</v>
      </c>
      <c r="J437">
        <f t="shared" ref="J437:J500" si="94">IF(AND(I437=1,I436&gt;1),IF(J436=$J$99,1,J436+1),J436)</f>
        <v>3</v>
      </c>
      <c r="K437">
        <f t="shared" ref="K437:K500" si="95">IF(AND(J437=1,J436&gt;1),IF(K436=$K$99,1,K436+1),K436)</f>
        <v>1</v>
      </c>
    </row>
    <row r="438" spans="2:11">
      <c r="B438" t="str">
        <f t="shared" si="87"/>
        <v>GAS_NEW</v>
      </c>
      <c r="C438">
        <f t="shared" si="88"/>
        <v>2040</v>
      </c>
      <c r="D438" t="str">
        <f t="shared" si="89"/>
        <v>default</v>
      </c>
      <c r="E438" t="str">
        <f t="shared" si="90"/>
        <v>IT0</v>
      </c>
      <c r="F438" s="26">
        <f t="shared" si="91"/>
        <v>9350.9504850730955</v>
      </c>
      <c r="H438">
        <f t="shared" si="92"/>
        <v>8</v>
      </c>
      <c r="I438">
        <f t="shared" si="93"/>
        <v>6</v>
      </c>
      <c r="J438">
        <f t="shared" si="94"/>
        <v>3</v>
      </c>
      <c r="K438">
        <f t="shared" si="95"/>
        <v>1</v>
      </c>
    </row>
    <row r="439" spans="2:11">
      <c r="B439" t="str">
        <f t="shared" si="87"/>
        <v>OIL_LIN</v>
      </c>
      <c r="C439">
        <f t="shared" si="88"/>
        <v>2040</v>
      </c>
      <c r="D439" t="str">
        <f t="shared" si="89"/>
        <v>default</v>
      </c>
      <c r="E439" t="str">
        <f t="shared" si="90"/>
        <v>IT0</v>
      </c>
      <c r="F439" s="26">
        <f t="shared" si="91"/>
        <v>603.40888901077199</v>
      </c>
      <c r="H439">
        <f t="shared" si="92"/>
        <v>9</v>
      </c>
      <c r="I439">
        <f t="shared" si="93"/>
        <v>6</v>
      </c>
      <c r="J439">
        <f t="shared" si="94"/>
        <v>3</v>
      </c>
      <c r="K439">
        <f t="shared" si="95"/>
        <v>1</v>
      </c>
    </row>
    <row r="440" spans="2:11">
      <c r="B440" t="str">
        <f t="shared" si="87"/>
        <v>BAL_ELC</v>
      </c>
      <c r="C440">
        <f t="shared" si="88"/>
        <v>2040</v>
      </c>
      <c r="D440" t="str">
        <f t="shared" si="89"/>
        <v>default</v>
      </c>
      <c r="E440" t="str">
        <f t="shared" si="90"/>
        <v>IT0</v>
      </c>
      <c r="F440" s="26">
        <f t="shared" si="91"/>
        <v>4724.8927970343557</v>
      </c>
      <c r="H440">
        <f t="shared" si="92"/>
        <v>10</v>
      </c>
      <c r="I440">
        <f t="shared" si="93"/>
        <v>6</v>
      </c>
      <c r="J440">
        <f t="shared" si="94"/>
        <v>3</v>
      </c>
      <c r="K440">
        <f t="shared" si="95"/>
        <v>1</v>
      </c>
    </row>
    <row r="441" spans="2:11">
      <c r="B441" t="str">
        <f t="shared" si="87"/>
        <v>WAS_ELC</v>
      </c>
      <c r="C441">
        <f t="shared" si="88"/>
        <v>2040</v>
      </c>
      <c r="D441" t="str">
        <f t="shared" si="89"/>
        <v>default</v>
      </c>
      <c r="E441" t="str">
        <f t="shared" si="90"/>
        <v>IT0</v>
      </c>
      <c r="F441" s="26">
        <f t="shared" si="91"/>
        <v>1451.4054242283808</v>
      </c>
      <c r="H441">
        <f t="shared" si="92"/>
        <v>11</v>
      </c>
      <c r="I441">
        <f t="shared" si="93"/>
        <v>6</v>
      </c>
      <c r="J441">
        <f t="shared" si="94"/>
        <v>3</v>
      </c>
      <c r="K441">
        <f t="shared" si="95"/>
        <v>1</v>
      </c>
    </row>
    <row r="442" spans="2:11">
      <c r="B442" t="str">
        <f t="shared" si="87"/>
        <v>LIG_LIN</v>
      </c>
      <c r="C442">
        <f t="shared" si="88"/>
        <v>2040</v>
      </c>
      <c r="D442" t="str">
        <f t="shared" si="89"/>
        <v>default</v>
      </c>
      <c r="E442" t="str">
        <f t="shared" si="90"/>
        <v>IT0</v>
      </c>
      <c r="F442" s="26">
        <f t="shared" si="91"/>
        <v>0</v>
      </c>
      <c r="H442">
        <f t="shared" si="92"/>
        <v>12</v>
      </c>
      <c r="I442">
        <f t="shared" si="93"/>
        <v>6</v>
      </c>
      <c r="J442">
        <f t="shared" si="94"/>
        <v>3</v>
      </c>
      <c r="K442">
        <f t="shared" si="95"/>
        <v>1</v>
      </c>
    </row>
    <row r="443" spans="2:11">
      <c r="B443" t="str">
        <f t="shared" si="87"/>
        <v>HCO_LIN</v>
      </c>
      <c r="C443">
        <f t="shared" si="88"/>
        <v>2040</v>
      </c>
      <c r="D443" t="str">
        <f t="shared" si="89"/>
        <v>default</v>
      </c>
      <c r="E443" t="str">
        <f t="shared" si="90"/>
        <v>IT0</v>
      </c>
      <c r="F443" s="26">
        <f t="shared" si="91"/>
        <v>2226.1288836439699</v>
      </c>
      <c r="H443">
        <f t="shared" si="92"/>
        <v>13</v>
      </c>
      <c r="I443">
        <f t="shared" si="93"/>
        <v>6</v>
      </c>
      <c r="J443">
        <f t="shared" si="94"/>
        <v>3</v>
      </c>
      <c r="K443">
        <f t="shared" si="95"/>
        <v>1</v>
      </c>
    </row>
    <row r="444" spans="2:11">
      <c r="B444" t="str">
        <f t="shared" si="87"/>
        <v>GEO_ELC</v>
      </c>
      <c r="C444">
        <f t="shared" si="88"/>
        <v>2040</v>
      </c>
      <c r="D444" t="str">
        <f t="shared" si="89"/>
        <v>default</v>
      </c>
      <c r="E444" t="str">
        <f t="shared" si="90"/>
        <v>IT0</v>
      </c>
      <c r="F444" s="26">
        <f t="shared" si="91"/>
        <v>773</v>
      </c>
      <c r="H444">
        <f t="shared" si="92"/>
        <v>14</v>
      </c>
      <c r="I444">
        <f t="shared" si="93"/>
        <v>6</v>
      </c>
      <c r="J444">
        <f t="shared" si="94"/>
        <v>3</v>
      </c>
      <c r="K444">
        <f t="shared" si="95"/>
        <v>1</v>
      </c>
    </row>
    <row r="445" spans="2:11">
      <c r="B445" t="str">
        <f t="shared" si="87"/>
        <v>WIN_OFF</v>
      </c>
      <c r="C445">
        <f t="shared" si="88"/>
        <v>2040</v>
      </c>
      <c r="D445" t="str">
        <f t="shared" si="89"/>
        <v>default</v>
      </c>
      <c r="E445" t="str">
        <f t="shared" si="90"/>
        <v>IT0</v>
      </c>
      <c r="F445" s="26">
        <f t="shared" si="91"/>
        <v>0</v>
      </c>
      <c r="H445">
        <f t="shared" si="92"/>
        <v>15</v>
      </c>
      <c r="I445">
        <f t="shared" si="93"/>
        <v>6</v>
      </c>
      <c r="J445">
        <f t="shared" si="94"/>
        <v>3</v>
      </c>
      <c r="K445">
        <f t="shared" si="95"/>
        <v>1</v>
      </c>
    </row>
    <row r="446" spans="2:11">
      <c r="B446" t="str">
        <f t="shared" si="87"/>
        <v>NUC_ELC</v>
      </c>
      <c r="C446">
        <f t="shared" si="88"/>
        <v>2045</v>
      </c>
      <c r="D446" t="str">
        <f t="shared" si="89"/>
        <v>default</v>
      </c>
      <c r="E446" t="str">
        <f t="shared" si="90"/>
        <v>IT0</v>
      </c>
      <c r="F446" s="26">
        <f t="shared" si="91"/>
        <v>0</v>
      </c>
      <c r="H446">
        <f t="shared" si="92"/>
        <v>1</v>
      </c>
      <c r="I446">
        <f t="shared" si="93"/>
        <v>7</v>
      </c>
      <c r="J446">
        <f t="shared" si="94"/>
        <v>3</v>
      </c>
      <c r="K446">
        <f t="shared" si="95"/>
        <v>1</v>
      </c>
    </row>
    <row r="447" spans="2:11">
      <c r="B447" t="str">
        <f t="shared" si="87"/>
        <v>SOL_PHO</v>
      </c>
      <c r="C447">
        <f t="shared" si="88"/>
        <v>2045</v>
      </c>
      <c r="D447" t="str">
        <f t="shared" si="89"/>
        <v>default</v>
      </c>
      <c r="E447" t="str">
        <f t="shared" si="90"/>
        <v>IT0</v>
      </c>
      <c r="F447" s="26">
        <f t="shared" si="91"/>
        <v>49227.450865438797</v>
      </c>
      <c r="H447">
        <f t="shared" si="92"/>
        <v>2</v>
      </c>
      <c r="I447">
        <f t="shared" si="93"/>
        <v>7</v>
      </c>
      <c r="J447">
        <f t="shared" si="94"/>
        <v>3</v>
      </c>
      <c r="K447">
        <f t="shared" si="95"/>
        <v>1</v>
      </c>
    </row>
    <row r="448" spans="2:11">
      <c r="B448" t="str">
        <f t="shared" si="87"/>
        <v>WIN_ONS</v>
      </c>
      <c r="C448">
        <f t="shared" si="88"/>
        <v>2045</v>
      </c>
      <c r="D448" t="str">
        <f t="shared" si="89"/>
        <v>default</v>
      </c>
      <c r="E448" t="str">
        <f t="shared" si="90"/>
        <v>IT0</v>
      </c>
      <c r="F448" s="26">
        <f t="shared" si="91"/>
        <v>19793.164398544501</v>
      </c>
      <c r="H448">
        <f t="shared" si="92"/>
        <v>3</v>
      </c>
      <c r="I448">
        <f t="shared" si="93"/>
        <v>7</v>
      </c>
      <c r="J448">
        <f t="shared" si="94"/>
        <v>3</v>
      </c>
      <c r="K448">
        <f t="shared" si="95"/>
        <v>1</v>
      </c>
    </row>
    <row r="449" spans="2:11">
      <c r="B449" t="str">
        <f t="shared" si="87"/>
        <v>HYD_ROR</v>
      </c>
      <c r="C449">
        <f t="shared" si="88"/>
        <v>2045</v>
      </c>
      <c r="D449" t="str">
        <f t="shared" si="89"/>
        <v>default</v>
      </c>
      <c r="E449" t="str">
        <f t="shared" si="90"/>
        <v>IT0</v>
      </c>
      <c r="F449" s="26">
        <f t="shared" si="91"/>
        <v>5513.9411734747673</v>
      </c>
      <c r="H449">
        <f t="shared" si="92"/>
        <v>4</v>
      </c>
      <c r="I449">
        <f t="shared" si="93"/>
        <v>7</v>
      </c>
      <c r="J449">
        <f t="shared" si="94"/>
        <v>3</v>
      </c>
      <c r="K449">
        <f t="shared" si="95"/>
        <v>1</v>
      </c>
    </row>
    <row r="450" spans="2:11">
      <c r="B450" t="str">
        <f t="shared" si="87"/>
        <v>HYD_RES</v>
      </c>
      <c r="C450">
        <f t="shared" si="88"/>
        <v>2045</v>
      </c>
      <c r="D450" t="str">
        <f t="shared" si="89"/>
        <v>default</v>
      </c>
      <c r="E450" t="str">
        <f t="shared" si="90"/>
        <v>IT0</v>
      </c>
      <c r="F450" s="26">
        <f t="shared" si="91"/>
        <v>14010.198308841032</v>
      </c>
      <c r="H450">
        <f t="shared" si="92"/>
        <v>5</v>
      </c>
      <c r="I450">
        <f t="shared" si="93"/>
        <v>7</v>
      </c>
      <c r="J450">
        <f t="shared" si="94"/>
        <v>3</v>
      </c>
      <c r="K450">
        <f t="shared" si="95"/>
        <v>1</v>
      </c>
    </row>
    <row r="451" spans="2:11">
      <c r="B451" t="str">
        <f t="shared" si="87"/>
        <v>HYD_STO</v>
      </c>
      <c r="C451">
        <f t="shared" si="88"/>
        <v>2045</v>
      </c>
      <c r="D451" t="str">
        <f t="shared" si="89"/>
        <v>default</v>
      </c>
      <c r="E451" t="str">
        <f t="shared" si="90"/>
        <v>IT0</v>
      </c>
      <c r="F451" s="26">
        <f t="shared" si="91"/>
        <v>3795.9</v>
      </c>
      <c r="H451">
        <f t="shared" si="92"/>
        <v>6</v>
      </c>
      <c r="I451">
        <f t="shared" si="93"/>
        <v>7</v>
      </c>
      <c r="J451">
        <f t="shared" si="94"/>
        <v>3</v>
      </c>
      <c r="K451">
        <f t="shared" si="95"/>
        <v>1</v>
      </c>
    </row>
    <row r="452" spans="2:11">
      <c r="B452" t="str">
        <f t="shared" si="87"/>
        <v>GAS_LIN</v>
      </c>
      <c r="C452">
        <f t="shared" si="88"/>
        <v>2045</v>
      </c>
      <c r="D452" t="str">
        <f t="shared" si="89"/>
        <v>default</v>
      </c>
      <c r="E452" t="str">
        <f t="shared" si="90"/>
        <v>IT0</v>
      </c>
      <c r="F452" s="26">
        <f t="shared" si="91"/>
        <v>35862.127868081101</v>
      </c>
      <c r="H452">
        <f t="shared" si="92"/>
        <v>7</v>
      </c>
      <c r="I452">
        <f t="shared" si="93"/>
        <v>7</v>
      </c>
      <c r="J452">
        <f t="shared" si="94"/>
        <v>3</v>
      </c>
      <c r="K452">
        <f t="shared" si="95"/>
        <v>1</v>
      </c>
    </row>
    <row r="453" spans="2:11">
      <c r="B453" t="str">
        <f t="shared" si="87"/>
        <v>GAS_NEW</v>
      </c>
      <c r="C453">
        <f t="shared" si="88"/>
        <v>2045</v>
      </c>
      <c r="D453" t="str">
        <f t="shared" si="89"/>
        <v>default</v>
      </c>
      <c r="E453" t="str">
        <f t="shared" si="90"/>
        <v>IT0</v>
      </c>
      <c r="F453" s="26">
        <f t="shared" si="91"/>
        <v>9219.3718435810006</v>
      </c>
      <c r="H453">
        <f t="shared" si="92"/>
        <v>8</v>
      </c>
      <c r="I453">
        <f t="shared" si="93"/>
        <v>7</v>
      </c>
      <c r="J453">
        <f t="shared" si="94"/>
        <v>3</v>
      </c>
      <c r="K453">
        <f t="shared" si="95"/>
        <v>1</v>
      </c>
    </row>
    <row r="454" spans="2:11">
      <c r="B454" t="str">
        <f t="shared" si="87"/>
        <v>OIL_LIN</v>
      </c>
      <c r="C454">
        <f t="shared" si="88"/>
        <v>2045</v>
      </c>
      <c r="D454" t="str">
        <f t="shared" si="89"/>
        <v>default</v>
      </c>
      <c r="E454" t="str">
        <f t="shared" si="90"/>
        <v>IT0</v>
      </c>
      <c r="F454" s="26">
        <f t="shared" si="91"/>
        <v>483.39818350521301</v>
      </c>
      <c r="H454">
        <f t="shared" si="92"/>
        <v>9</v>
      </c>
      <c r="I454">
        <f t="shared" si="93"/>
        <v>7</v>
      </c>
      <c r="J454">
        <f t="shared" si="94"/>
        <v>3</v>
      </c>
      <c r="K454">
        <f t="shared" si="95"/>
        <v>1</v>
      </c>
    </row>
    <row r="455" spans="2:11">
      <c r="B455" t="str">
        <f t="shared" si="87"/>
        <v>BAL_ELC</v>
      </c>
      <c r="C455">
        <f t="shared" si="88"/>
        <v>2045</v>
      </c>
      <c r="D455" t="str">
        <f t="shared" si="89"/>
        <v>default</v>
      </c>
      <c r="E455" t="str">
        <f t="shared" si="90"/>
        <v>IT0</v>
      </c>
      <c r="F455" s="26">
        <f t="shared" si="91"/>
        <v>4733.2848507149974</v>
      </c>
      <c r="H455">
        <f t="shared" si="92"/>
        <v>10</v>
      </c>
      <c r="I455">
        <f t="shared" si="93"/>
        <v>7</v>
      </c>
      <c r="J455">
        <f t="shared" si="94"/>
        <v>3</v>
      </c>
      <c r="K455">
        <f t="shared" si="95"/>
        <v>1</v>
      </c>
    </row>
    <row r="456" spans="2:11">
      <c r="B456" t="str">
        <f t="shared" si="87"/>
        <v>WAS_ELC</v>
      </c>
      <c r="C456">
        <f t="shared" si="88"/>
        <v>2045</v>
      </c>
      <c r="D456" t="str">
        <f t="shared" si="89"/>
        <v>default</v>
      </c>
      <c r="E456" t="str">
        <f t="shared" si="90"/>
        <v>IT0</v>
      </c>
      <c r="F456" s="26">
        <f t="shared" si="91"/>
        <v>1453.9833181099407</v>
      </c>
      <c r="H456">
        <f t="shared" si="92"/>
        <v>11</v>
      </c>
      <c r="I456">
        <f t="shared" si="93"/>
        <v>7</v>
      </c>
      <c r="J456">
        <f t="shared" si="94"/>
        <v>3</v>
      </c>
      <c r="K456">
        <f t="shared" si="95"/>
        <v>1</v>
      </c>
    </row>
    <row r="457" spans="2:11">
      <c r="B457" t="str">
        <f t="shared" si="87"/>
        <v>LIG_LIN</v>
      </c>
      <c r="C457">
        <f t="shared" si="88"/>
        <v>2045</v>
      </c>
      <c r="D457" t="str">
        <f t="shared" si="89"/>
        <v>default</v>
      </c>
      <c r="E457" t="str">
        <f t="shared" si="90"/>
        <v>IT0</v>
      </c>
      <c r="F457" s="26">
        <f t="shared" si="91"/>
        <v>0</v>
      </c>
      <c r="H457">
        <f t="shared" si="92"/>
        <v>12</v>
      </c>
      <c r="I457">
        <f t="shared" si="93"/>
        <v>7</v>
      </c>
      <c r="J457">
        <f t="shared" si="94"/>
        <v>3</v>
      </c>
      <c r="K457">
        <f t="shared" si="95"/>
        <v>1</v>
      </c>
    </row>
    <row r="458" spans="2:11">
      <c r="B458" t="str">
        <f t="shared" si="87"/>
        <v>HCO_LIN</v>
      </c>
      <c r="C458">
        <f t="shared" si="88"/>
        <v>2045</v>
      </c>
      <c r="D458" t="str">
        <f t="shared" si="89"/>
        <v>default</v>
      </c>
      <c r="E458" t="str">
        <f t="shared" si="90"/>
        <v>IT0</v>
      </c>
      <c r="F458" s="26">
        <f t="shared" si="91"/>
        <v>2214.1688836439698</v>
      </c>
      <c r="H458">
        <f t="shared" si="92"/>
        <v>13</v>
      </c>
      <c r="I458">
        <f t="shared" si="93"/>
        <v>7</v>
      </c>
      <c r="J458">
        <f t="shared" si="94"/>
        <v>3</v>
      </c>
      <c r="K458">
        <f t="shared" si="95"/>
        <v>1</v>
      </c>
    </row>
    <row r="459" spans="2:11">
      <c r="B459" t="str">
        <f t="shared" si="87"/>
        <v>GEO_ELC</v>
      </c>
      <c r="C459">
        <f t="shared" si="88"/>
        <v>2045</v>
      </c>
      <c r="D459" t="str">
        <f t="shared" si="89"/>
        <v>default</v>
      </c>
      <c r="E459" t="str">
        <f t="shared" si="90"/>
        <v>IT0</v>
      </c>
      <c r="F459" s="26">
        <f t="shared" si="91"/>
        <v>692</v>
      </c>
      <c r="H459">
        <f t="shared" si="92"/>
        <v>14</v>
      </c>
      <c r="I459">
        <f t="shared" si="93"/>
        <v>7</v>
      </c>
      <c r="J459">
        <f t="shared" si="94"/>
        <v>3</v>
      </c>
      <c r="K459">
        <f t="shared" si="95"/>
        <v>1</v>
      </c>
    </row>
    <row r="460" spans="2:11">
      <c r="B460" t="str">
        <f t="shared" si="87"/>
        <v>WIN_OFF</v>
      </c>
      <c r="C460">
        <f t="shared" si="88"/>
        <v>2045</v>
      </c>
      <c r="D460" t="str">
        <f t="shared" si="89"/>
        <v>default</v>
      </c>
      <c r="E460" t="str">
        <f t="shared" si="90"/>
        <v>IT0</v>
      </c>
      <c r="F460" s="26">
        <f t="shared" si="91"/>
        <v>0</v>
      </c>
      <c r="H460">
        <f t="shared" si="92"/>
        <v>15</v>
      </c>
      <c r="I460">
        <f t="shared" si="93"/>
        <v>7</v>
      </c>
      <c r="J460">
        <f t="shared" si="94"/>
        <v>3</v>
      </c>
      <c r="K460">
        <f t="shared" si="95"/>
        <v>1</v>
      </c>
    </row>
    <row r="461" spans="2:11">
      <c r="B461" t="str">
        <f t="shared" si="87"/>
        <v>NUC_ELC</v>
      </c>
      <c r="C461">
        <f t="shared" si="88"/>
        <v>2050</v>
      </c>
      <c r="D461" t="str">
        <f t="shared" si="89"/>
        <v>default</v>
      </c>
      <c r="E461" t="str">
        <f t="shared" si="90"/>
        <v>IT0</v>
      </c>
      <c r="F461" s="26">
        <f t="shared" si="91"/>
        <v>0</v>
      </c>
      <c r="H461">
        <f t="shared" si="92"/>
        <v>1</v>
      </c>
      <c r="I461">
        <f t="shared" si="93"/>
        <v>8</v>
      </c>
      <c r="J461">
        <f t="shared" si="94"/>
        <v>3</v>
      </c>
      <c r="K461">
        <f t="shared" si="95"/>
        <v>1</v>
      </c>
    </row>
    <row r="462" spans="2:11">
      <c r="B462" t="str">
        <f t="shared" si="87"/>
        <v>SOL_PHO</v>
      </c>
      <c r="C462">
        <f t="shared" si="88"/>
        <v>2050</v>
      </c>
      <c r="D462" t="str">
        <f t="shared" si="89"/>
        <v>default</v>
      </c>
      <c r="E462" t="str">
        <f t="shared" si="90"/>
        <v>IT0</v>
      </c>
      <c r="F462" s="26">
        <f t="shared" si="91"/>
        <v>56764.634816520003</v>
      </c>
      <c r="H462">
        <f t="shared" si="92"/>
        <v>2</v>
      </c>
      <c r="I462">
        <f t="shared" si="93"/>
        <v>8</v>
      </c>
      <c r="J462">
        <f t="shared" si="94"/>
        <v>3</v>
      </c>
      <c r="K462">
        <f t="shared" si="95"/>
        <v>1</v>
      </c>
    </row>
    <row r="463" spans="2:11">
      <c r="B463" t="str">
        <f t="shared" si="87"/>
        <v>WIN_ONS</v>
      </c>
      <c r="C463">
        <f t="shared" si="88"/>
        <v>2050</v>
      </c>
      <c r="D463" t="str">
        <f t="shared" si="89"/>
        <v>default</v>
      </c>
      <c r="E463" t="str">
        <f t="shared" si="90"/>
        <v>IT0</v>
      </c>
      <c r="F463" s="26">
        <f t="shared" si="91"/>
        <v>25957.2787707973</v>
      </c>
      <c r="H463">
        <f t="shared" si="92"/>
        <v>3</v>
      </c>
      <c r="I463">
        <f t="shared" si="93"/>
        <v>8</v>
      </c>
      <c r="J463">
        <f t="shared" si="94"/>
        <v>3</v>
      </c>
      <c r="K463">
        <f t="shared" si="95"/>
        <v>1</v>
      </c>
    </row>
    <row r="464" spans="2:11">
      <c r="B464" t="str">
        <f t="shared" si="87"/>
        <v>HYD_ROR</v>
      </c>
      <c r="C464">
        <f t="shared" si="88"/>
        <v>2050</v>
      </c>
      <c r="D464" t="str">
        <f t="shared" si="89"/>
        <v>default</v>
      </c>
      <c r="E464" t="str">
        <f t="shared" si="90"/>
        <v>IT0</v>
      </c>
      <c r="F464" s="26">
        <f t="shared" si="91"/>
        <v>5531.9545189318396</v>
      </c>
      <c r="H464">
        <f t="shared" si="92"/>
        <v>4</v>
      </c>
      <c r="I464">
        <f t="shared" si="93"/>
        <v>8</v>
      </c>
      <c r="J464">
        <f t="shared" si="94"/>
        <v>3</v>
      </c>
      <c r="K464">
        <f t="shared" si="95"/>
        <v>1</v>
      </c>
    </row>
    <row r="465" spans="2:11">
      <c r="B465" t="str">
        <f t="shared" si="87"/>
        <v>HYD_RES</v>
      </c>
      <c r="C465">
        <f t="shared" si="88"/>
        <v>2050</v>
      </c>
      <c r="D465" t="str">
        <f t="shared" si="89"/>
        <v>default</v>
      </c>
      <c r="E465" t="str">
        <f t="shared" si="90"/>
        <v>IT0</v>
      </c>
      <c r="F465" s="26">
        <f t="shared" si="91"/>
        <v>14055.967847201959</v>
      </c>
      <c r="H465">
        <f t="shared" si="92"/>
        <v>5</v>
      </c>
      <c r="I465">
        <f t="shared" si="93"/>
        <v>8</v>
      </c>
      <c r="J465">
        <f t="shared" si="94"/>
        <v>3</v>
      </c>
      <c r="K465">
        <f t="shared" si="95"/>
        <v>1</v>
      </c>
    </row>
    <row r="466" spans="2:11">
      <c r="B466" t="str">
        <f t="shared" si="87"/>
        <v>HYD_STO</v>
      </c>
      <c r="C466">
        <f t="shared" si="88"/>
        <v>2050</v>
      </c>
      <c r="D466" t="str">
        <f t="shared" si="89"/>
        <v>default</v>
      </c>
      <c r="E466" t="str">
        <f t="shared" si="90"/>
        <v>IT0</v>
      </c>
      <c r="F466" s="26">
        <f t="shared" si="91"/>
        <v>3795.9</v>
      </c>
      <c r="H466">
        <f t="shared" si="92"/>
        <v>6</v>
      </c>
      <c r="I466">
        <f t="shared" si="93"/>
        <v>8</v>
      </c>
      <c r="J466">
        <f t="shared" si="94"/>
        <v>3</v>
      </c>
      <c r="K466">
        <f t="shared" si="95"/>
        <v>1</v>
      </c>
    </row>
    <row r="467" spans="2:11">
      <c r="B467" t="str">
        <f t="shared" si="87"/>
        <v>GAS_LIN</v>
      </c>
      <c r="C467">
        <f t="shared" si="88"/>
        <v>2050</v>
      </c>
      <c r="D467" t="str">
        <f t="shared" si="89"/>
        <v>default</v>
      </c>
      <c r="E467" t="str">
        <f t="shared" si="90"/>
        <v>IT0</v>
      </c>
      <c r="F467" s="26">
        <f t="shared" si="91"/>
        <v>35862.127868081101</v>
      </c>
      <c r="H467">
        <f t="shared" si="92"/>
        <v>7</v>
      </c>
      <c r="I467">
        <f t="shared" si="93"/>
        <v>8</v>
      </c>
      <c r="J467">
        <f t="shared" si="94"/>
        <v>3</v>
      </c>
      <c r="K467">
        <f t="shared" si="95"/>
        <v>1</v>
      </c>
    </row>
    <row r="468" spans="2:11">
      <c r="B468" t="str">
        <f t="shared" si="87"/>
        <v>GAS_NEW</v>
      </c>
      <c r="C468">
        <f t="shared" si="88"/>
        <v>2050</v>
      </c>
      <c r="D468" t="str">
        <f t="shared" si="89"/>
        <v>default</v>
      </c>
      <c r="E468" t="str">
        <f t="shared" si="90"/>
        <v>IT0</v>
      </c>
      <c r="F468" s="26">
        <f t="shared" si="91"/>
        <v>9199.5035090357997</v>
      </c>
      <c r="H468">
        <f t="shared" si="92"/>
        <v>8</v>
      </c>
      <c r="I468">
        <f t="shared" si="93"/>
        <v>8</v>
      </c>
      <c r="J468">
        <f t="shared" si="94"/>
        <v>3</v>
      </c>
      <c r="K468">
        <f t="shared" si="95"/>
        <v>1</v>
      </c>
    </row>
    <row r="469" spans="2:11">
      <c r="B469" t="str">
        <f t="shared" si="87"/>
        <v>OIL_LIN</v>
      </c>
      <c r="C469">
        <f t="shared" si="88"/>
        <v>2050</v>
      </c>
      <c r="D469" t="str">
        <f t="shared" si="89"/>
        <v>default</v>
      </c>
      <c r="E469" t="str">
        <f t="shared" si="90"/>
        <v>IT0</v>
      </c>
      <c r="F469" s="26">
        <f t="shared" si="91"/>
        <v>128.12163478751401</v>
      </c>
      <c r="H469">
        <f t="shared" si="92"/>
        <v>9</v>
      </c>
      <c r="I469">
        <f t="shared" si="93"/>
        <v>8</v>
      </c>
      <c r="J469">
        <f t="shared" si="94"/>
        <v>3</v>
      </c>
      <c r="K469">
        <f t="shared" si="95"/>
        <v>1</v>
      </c>
    </row>
    <row r="470" spans="2:11">
      <c r="B470" t="str">
        <f t="shared" si="87"/>
        <v>BAL_ELC</v>
      </c>
      <c r="C470">
        <f t="shared" si="88"/>
        <v>2050</v>
      </c>
      <c r="D470" t="str">
        <f t="shared" si="89"/>
        <v>default</v>
      </c>
      <c r="E470" t="str">
        <f t="shared" si="90"/>
        <v>IT0</v>
      </c>
      <c r="F470" s="26">
        <f t="shared" si="91"/>
        <v>4676.9421972070086</v>
      </c>
      <c r="H470">
        <f t="shared" si="92"/>
        <v>10</v>
      </c>
      <c r="I470">
        <f t="shared" si="93"/>
        <v>8</v>
      </c>
      <c r="J470">
        <f t="shared" si="94"/>
        <v>3</v>
      </c>
      <c r="K470">
        <f t="shared" si="95"/>
        <v>1</v>
      </c>
    </row>
    <row r="471" spans="2:11">
      <c r="B471" t="str">
        <f t="shared" si="87"/>
        <v>WAS_ELC</v>
      </c>
      <c r="C471">
        <f t="shared" si="88"/>
        <v>2050</v>
      </c>
      <c r="D471" t="str">
        <f t="shared" si="89"/>
        <v>default</v>
      </c>
      <c r="E471" t="str">
        <f t="shared" si="90"/>
        <v>IT0</v>
      </c>
      <c r="F471" s="26">
        <f t="shared" si="91"/>
        <v>1436.6758285160511</v>
      </c>
      <c r="H471">
        <f t="shared" si="92"/>
        <v>11</v>
      </c>
      <c r="I471">
        <f t="shared" si="93"/>
        <v>8</v>
      </c>
      <c r="J471">
        <f t="shared" si="94"/>
        <v>3</v>
      </c>
      <c r="K471">
        <f t="shared" si="95"/>
        <v>1</v>
      </c>
    </row>
    <row r="472" spans="2:11">
      <c r="B472" t="str">
        <f t="shared" si="87"/>
        <v>LIG_LIN</v>
      </c>
      <c r="C472">
        <f t="shared" si="88"/>
        <v>2050</v>
      </c>
      <c r="D472" t="str">
        <f t="shared" si="89"/>
        <v>default</v>
      </c>
      <c r="E472" t="str">
        <f t="shared" si="90"/>
        <v>IT0</v>
      </c>
      <c r="F472" s="26">
        <f t="shared" si="91"/>
        <v>0</v>
      </c>
      <c r="H472">
        <f t="shared" si="92"/>
        <v>12</v>
      </c>
      <c r="I472">
        <f t="shared" si="93"/>
        <v>8</v>
      </c>
      <c r="J472">
        <f t="shared" si="94"/>
        <v>3</v>
      </c>
      <c r="K472">
        <f t="shared" si="95"/>
        <v>1</v>
      </c>
    </row>
    <row r="473" spans="2:11">
      <c r="B473" t="str">
        <f t="shared" si="87"/>
        <v>HCO_LIN</v>
      </c>
      <c r="C473">
        <f t="shared" si="88"/>
        <v>2050</v>
      </c>
      <c r="D473" t="str">
        <f t="shared" si="89"/>
        <v>default</v>
      </c>
      <c r="E473" t="str">
        <f t="shared" si="90"/>
        <v>IT0</v>
      </c>
      <c r="F473" s="26">
        <f t="shared" si="91"/>
        <v>1901.3688836439701</v>
      </c>
      <c r="H473">
        <f t="shared" si="92"/>
        <v>13</v>
      </c>
      <c r="I473">
        <f t="shared" si="93"/>
        <v>8</v>
      </c>
      <c r="J473">
        <f t="shared" si="94"/>
        <v>3</v>
      </c>
      <c r="K473">
        <f t="shared" si="95"/>
        <v>1</v>
      </c>
    </row>
    <row r="474" spans="2:11">
      <c r="B474" t="str">
        <f t="shared" si="87"/>
        <v>GEO_ELC</v>
      </c>
      <c r="C474">
        <f t="shared" si="88"/>
        <v>2050</v>
      </c>
      <c r="D474" t="str">
        <f t="shared" si="89"/>
        <v>default</v>
      </c>
      <c r="E474" t="str">
        <f t="shared" si="90"/>
        <v>IT0</v>
      </c>
      <c r="F474" s="26">
        <f t="shared" si="91"/>
        <v>692</v>
      </c>
      <c r="H474">
        <f t="shared" si="92"/>
        <v>14</v>
      </c>
      <c r="I474">
        <f t="shared" si="93"/>
        <v>8</v>
      </c>
      <c r="J474">
        <f t="shared" si="94"/>
        <v>3</v>
      </c>
      <c r="K474">
        <f t="shared" si="95"/>
        <v>1</v>
      </c>
    </row>
    <row r="475" spans="2:11">
      <c r="B475" t="str">
        <f t="shared" si="87"/>
        <v>WIN_OFF</v>
      </c>
      <c r="C475">
        <f t="shared" si="88"/>
        <v>2050</v>
      </c>
      <c r="D475" t="str">
        <f t="shared" si="89"/>
        <v>default</v>
      </c>
      <c r="E475" t="str">
        <f t="shared" si="90"/>
        <v>IT0</v>
      </c>
      <c r="F475" s="26">
        <f t="shared" si="91"/>
        <v>0</v>
      </c>
      <c r="H475">
        <f t="shared" si="92"/>
        <v>15</v>
      </c>
      <c r="I475">
        <f t="shared" si="93"/>
        <v>8</v>
      </c>
      <c r="J475">
        <f t="shared" si="94"/>
        <v>3</v>
      </c>
      <c r="K475">
        <f t="shared" si="95"/>
        <v>1</v>
      </c>
    </row>
    <row r="476" spans="2:11">
      <c r="B476" t="str">
        <f t="shared" si="87"/>
        <v>NUC_ELC</v>
      </c>
      <c r="C476">
        <f t="shared" si="88"/>
        <v>2015</v>
      </c>
      <c r="D476" t="str">
        <f t="shared" si="89"/>
        <v>default</v>
      </c>
      <c r="E476" t="str">
        <f t="shared" si="90"/>
        <v>AT0</v>
      </c>
      <c r="F476" s="26">
        <f t="shared" si="91"/>
        <v>0</v>
      </c>
      <c r="H476">
        <f t="shared" si="92"/>
        <v>1</v>
      </c>
      <c r="I476">
        <f t="shared" si="93"/>
        <v>1</v>
      </c>
      <c r="J476">
        <f t="shared" si="94"/>
        <v>4</v>
      </c>
      <c r="K476">
        <f t="shared" si="95"/>
        <v>1</v>
      </c>
    </row>
    <row r="477" spans="2:11">
      <c r="B477" t="str">
        <f t="shared" si="87"/>
        <v>SOL_PHO</v>
      </c>
      <c r="C477">
        <f t="shared" si="88"/>
        <v>2015</v>
      </c>
      <c r="D477" t="str">
        <f t="shared" si="89"/>
        <v>default</v>
      </c>
      <c r="E477" t="str">
        <f t="shared" si="90"/>
        <v>AT0</v>
      </c>
      <c r="F477" s="26">
        <f t="shared" si="91"/>
        <v>876</v>
      </c>
      <c r="H477">
        <f t="shared" si="92"/>
        <v>2</v>
      </c>
      <c r="I477">
        <f t="shared" si="93"/>
        <v>1</v>
      </c>
      <c r="J477">
        <f t="shared" si="94"/>
        <v>4</v>
      </c>
      <c r="K477">
        <f t="shared" si="95"/>
        <v>1</v>
      </c>
    </row>
    <row r="478" spans="2:11">
      <c r="B478" t="str">
        <f t="shared" si="87"/>
        <v>WIN_ONS</v>
      </c>
      <c r="C478">
        <f t="shared" si="88"/>
        <v>2015</v>
      </c>
      <c r="D478" t="str">
        <f t="shared" si="89"/>
        <v>default</v>
      </c>
      <c r="E478" t="str">
        <f t="shared" si="90"/>
        <v>AT0</v>
      </c>
      <c r="F478" s="26">
        <f t="shared" si="91"/>
        <v>2411.5</v>
      </c>
      <c r="H478">
        <f t="shared" si="92"/>
        <v>3</v>
      </c>
      <c r="I478">
        <f t="shared" si="93"/>
        <v>1</v>
      </c>
      <c r="J478">
        <f t="shared" si="94"/>
        <v>4</v>
      </c>
      <c r="K478">
        <f t="shared" si="95"/>
        <v>1</v>
      </c>
    </row>
    <row r="479" spans="2:11">
      <c r="B479" t="str">
        <f t="shared" si="87"/>
        <v>HYD_ROR</v>
      </c>
      <c r="C479">
        <f t="shared" si="88"/>
        <v>2015</v>
      </c>
      <c r="D479" t="str">
        <f t="shared" si="89"/>
        <v>default</v>
      </c>
      <c r="E479" t="str">
        <f t="shared" si="90"/>
        <v>AT0</v>
      </c>
      <c r="F479" s="26">
        <f t="shared" si="91"/>
        <v>5448.8053337240826</v>
      </c>
      <c r="H479">
        <f t="shared" si="92"/>
        <v>4</v>
      </c>
      <c r="I479">
        <f t="shared" si="93"/>
        <v>1</v>
      </c>
      <c r="J479">
        <f t="shared" si="94"/>
        <v>4</v>
      </c>
      <c r="K479">
        <f t="shared" si="95"/>
        <v>1</v>
      </c>
    </row>
    <row r="480" spans="2:11">
      <c r="B480" t="str">
        <f t="shared" si="87"/>
        <v>HYD_RES</v>
      </c>
      <c r="C480">
        <f t="shared" si="88"/>
        <v>2015</v>
      </c>
      <c r="D480" t="str">
        <f t="shared" si="89"/>
        <v>default</v>
      </c>
      <c r="E480" t="str">
        <f t="shared" si="90"/>
        <v>AT0</v>
      </c>
      <c r="F480" s="26">
        <f t="shared" si="91"/>
        <v>3846.2057253214416</v>
      </c>
      <c r="H480">
        <f t="shared" si="92"/>
        <v>5</v>
      </c>
      <c r="I480">
        <f t="shared" si="93"/>
        <v>1</v>
      </c>
      <c r="J480">
        <f t="shared" si="94"/>
        <v>4</v>
      </c>
      <c r="K480">
        <f t="shared" si="95"/>
        <v>1</v>
      </c>
    </row>
    <row r="481" spans="2:11">
      <c r="B481" t="str">
        <f t="shared" si="87"/>
        <v>HYD_STO</v>
      </c>
      <c r="C481">
        <f t="shared" si="88"/>
        <v>2015</v>
      </c>
      <c r="D481" t="str">
        <f t="shared" si="89"/>
        <v>default</v>
      </c>
      <c r="E481" t="str">
        <f t="shared" si="90"/>
        <v>AT0</v>
      </c>
      <c r="F481" s="26">
        <f t="shared" si="91"/>
        <v>3853.9889409544758</v>
      </c>
      <c r="H481">
        <f t="shared" si="92"/>
        <v>6</v>
      </c>
      <c r="I481">
        <f t="shared" si="93"/>
        <v>1</v>
      </c>
      <c r="J481">
        <f t="shared" si="94"/>
        <v>4</v>
      </c>
      <c r="K481">
        <f t="shared" si="95"/>
        <v>1</v>
      </c>
    </row>
    <row r="482" spans="2:11">
      <c r="B482" t="str">
        <f t="shared" si="87"/>
        <v>GAS_LIN</v>
      </c>
      <c r="C482">
        <f t="shared" si="88"/>
        <v>2015</v>
      </c>
      <c r="D482" t="str">
        <f t="shared" si="89"/>
        <v>default</v>
      </c>
      <c r="E482" t="str">
        <f t="shared" si="90"/>
        <v>AT0</v>
      </c>
      <c r="F482" s="26">
        <f t="shared" si="91"/>
        <v>4073.8726499999998</v>
      </c>
      <c r="H482">
        <f t="shared" si="92"/>
        <v>7</v>
      </c>
      <c r="I482">
        <f t="shared" si="93"/>
        <v>1</v>
      </c>
      <c r="J482">
        <f t="shared" si="94"/>
        <v>4</v>
      </c>
      <c r="K482">
        <f t="shared" si="95"/>
        <v>1</v>
      </c>
    </row>
    <row r="483" spans="2:11">
      <c r="B483" t="str">
        <f t="shared" si="87"/>
        <v>GAS_NEW</v>
      </c>
      <c r="C483">
        <f t="shared" si="88"/>
        <v>2015</v>
      </c>
      <c r="D483" t="str">
        <f t="shared" si="89"/>
        <v>default</v>
      </c>
      <c r="E483" t="str">
        <f t="shared" si="90"/>
        <v>AT0</v>
      </c>
      <c r="F483" s="26">
        <f t="shared" si="91"/>
        <v>0</v>
      </c>
      <c r="H483">
        <f t="shared" si="92"/>
        <v>8</v>
      </c>
      <c r="I483">
        <f t="shared" si="93"/>
        <v>1</v>
      </c>
      <c r="J483">
        <f t="shared" si="94"/>
        <v>4</v>
      </c>
      <c r="K483">
        <f t="shared" si="95"/>
        <v>1</v>
      </c>
    </row>
    <row r="484" spans="2:11">
      <c r="B484" t="str">
        <f t="shared" si="87"/>
        <v>OIL_LIN</v>
      </c>
      <c r="C484">
        <f t="shared" si="88"/>
        <v>2015</v>
      </c>
      <c r="D484" t="str">
        <f t="shared" si="89"/>
        <v>default</v>
      </c>
      <c r="E484" t="str">
        <f t="shared" si="90"/>
        <v>AT0</v>
      </c>
      <c r="F484" s="26">
        <f t="shared" si="91"/>
        <v>970.58312000000001</v>
      </c>
      <c r="H484">
        <f t="shared" si="92"/>
        <v>9</v>
      </c>
      <c r="I484">
        <f t="shared" si="93"/>
        <v>1</v>
      </c>
      <c r="J484">
        <f t="shared" si="94"/>
        <v>4</v>
      </c>
      <c r="K484">
        <f t="shared" si="95"/>
        <v>1</v>
      </c>
    </row>
    <row r="485" spans="2:11">
      <c r="B485" t="str">
        <f t="shared" si="87"/>
        <v>BAL_ELC</v>
      </c>
      <c r="C485">
        <f t="shared" si="88"/>
        <v>2015</v>
      </c>
      <c r="D485" t="str">
        <f t="shared" si="89"/>
        <v>default</v>
      </c>
      <c r="E485" t="str">
        <f t="shared" si="90"/>
        <v>AT0</v>
      </c>
      <c r="F485" s="26">
        <f t="shared" si="91"/>
        <v>396.1445356688493</v>
      </c>
      <c r="H485">
        <f t="shared" si="92"/>
        <v>10</v>
      </c>
      <c r="I485">
        <f t="shared" si="93"/>
        <v>1</v>
      </c>
      <c r="J485">
        <f t="shared" si="94"/>
        <v>4</v>
      </c>
      <c r="K485">
        <f t="shared" si="95"/>
        <v>1</v>
      </c>
    </row>
    <row r="486" spans="2:11">
      <c r="B486" t="str">
        <f t="shared" si="87"/>
        <v>WAS_ELC</v>
      </c>
      <c r="C486">
        <f t="shared" si="88"/>
        <v>2015</v>
      </c>
      <c r="D486" t="str">
        <f t="shared" si="89"/>
        <v>default</v>
      </c>
      <c r="E486" t="str">
        <f t="shared" si="90"/>
        <v>AT0</v>
      </c>
      <c r="F486" s="26">
        <f t="shared" si="91"/>
        <v>237.13802433115077</v>
      </c>
      <c r="H486">
        <f t="shared" si="92"/>
        <v>11</v>
      </c>
      <c r="I486">
        <f t="shared" si="93"/>
        <v>1</v>
      </c>
      <c r="J486">
        <f t="shared" si="94"/>
        <v>4</v>
      </c>
      <c r="K486">
        <f t="shared" si="95"/>
        <v>1</v>
      </c>
    </row>
    <row r="487" spans="2:11">
      <c r="B487" t="str">
        <f t="shared" si="87"/>
        <v>LIG_LIN</v>
      </c>
      <c r="C487">
        <f t="shared" si="88"/>
        <v>2015</v>
      </c>
      <c r="D487" t="str">
        <f t="shared" si="89"/>
        <v>default</v>
      </c>
      <c r="E487" t="str">
        <f t="shared" si="90"/>
        <v>AT0</v>
      </c>
      <c r="F487" s="26">
        <f t="shared" si="91"/>
        <v>0</v>
      </c>
      <c r="H487">
        <f t="shared" si="92"/>
        <v>12</v>
      </c>
      <c r="I487">
        <f t="shared" si="93"/>
        <v>1</v>
      </c>
      <c r="J487">
        <f t="shared" si="94"/>
        <v>4</v>
      </c>
      <c r="K487">
        <f t="shared" si="95"/>
        <v>1</v>
      </c>
    </row>
    <row r="488" spans="2:11">
      <c r="B488" t="str">
        <f t="shared" si="87"/>
        <v>HCO_LIN</v>
      </c>
      <c r="C488">
        <f t="shared" si="88"/>
        <v>2015</v>
      </c>
      <c r="D488" t="str">
        <f t="shared" si="89"/>
        <v>default</v>
      </c>
      <c r="E488" t="str">
        <f t="shared" si="90"/>
        <v>AT0</v>
      </c>
      <c r="F488" s="26">
        <f t="shared" si="91"/>
        <v>872.75400000000002</v>
      </c>
      <c r="H488">
        <f t="shared" si="92"/>
        <v>13</v>
      </c>
      <c r="I488">
        <f t="shared" si="93"/>
        <v>1</v>
      </c>
      <c r="J488">
        <f t="shared" si="94"/>
        <v>4</v>
      </c>
      <c r="K488">
        <f t="shared" si="95"/>
        <v>1</v>
      </c>
    </row>
    <row r="489" spans="2:11">
      <c r="B489" t="str">
        <f t="shared" si="87"/>
        <v>GEO_ELC</v>
      </c>
      <c r="C489">
        <f t="shared" si="88"/>
        <v>2015</v>
      </c>
      <c r="D489" t="str">
        <f t="shared" si="89"/>
        <v>default</v>
      </c>
      <c r="E489" t="str">
        <f t="shared" si="90"/>
        <v>AT0</v>
      </c>
      <c r="F489" s="26">
        <f t="shared" si="91"/>
        <v>0</v>
      </c>
      <c r="H489">
        <f t="shared" si="92"/>
        <v>14</v>
      </c>
      <c r="I489">
        <f t="shared" si="93"/>
        <v>1</v>
      </c>
      <c r="J489">
        <f t="shared" si="94"/>
        <v>4</v>
      </c>
      <c r="K489">
        <f t="shared" si="95"/>
        <v>1</v>
      </c>
    </row>
    <row r="490" spans="2:11">
      <c r="B490" t="str">
        <f t="shared" si="87"/>
        <v>WIN_OFF</v>
      </c>
      <c r="C490">
        <f t="shared" si="88"/>
        <v>2015</v>
      </c>
      <c r="D490" t="str">
        <f t="shared" si="89"/>
        <v>default</v>
      </c>
      <c r="E490" t="str">
        <f t="shared" si="90"/>
        <v>AT0</v>
      </c>
      <c r="F490" s="26">
        <f t="shared" si="91"/>
        <v>0</v>
      </c>
      <c r="H490">
        <f t="shared" si="92"/>
        <v>15</v>
      </c>
      <c r="I490">
        <f t="shared" si="93"/>
        <v>1</v>
      </c>
      <c r="J490">
        <f t="shared" si="94"/>
        <v>4</v>
      </c>
      <c r="K490">
        <f t="shared" si="95"/>
        <v>1</v>
      </c>
    </row>
    <row r="491" spans="2:11">
      <c r="B491" t="str">
        <f t="shared" si="87"/>
        <v>NUC_ELC</v>
      </c>
      <c r="C491">
        <f t="shared" si="88"/>
        <v>2020</v>
      </c>
      <c r="D491" t="str">
        <f t="shared" si="89"/>
        <v>default</v>
      </c>
      <c r="E491" t="str">
        <f t="shared" si="90"/>
        <v>AT0</v>
      </c>
      <c r="F491" s="26">
        <f t="shared" si="91"/>
        <v>0</v>
      </c>
      <c r="H491">
        <f t="shared" si="92"/>
        <v>1</v>
      </c>
      <c r="I491">
        <f t="shared" si="93"/>
        <v>2</v>
      </c>
      <c r="J491">
        <f t="shared" si="94"/>
        <v>4</v>
      </c>
      <c r="K491">
        <f t="shared" si="95"/>
        <v>1</v>
      </c>
    </row>
    <row r="492" spans="2:11">
      <c r="B492" t="str">
        <f t="shared" si="87"/>
        <v>SOL_PHO</v>
      </c>
      <c r="C492">
        <f t="shared" si="88"/>
        <v>2020</v>
      </c>
      <c r="D492" t="str">
        <f t="shared" si="89"/>
        <v>default</v>
      </c>
      <c r="E492" t="str">
        <f t="shared" si="90"/>
        <v>AT0</v>
      </c>
      <c r="F492" s="26">
        <f t="shared" si="91"/>
        <v>1089.65065061156</v>
      </c>
      <c r="H492">
        <f t="shared" si="92"/>
        <v>2</v>
      </c>
      <c r="I492">
        <f t="shared" si="93"/>
        <v>2</v>
      </c>
      <c r="J492">
        <f t="shared" si="94"/>
        <v>4</v>
      </c>
      <c r="K492">
        <f t="shared" si="95"/>
        <v>1</v>
      </c>
    </row>
    <row r="493" spans="2:11">
      <c r="B493" t="str">
        <f t="shared" si="87"/>
        <v>WIN_ONS</v>
      </c>
      <c r="C493">
        <f t="shared" si="88"/>
        <v>2020</v>
      </c>
      <c r="D493" t="str">
        <f t="shared" si="89"/>
        <v>default</v>
      </c>
      <c r="E493" t="str">
        <f t="shared" si="90"/>
        <v>AT0</v>
      </c>
      <c r="F493" s="26">
        <f t="shared" si="91"/>
        <v>2582.7889976764</v>
      </c>
      <c r="H493">
        <f t="shared" si="92"/>
        <v>3</v>
      </c>
      <c r="I493">
        <f t="shared" si="93"/>
        <v>2</v>
      </c>
      <c r="J493">
        <f t="shared" si="94"/>
        <v>4</v>
      </c>
      <c r="K493">
        <f t="shared" si="95"/>
        <v>1</v>
      </c>
    </row>
    <row r="494" spans="2:11">
      <c r="B494" t="str">
        <f t="shared" si="87"/>
        <v>HYD_ROR</v>
      </c>
      <c r="C494">
        <f t="shared" si="88"/>
        <v>2020</v>
      </c>
      <c r="D494" t="str">
        <f t="shared" si="89"/>
        <v>default</v>
      </c>
      <c r="E494" t="str">
        <f t="shared" si="90"/>
        <v>AT0</v>
      </c>
      <c r="F494" s="26">
        <f t="shared" si="91"/>
        <v>5698.2677119202872</v>
      </c>
      <c r="H494">
        <f t="shared" si="92"/>
        <v>4</v>
      </c>
      <c r="I494">
        <f t="shared" si="93"/>
        <v>2</v>
      </c>
      <c r="J494">
        <f t="shared" si="94"/>
        <v>4</v>
      </c>
      <c r="K494">
        <f t="shared" si="95"/>
        <v>1</v>
      </c>
    </row>
    <row r="495" spans="2:11">
      <c r="B495" t="str">
        <f t="shared" si="87"/>
        <v>HYD_RES</v>
      </c>
      <c r="C495">
        <f t="shared" si="88"/>
        <v>2020</v>
      </c>
      <c r="D495" t="str">
        <f t="shared" si="89"/>
        <v>default</v>
      </c>
      <c r="E495" t="str">
        <f t="shared" si="90"/>
        <v>AT0</v>
      </c>
      <c r="F495" s="26">
        <f t="shared" si="91"/>
        <v>4022.2963669400824</v>
      </c>
      <c r="H495">
        <f t="shared" si="92"/>
        <v>5</v>
      </c>
      <c r="I495">
        <f t="shared" si="93"/>
        <v>2</v>
      </c>
      <c r="J495">
        <f t="shared" si="94"/>
        <v>4</v>
      </c>
      <c r="K495">
        <f t="shared" si="95"/>
        <v>1</v>
      </c>
    </row>
    <row r="496" spans="2:11">
      <c r="B496" t="str">
        <f t="shared" si="87"/>
        <v>HYD_STO</v>
      </c>
      <c r="C496">
        <f t="shared" si="88"/>
        <v>2020</v>
      </c>
      <c r="D496" t="str">
        <f t="shared" si="89"/>
        <v>default</v>
      </c>
      <c r="E496" t="str">
        <f t="shared" si="90"/>
        <v>AT0</v>
      </c>
      <c r="F496" s="26">
        <f t="shared" si="91"/>
        <v>4030.4359211396304</v>
      </c>
      <c r="H496">
        <f t="shared" si="92"/>
        <v>6</v>
      </c>
      <c r="I496">
        <f t="shared" si="93"/>
        <v>2</v>
      </c>
      <c r="J496">
        <f t="shared" si="94"/>
        <v>4</v>
      </c>
      <c r="K496">
        <f t="shared" si="95"/>
        <v>1</v>
      </c>
    </row>
    <row r="497" spans="2:11">
      <c r="B497" t="str">
        <f t="shared" si="87"/>
        <v>GAS_LIN</v>
      </c>
      <c r="C497">
        <f t="shared" si="88"/>
        <v>2020</v>
      </c>
      <c r="D497" t="str">
        <f t="shared" si="89"/>
        <v>default</v>
      </c>
      <c r="E497" t="str">
        <f t="shared" si="90"/>
        <v>AT0</v>
      </c>
      <c r="F497" s="26">
        <f t="shared" si="91"/>
        <v>3527.0057198664999</v>
      </c>
      <c r="H497">
        <f t="shared" si="92"/>
        <v>7</v>
      </c>
      <c r="I497">
        <f t="shared" si="93"/>
        <v>2</v>
      </c>
      <c r="J497">
        <f t="shared" si="94"/>
        <v>4</v>
      </c>
      <c r="K497">
        <f t="shared" si="95"/>
        <v>1</v>
      </c>
    </row>
    <row r="498" spans="2:11">
      <c r="B498" t="str">
        <f t="shared" si="87"/>
        <v>GAS_NEW</v>
      </c>
      <c r="C498">
        <f t="shared" si="88"/>
        <v>2020</v>
      </c>
      <c r="D498" t="str">
        <f t="shared" si="89"/>
        <v>default</v>
      </c>
      <c r="E498" t="str">
        <f t="shared" si="90"/>
        <v>AT0</v>
      </c>
      <c r="F498" s="26">
        <f t="shared" si="91"/>
        <v>0</v>
      </c>
      <c r="H498">
        <f t="shared" si="92"/>
        <v>8</v>
      </c>
      <c r="I498">
        <f t="shared" si="93"/>
        <v>2</v>
      </c>
      <c r="J498">
        <f t="shared" si="94"/>
        <v>4</v>
      </c>
      <c r="K498">
        <f t="shared" si="95"/>
        <v>1</v>
      </c>
    </row>
    <row r="499" spans="2:11">
      <c r="B499" t="str">
        <f t="shared" si="87"/>
        <v>OIL_LIN</v>
      </c>
      <c r="C499">
        <f t="shared" si="88"/>
        <v>2020</v>
      </c>
      <c r="D499" t="str">
        <f t="shared" si="89"/>
        <v>default</v>
      </c>
      <c r="E499" t="str">
        <f t="shared" si="90"/>
        <v>AT0</v>
      </c>
      <c r="F499" s="26">
        <f t="shared" si="91"/>
        <v>815.01612</v>
      </c>
      <c r="H499">
        <f t="shared" si="92"/>
        <v>9</v>
      </c>
      <c r="I499">
        <f t="shared" si="93"/>
        <v>2</v>
      </c>
      <c r="J499">
        <f t="shared" si="94"/>
        <v>4</v>
      </c>
      <c r="K499">
        <f t="shared" si="95"/>
        <v>1</v>
      </c>
    </row>
    <row r="500" spans="2:11">
      <c r="B500" t="str">
        <f t="shared" ref="B500:B563" si="96">INDEX(H$100:H$114,H500)</f>
        <v>BAL_ELC</v>
      </c>
      <c r="C500">
        <f t="shared" ref="C500:C563" si="97">INDEX(I$100:I$114,I500)</f>
        <v>2020</v>
      </c>
      <c r="D500" t="str">
        <f t="shared" ref="D500:D563" si="98">INDEX(K$100:K$114,K500)</f>
        <v>default</v>
      </c>
      <c r="E500" t="str">
        <f t="shared" ref="E500:E563" si="99">INDEX(J$100:J$114,J500)</f>
        <v>AT0</v>
      </c>
      <c r="F500" s="26">
        <f t="shared" ref="F500:F563" si="100">INDEX($P$6:$X$84,MATCH(E500&amp;"."&amp;B500,$Z$6:$Z$84,0),MATCH(C500,$P$5:$X$5,0))</f>
        <v>486.35976488291192</v>
      </c>
      <c r="H500">
        <f t="shared" si="92"/>
        <v>10</v>
      </c>
      <c r="I500">
        <f t="shared" si="93"/>
        <v>2</v>
      </c>
      <c r="J500">
        <f t="shared" si="94"/>
        <v>4</v>
      </c>
      <c r="K500">
        <f t="shared" si="95"/>
        <v>1</v>
      </c>
    </row>
    <row r="501" spans="2:11">
      <c r="B501" t="str">
        <f t="shared" si="96"/>
        <v>WAS_ELC</v>
      </c>
      <c r="C501">
        <f t="shared" si="97"/>
        <v>2020</v>
      </c>
      <c r="D501" t="str">
        <f t="shared" si="98"/>
        <v>default</v>
      </c>
      <c r="E501" t="str">
        <f t="shared" si="99"/>
        <v>AT0</v>
      </c>
      <c r="F501" s="26">
        <f t="shared" si="100"/>
        <v>291.1422053664491</v>
      </c>
      <c r="H501">
        <f t="shared" ref="H501:H564" si="101">IF(H500=$H$99,1,H500+1)</f>
        <v>11</v>
      </c>
      <c r="I501">
        <f t="shared" ref="I501:I564" si="102">IF(H501=1,IF(I500=$I$99,1,I500+1),I500)</f>
        <v>2</v>
      </c>
      <c r="J501">
        <f t="shared" ref="J501:J564" si="103">IF(AND(I501=1,I500&gt;1),IF(J500=$J$99,1,J500+1),J500)</f>
        <v>4</v>
      </c>
      <c r="K501">
        <f t="shared" ref="K501:K564" si="104">IF(AND(J501=1,J500&gt;1),IF(K500=$K$99,1,K500+1),K500)</f>
        <v>1</v>
      </c>
    </row>
    <row r="502" spans="2:11">
      <c r="B502" t="str">
        <f t="shared" si="96"/>
        <v>LIG_LIN</v>
      </c>
      <c r="C502">
        <f t="shared" si="97"/>
        <v>2020</v>
      </c>
      <c r="D502" t="str">
        <f t="shared" si="98"/>
        <v>default</v>
      </c>
      <c r="E502" t="str">
        <f t="shared" si="99"/>
        <v>AT0</v>
      </c>
      <c r="F502" s="26">
        <f t="shared" si="100"/>
        <v>0</v>
      </c>
      <c r="H502">
        <f t="shared" si="101"/>
        <v>12</v>
      </c>
      <c r="I502">
        <f t="shared" si="102"/>
        <v>2</v>
      </c>
      <c r="J502">
        <f t="shared" si="103"/>
        <v>4</v>
      </c>
      <c r="K502">
        <f t="shared" si="104"/>
        <v>1</v>
      </c>
    </row>
    <row r="503" spans="2:11">
      <c r="B503" t="str">
        <f t="shared" si="96"/>
        <v>HCO_LIN</v>
      </c>
      <c r="C503">
        <f t="shared" si="97"/>
        <v>2020</v>
      </c>
      <c r="D503" t="str">
        <f t="shared" si="98"/>
        <v>default</v>
      </c>
      <c r="E503" t="str">
        <f t="shared" si="99"/>
        <v>AT0</v>
      </c>
      <c r="F503" s="26">
        <f t="shared" si="100"/>
        <v>804.16070107564599</v>
      </c>
      <c r="H503">
        <f t="shared" si="101"/>
        <v>13</v>
      </c>
      <c r="I503">
        <f t="shared" si="102"/>
        <v>2</v>
      </c>
      <c r="J503">
        <f t="shared" si="103"/>
        <v>4</v>
      </c>
      <c r="K503">
        <f t="shared" si="104"/>
        <v>1</v>
      </c>
    </row>
    <row r="504" spans="2:11">
      <c r="B504" t="str">
        <f t="shared" si="96"/>
        <v>GEO_ELC</v>
      </c>
      <c r="C504">
        <f t="shared" si="97"/>
        <v>2020</v>
      </c>
      <c r="D504" t="str">
        <f t="shared" si="98"/>
        <v>default</v>
      </c>
      <c r="E504" t="str">
        <f t="shared" si="99"/>
        <v>AT0</v>
      </c>
      <c r="F504" s="26">
        <f t="shared" si="100"/>
        <v>0</v>
      </c>
      <c r="H504">
        <f t="shared" si="101"/>
        <v>14</v>
      </c>
      <c r="I504">
        <f t="shared" si="102"/>
        <v>2</v>
      </c>
      <c r="J504">
        <f t="shared" si="103"/>
        <v>4</v>
      </c>
      <c r="K504">
        <f t="shared" si="104"/>
        <v>1</v>
      </c>
    </row>
    <row r="505" spans="2:11">
      <c r="B505" t="str">
        <f t="shared" si="96"/>
        <v>WIN_OFF</v>
      </c>
      <c r="C505">
        <f t="shared" si="97"/>
        <v>2020</v>
      </c>
      <c r="D505" t="str">
        <f t="shared" si="98"/>
        <v>default</v>
      </c>
      <c r="E505" t="str">
        <f t="shared" si="99"/>
        <v>AT0</v>
      </c>
      <c r="F505" s="26">
        <f t="shared" si="100"/>
        <v>0</v>
      </c>
      <c r="H505">
        <f t="shared" si="101"/>
        <v>15</v>
      </c>
      <c r="I505">
        <f t="shared" si="102"/>
        <v>2</v>
      </c>
      <c r="J505">
        <f t="shared" si="103"/>
        <v>4</v>
      </c>
      <c r="K505">
        <f t="shared" si="104"/>
        <v>1</v>
      </c>
    </row>
    <row r="506" spans="2:11">
      <c r="B506" t="str">
        <f t="shared" si="96"/>
        <v>NUC_ELC</v>
      </c>
      <c r="C506">
        <f t="shared" si="97"/>
        <v>2025</v>
      </c>
      <c r="D506" t="str">
        <f t="shared" si="98"/>
        <v>default</v>
      </c>
      <c r="E506" t="str">
        <f t="shared" si="99"/>
        <v>AT0</v>
      </c>
      <c r="F506" s="26">
        <f t="shared" si="100"/>
        <v>0</v>
      </c>
      <c r="H506">
        <f t="shared" si="101"/>
        <v>1</v>
      </c>
      <c r="I506">
        <f t="shared" si="102"/>
        <v>3</v>
      </c>
      <c r="J506">
        <f t="shared" si="103"/>
        <v>4</v>
      </c>
      <c r="K506">
        <f t="shared" si="104"/>
        <v>1</v>
      </c>
    </row>
    <row r="507" spans="2:11">
      <c r="B507" t="str">
        <f t="shared" si="96"/>
        <v>SOL_PHO</v>
      </c>
      <c r="C507">
        <f t="shared" si="97"/>
        <v>2025</v>
      </c>
      <c r="D507" t="str">
        <f t="shared" si="98"/>
        <v>default</v>
      </c>
      <c r="E507" t="str">
        <f t="shared" si="99"/>
        <v>AT0</v>
      </c>
      <c r="F507" s="26">
        <f t="shared" si="100"/>
        <v>2692.0255474526298</v>
      </c>
      <c r="H507">
        <f t="shared" si="101"/>
        <v>2</v>
      </c>
      <c r="I507">
        <f t="shared" si="102"/>
        <v>3</v>
      </c>
      <c r="J507">
        <f t="shared" si="103"/>
        <v>4</v>
      </c>
      <c r="K507">
        <f t="shared" si="104"/>
        <v>1</v>
      </c>
    </row>
    <row r="508" spans="2:11">
      <c r="B508" t="str">
        <f t="shared" si="96"/>
        <v>WIN_ONS</v>
      </c>
      <c r="C508">
        <f t="shared" si="97"/>
        <v>2025</v>
      </c>
      <c r="D508" t="str">
        <f t="shared" si="98"/>
        <v>default</v>
      </c>
      <c r="E508" t="str">
        <f t="shared" si="99"/>
        <v>AT0</v>
      </c>
      <c r="F508" s="26">
        <f t="shared" si="100"/>
        <v>3663.84</v>
      </c>
      <c r="H508">
        <f t="shared" si="101"/>
        <v>3</v>
      </c>
      <c r="I508">
        <f t="shared" si="102"/>
        <v>3</v>
      </c>
      <c r="J508">
        <f t="shared" si="103"/>
        <v>4</v>
      </c>
      <c r="K508">
        <f t="shared" si="104"/>
        <v>1</v>
      </c>
    </row>
    <row r="509" spans="2:11">
      <c r="B509" t="str">
        <f t="shared" si="96"/>
        <v>HYD_ROR</v>
      </c>
      <c r="C509">
        <f t="shared" si="97"/>
        <v>2025</v>
      </c>
      <c r="D509" t="str">
        <f t="shared" si="98"/>
        <v>default</v>
      </c>
      <c r="E509" t="str">
        <f t="shared" si="99"/>
        <v>AT0</v>
      </c>
      <c r="F509" s="26">
        <f t="shared" si="100"/>
        <v>5698.2677119202872</v>
      </c>
      <c r="H509">
        <f t="shared" si="101"/>
        <v>4</v>
      </c>
      <c r="I509">
        <f t="shared" si="102"/>
        <v>3</v>
      </c>
      <c r="J509">
        <f t="shared" si="103"/>
        <v>4</v>
      </c>
      <c r="K509">
        <f t="shared" si="104"/>
        <v>1</v>
      </c>
    </row>
    <row r="510" spans="2:11">
      <c r="B510" t="str">
        <f t="shared" si="96"/>
        <v>HYD_RES</v>
      </c>
      <c r="C510">
        <f t="shared" si="97"/>
        <v>2025</v>
      </c>
      <c r="D510" t="str">
        <f t="shared" si="98"/>
        <v>default</v>
      </c>
      <c r="E510" t="str">
        <f t="shared" si="99"/>
        <v>AT0</v>
      </c>
      <c r="F510" s="26">
        <f t="shared" si="100"/>
        <v>4022.2963669400824</v>
      </c>
      <c r="H510">
        <f t="shared" si="101"/>
        <v>5</v>
      </c>
      <c r="I510">
        <f t="shared" si="102"/>
        <v>3</v>
      </c>
      <c r="J510">
        <f t="shared" si="103"/>
        <v>4</v>
      </c>
      <c r="K510">
        <f t="shared" si="104"/>
        <v>1</v>
      </c>
    </row>
    <row r="511" spans="2:11">
      <c r="B511" t="str">
        <f t="shared" si="96"/>
        <v>HYD_STO</v>
      </c>
      <c r="C511">
        <f t="shared" si="97"/>
        <v>2025</v>
      </c>
      <c r="D511" t="str">
        <f t="shared" si="98"/>
        <v>default</v>
      </c>
      <c r="E511" t="str">
        <f t="shared" si="99"/>
        <v>AT0</v>
      </c>
      <c r="F511" s="26">
        <f t="shared" si="100"/>
        <v>4030.4359211396304</v>
      </c>
      <c r="H511">
        <f t="shared" si="101"/>
        <v>6</v>
      </c>
      <c r="I511">
        <f t="shared" si="102"/>
        <v>3</v>
      </c>
      <c r="J511">
        <f t="shared" si="103"/>
        <v>4</v>
      </c>
      <c r="K511">
        <f t="shared" si="104"/>
        <v>1</v>
      </c>
    </row>
    <row r="512" spans="2:11">
      <c r="B512" t="str">
        <f t="shared" si="96"/>
        <v>GAS_LIN</v>
      </c>
      <c r="C512">
        <f t="shared" si="97"/>
        <v>2025</v>
      </c>
      <c r="D512" t="str">
        <f t="shared" si="98"/>
        <v>default</v>
      </c>
      <c r="E512" t="str">
        <f t="shared" si="99"/>
        <v>AT0</v>
      </c>
      <c r="F512" s="26">
        <f t="shared" si="100"/>
        <v>3194.6868892017701</v>
      </c>
      <c r="H512">
        <f t="shared" si="101"/>
        <v>7</v>
      </c>
      <c r="I512">
        <f t="shared" si="102"/>
        <v>3</v>
      </c>
      <c r="J512">
        <f t="shared" si="103"/>
        <v>4</v>
      </c>
      <c r="K512">
        <f t="shared" si="104"/>
        <v>1</v>
      </c>
    </row>
    <row r="513" spans="2:11">
      <c r="B513" t="str">
        <f t="shared" si="96"/>
        <v>GAS_NEW</v>
      </c>
      <c r="C513">
        <f t="shared" si="97"/>
        <v>2025</v>
      </c>
      <c r="D513" t="str">
        <f t="shared" si="98"/>
        <v>default</v>
      </c>
      <c r="E513" t="str">
        <f t="shared" si="99"/>
        <v>AT0</v>
      </c>
      <c r="F513" s="26">
        <f t="shared" si="100"/>
        <v>0</v>
      </c>
      <c r="H513">
        <f t="shared" si="101"/>
        <v>8</v>
      </c>
      <c r="I513">
        <f t="shared" si="102"/>
        <v>3</v>
      </c>
      <c r="J513">
        <f t="shared" si="103"/>
        <v>4</v>
      </c>
      <c r="K513">
        <f t="shared" si="104"/>
        <v>1</v>
      </c>
    </row>
    <row r="514" spans="2:11">
      <c r="B514" t="str">
        <f t="shared" si="96"/>
        <v>OIL_LIN</v>
      </c>
      <c r="C514">
        <f t="shared" si="97"/>
        <v>2025</v>
      </c>
      <c r="D514" t="str">
        <f t="shared" si="98"/>
        <v>default</v>
      </c>
      <c r="E514" t="str">
        <f t="shared" si="99"/>
        <v>AT0</v>
      </c>
      <c r="F514" s="26">
        <f t="shared" si="100"/>
        <v>482.888652858483</v>
      </c>
      <c r="H514">
        <f t="shared" si="101"/>
        <v>9</v>
      </c>
      <c r="I514">
        <f t="shared" si="102"/>
        <v>3</v>
      </c>
      <c r="J514">
        <f t="shared" si="103"/>
        <v>4</v>
      </c>
      <c r="K514">
        <f t="shared" si="104"/>
        <v>1</v>
      </c>
    </row>
    <row r="515" spans="2:11">
      <c r="B515" t="str">
        <f t="shared" si="96"/>
        <v>BAL_ELC</v>
      </c>
      <c r="C515">
        <f t="shared" si="97"/>
        <v>2025</v>
      </c>
      <c r="D515" t="str">
        <f t="shared" si="98"/>
        <v>default</v>
      </c>
      <c r="E515" t="str">
        <f t="shared" si="99"/>
        <v>AT0</v>
      </c>
      <c r="F515" s="26">
        <f t="shared" si="100"/>
        <v>478.17033788343144</v>
      </c>
      <c r="H515">
        <f t="shared" si="101"/>
        <v>10</v>
      </c>
      <c r="I515">
        <f t="shared" si="102"/>
        <v>3</v>
      </c>
      <c r="J515">
        <f t="shared" si="103"/>
        <v>4</v>
      </c>
      <c r="K515">
        <f t="shared" si="104"/>
        <v>1</v>
      </c>
    </row>
    <row r="516" spans="2:11">
      <c r="B516" t="str">
        <f t="shared" si="96"/>
        <v>WAS_ELC</v>
      </c>
      <c r="C516">
        <f t="shared" si="97"/>
        <v>2025</v>
      </c>
      <c r="D516" t="str">
        <f t="shared" si="98"/>
        <v>default</v>
      </c>
      <c r="E516" t="str">
        <f t="shared" si="99"/>
        <v>AT0</v>
      </c>
      <c r="F516" s="26">
        <f t="shared" si="100"/>
        <v>286.23989228573964</v>
      </c>
      <c r="H516">
        <f t="shared" si="101"/>
        <v>11</v>
      </c>
      <c r="I516">
        <f t="shared" si="102"/>
        <v>3</v>
      </c>
      <c r="J516">
        <f t="shared" si="103"/>
        <v>4</v>
      </c>
      <c r="K516">
        <f t="shared" si="104"/>
        <v>1</v>
      </c>
    </row>
    <row r="517" spans="2:11">
      <c r="B517" t="str">
        <f t="shared" si="96"/>
        <v>LIG_LIN</v>
      </c>
      <c r="C517">
        <f t="shared" si="97"/>
        <v>2025</v>
      </c>
      <c r="D517" t="str">
        <f t="shared" si="98"/>
        <v>default</v>
      </c>
      <c r="E517" t="str">
        <f t="shared" si="99"/>
        <v>AT0</v>
      </c>
      <c r="F517" s="26">
        <f t="shared" si="100"/>
        <v>0</v>
      </c>
      <c r="H517">
        <f t="shared" si="101"/>
        <v>12</v>
      </c>
      <c r="I517">
        <f t="shared" si="102"/>
        <v>3</v>
      </c>
      <c r="J517">
        <f t="shared" si="103"/>
        <v>4</v>
      </c>
      <c r="K517">
        <f t="shared" si="104"/>
        <v>1</v>
      </c>
    </row>
    <row r="518" spans="2:11">
      <c r="B518" t="str">
        <f t="shared" si="96"/>
        <v>HCO_LIN</v>
      </c>
      <c r="C518">
        <f t="shared" si="97"/>
        <v>2025</v>
      </c>
      <c r="D518" t="str">
        <f t="shared" si="98"/>
        <v>default</v>
      </c>
      <c r="E518" t="str">
        <f t="shared" si="99"/>
        <v>AT0</v>
      </c>
      <c r="F518" s="26">
        <f t="shared" si="100"/>
        <v>778.21670107564603</v>
      </c>
      <c r="H518">
        <f t="shared" si="101"/>
        <v>13</v>
      </c>
      <c r="I518">
        <f t="shared" si="102"/>
        <v>3</v>
      </c>
      <c r="J518">
        <f t="shared" si="103"/>
        <v>4</v>
      </c>
      <c r="K518">
        <f t="shared" si="104"/>
        <v>1</v>
      </c>
    </row>
    <row r="519" spans="2:11">
      <c r="B519" t="str">
        <f t="shared" si="96"/>
        <v>GEO_ELC</v>
      </c>
      <c r="C519">
        <f t="shared" si="97"/>
        <v>2025</v>
      </c>
      <c r="D519" t="str">
        <f t="shared" si="98"/>
        <v>default</v>
      </c>
      <c r="E519" t="str">
        <f t="shared" si="99"/>
        <v>AT0</v>
      </c>
      <c r="F519" s="26">
        <f t="shared" si="100"/>
        <v>0</v>
      </c>
      <c r="H519">
        <f t="shared" si="101"/>
        <v>14</v>
      </c>
      <c r="I519">
        <f t="shared" si="102"/>
        <v>3</v>
      </c>
      <c r="J519">
        <f t="shared" si="103"/>
        <v>4</v>
      </c>
      <c r="K519">
        <f t="shared" si="104"/>
        <v>1</v>
      </c>
    </row>
    <row r="520" spans="2:11">
      <c r="B520" t="str">
        <f t="shared" si="96"/>
        <v>WIN_OFF</v>
      </c>
      <c r="C520">
        <f t="shared" si="97"/>
        <v>2025</v>
      </c>
      <c r="D520" t="str">
        <f t="shared" si="98"/>
        <v>default</v>
      </c>
      <c r="E520" t="str">
        <f t="shared" si="99"/>
        <v>AT0</v>
      </c>
      <c r="F520" s="26">
        <f t="shared" si="100"/>
        <v>0</v>
      </c>
      <c r="H520">
        <f t="shared" si="101"/>
        <v>15</v>
      </c>
      <c r="I520">
        <f t="shared" si="102"/>
        <v>3</v>
      </c>
      <c r="J520">
        <f t="shared" si="103"/>
        <v>4</v>
      </c>
      <c r="K520">
        <f t="shared" si="104"/>
        <v>1</v>
      </c>
    </row>
    <row r="521" spans="2:11">
      <c r="B521" t="str">
        <f t="shared" si="96"/>
        <v>NUC_ELC</v>
      </c>
      <c r="C521">
        <f t="shared" si="97"/>
        <v>2030</v>
      </c>
      <c r="D521" t="str">
        <f t="shared" si="98"/>
        <v>default</v>
      </c>
      <c r="E521" t="str">
        <f t="shared" si="99"/>
        <v>AT0</v>
      </c>
      <c r="F521" s="26">
        <f t="shared" si="100"/>
        <v>0</v>
      </c>
      <c r="H521">
        <f t="shared" si="101"/>
        <v>1</v>
      </c>
      <c r="I521">
        <f t="shared" si="102"/>
        <v>4</v>
      </c>
      <c r="J521">
        <f t="shared" si="103"/>
        <v>4</v>
      </c>
      <c r="K521">
        <f t="shared" si="104"/>
        <v>1</v>
      </c>
    </row>
    <row r="522" spans="2:11">
      <c r="B522" t="str">
        <f t="shared" si="96"/>
        <v>SOL_PHO</v>
      </c>
      <c r="C522">
        <f t="shared" si="97"/>
        <v>2030</v>
      </c>
      <c r="D522" t="str">
        <f t="shared" si="98"/>
        <v>default</v>
      </c>
      <c r="E522" t="str">
        <f t="shared" si="99"/>
        <v>AT0</v>
      </c>
      <c r="F522" s="26">
        <f t="shared" si="100"/>
        <v>2821.0255474526298</v>
      </c>
      <c r="H522">
        <f t="shared" si="101"/>
        <v>2</v>
      </c>
      <c r="I522">
        <f t="shared" si="102"/>
        <v>4</v>
      </c>
      <c r="J522">
        <f t="shared" si="103"/>
        <v>4</v>
      </c>
      <c r="K522">
        <f t="shared" si="104"/>
        <v>1</v>
      </c>
    </row>
    <row r="523" spans="2:11">
      <c r="B523" t="str">
        <f t="shared" si="96"/>
        <v>WIN_ONS</v>
      </c>
      <c r="C523">
        <f t="shared" si="97"/>
        <v>2030</v>
      </c>
      <c r="D523" t="str">
        <f t="shared" si="98"/>
        <v>default</v>
      </c>
      <c r="E523" t="str">
        <f t="shared" si="99"/>
        <v>AT0</v>
      </c>
      <c r="F523" s="26">
        <f t="shared" si="100"/>
        <v>4544.5888077801101</v>
      </c>
      <c r="H523">
        <f t="shared" si="101"/>
        <v>3</v>
      </c>
      <c r="I523">
        <f t="shared" si="102"/>
        <v>4</v>
      </c>
      <c r="J523">
        <f t="shared" si="103"/>
        <v>4</v>
      </c>
      <c r="K523">
        <f t="shared" si="104"/>
        <v>1</v>
      </c>
    </row>
    <row r="524" spans="2:11">
      <c r="B524" t="str">
        <f t="shared" si="96"/>
        <v>HYD_ROR</v>
      </c>
      <c r="C524">
        <f t="shared" si="97"/>
        <v>2030</v>
      </c>
      <c r="D524" t="str">
        <f t="shared" si="98"/>
        <v>default</v>
      </c>
      <c r="E524" t="str">
        <f t="shared" si="99"/>
        <v>AT0</v>
      </c>
      <c r="F524" s="26">
        <f t="shared" si="100"/>
        <v>5700.1679848773992</v>
      </c>
      <c r="H524">
        <f t="shared" si="101"/>
        <v>4</v>
      </c>
      <c r="I524">
        <f t="shared" si="102"/>
        <v>4</v>
      </c>
      <c r="J524">
        <f t="shared" si="103"/>
        <v>4</v>
      </c>
      <c r="K524">
        <f t="shared" si="104"/>
        <v>1</v>
      </c>
    </row>
    <row r="525" spans="2:11">
      <c r="B525" t="str">
        <f t="shared" si="96"/>
        <v>HYD_RES</v>
      </c>
      <c r="C525">
        <f t="shared" si="97"/>
        <v>2030</v>
      </c>
      <c r="D525" t="str">
        <f t="shared" si="98"/>
        <v>default</v>
      </c>
      <c r="E525" t="str">
        <f t="shared" si="99"/>
        <v>AT0</v>
      </c>
      <c r="F525" s="26">
        <f t="shared" si="100"/>
        <v>4023.6377326670031</v>
      </c>
      <c r="H525">
        <f t="shared" si="101"/>
        <v>5</v>
      </c>
      <c r="I525">
        <f t="shared" si="102"/>
        <v>4</v>
      </c>
      <c r="J525">
        <f t="shared" si="103"/>
        <v>4</v>
      </c>
      <c r="K525">
        <f t="shared" si="104"/>
        <v>1</v>
      </c>
    </row>
    <row r="526" spans="2:11">
      <c r="B526" t="str">
        <f t="shared" si="96"/>
        <v>HYD_STO</v>
      </c>
      <c r="C526">
        <f t="shared" si="97"/>
        <v>2030</v>
      </c>
      <c r="D526" t="str">
        <f t="shared" si="98"/>
        <v>default</v>
      </c>
      <c r="E526" t="str">
        <f t="shared" si="99"/>
        <v>AT0</v>
      </c>
      <c r="F526" s="26">
        <f t="shared" si="100"/>
        <v>4031.7800012659977</v>
      </c>
      <c r="H526">
        <f t="shared" si="101"/>
        <v>6</v>
      </c>
      <c r="I526">
        <f t="shared" si="102"/>
        <v>4</v>
      </c>
      <c r="J526">
        <f t="shared" si="103"/>
        <v>4</v>
      </c>
      <c r="K526">
        <f t="shared" si="104"/>
        <v>1</v>
      </c>
    </row>
    <row r="527" spans="2:11">
      <c r="B527" t="str">
        <f t="shared" si="96"/>
        <v>GAS_LIN</v>
      </c>
      <c r="C527">
        <f t="shared" si="97"/>
        <v>2030</v>
      </c>
      <c r="D527" t="str">
        <f t="shared" si="98"/>
        <v>default</v>
      </c>
      <c r="E527" t="str">
        <f t="shared" si="99"/>
        <v>AT0</v>
      </c>
      <c r="F527" s="26">
        <f t="shared" si="100"/>
        <v>2902.3660922104</v>
      </c>
      <c r="H527">
        <f t="shared" si="101"/>
        <v>7</v>
      </c>
      <c r="I527">
        <f t="shared" si="102"/>
        <v>4</v>
      </c>
      <c r="J527">
        <f t="shared" si="103"/>
        <v>4</v>
      </c>
      <c r="K527">
        <f t="shared" si="104"/>
        <v>1</v>
      </c>
    </row>
    <row r="528" spans="2:11">
      <c r="B528" t="str">
        <f t="shared" si="96"/>
        <v>GAS_NEW</v>
      </c>
      <c r="C528">
        <f t="shared" si="97"/>
        <v>2030</v>
      </c>
      <c r="D528" t="str">
        <f t="shared" si="98"/>
        <v>default</v>
      </c>
      <c r="E528" t="str">
        <f t="shared" si="99"/>
        <v>AT0</v>
      </c>
      <c r="F528" s="26">
        <f t="shared" si="100"/>
        <v>0</v>
      </c>
      <c r="H528">
        <f t="shared" si="101"/>
        <v>8</v>
      </c>
      <c r="I528">
        <f t="shared" si="102"/>
        <v>4</v>
      </c>
      <c r="J528">
        <f t="shared" si="103"/>
        <v>4</v>
      </c>
      <c r="K528">
        <f t="shared" si="104"/>
        <v>1</v>
      </c>
    </row>
    <row r="529" spans="2:11">
      <c r="B529" t="str">
        <f t="shared" si="96"/>
        <v>OIL_LIN</v>
      </c>
      <c r="C529">
        <f t="shared" si="97"/>
        <v>2030</v>
      </c>
      <c r="D529" t="str">
        <f t="shared" si="98"/>
        <v>default</v>
      </c>
      <c r="E529" t="str">
        <f t="shared" si="99"/>
        <v>AT0</v>
      </c>
      <c r="F529" s="26">
        <f t="shared" si="100"/>
        <v>422.957882858483</v>
      </c>
      <c r="H529">
        <f t="shared" si="101"/>
        <v>9</v>
      </c>
      <c r="I529">
        <f t="shared" si="102"/>
        <v>4</v>
      </c>
      <c r="J529">
        <f t="shared" si="103"/>
        <v>4</v>
      </c>
      <c r="K529">
        <f t="shared" si="104"/>
        <v>1</v>
      </c>
    </row>
    <row r="530" spans="2:11">
      <c r="B530" t="str">
        <f t="shared" si="96"/>
        <v>BAL_ELC</v>
      </c>
      <c r="C530">
        <f t="shared" si="97"/>
        <v>2030</v>
      </c>
      <c r="D530" t="str">
        <f t="shared" si="98"/>
        <v>default</v>
      </c>
      <c r="E530" t="str">
        <f t="shared" si="99"/>
        <v>AT0</v>
      </c>
      <c r="F530" s="26">
        <f t="shared" si="100"/>
        <v>508.69259006292907</v>
      </c>
      <c r="H530">
        <f t="shared" si="101"/>
        <v>10</v>
      </c>
      <c r="I530">
        <f t="shared" si="102"/>
        <v>4</v>
      </c>
      <c r="J530">
        <f t="shared" si="103"/>
        <v>4</v>
      </c>
      <c r="K530">
        <f t="shared" si="104"/>
        <v>1</v>
      </c>
    </row>
    <row r="531" spans="2:11">
      <c r="B531" t="str">
        <f t="shared" si="96"/>
        <v>WAS_ELC</v>
      </c>
      <c r="C531">
        <f t="shared" si="97"/>
        <v>2030</v>
      </c>
      <c r="D531" t="str">
        <f t="shared" si="98"/>
        <v>default</v>
      </c>
      <c r="E531" t="str">
        <f t="shared" si="99"/>
        <v>AT0</v>
      </c>
      <c r="F531" s="26">
        <f t="shared" si="100"/>
        <v>304.51096743199309</v>
      </c>
      <c r="H531">
        <f t="shared" si="101"/>
        <v>11</v>
      </c>
      <c r="I531">
        <f t="shared" si="102"/>
        <v>4</v>
      </c>
      <c r="J531">
        <f t="shared" si="103"/>
        <v>4</v>
      </c>
      <c r="K531">
        <f t="shared" si="104"/>
        <v>1</v>
      </c>
    </row>
    <row r="532" spans="2:11">
      <c r="B532" t="str">
        <f t="shared" si="96"/>
        <v>LIG_LIN</v>
      </c>
      <c r="C532">
        <f t="shared" si="97"/>
        <v>2030</v>
      </c>
      <c r="D532" t="str">
        <f t="shared" si="98"/>
        <v>default</v>
      </c>
      <c r="E532" t="str">
        <f t="shared" si="99"/>
        <v>AT0</v>
      </c>
      <c r="F532" s="26">
        <f t="shared" si="100"/>
        <v>0</v>
      </c>
      <c r="H532">
        <f t="shared" si="101"/>
        <v>12</v>
      </c>
      <c r="I532">
        <f t="shared" si="102"/>
        <v>4</v>
      </c>
      <c r="J532">
        <f t="shared" si="103"/>
        <v>4</v>
      </c>
      <c r="K532">
        <f t="shared" si="104"/>
        <v>1</v>
      </c>
    </row>
    <row r="533" spans="2:11">
      <c r="B533" t="str">
        <f t="shared" si="96"/>
        <v>HCO_LIN</v>
      </c>
      <c r="C533">
        <f t="shared" si="97"/>
        <v>2030</v>
      </c>
      <c r="D533" t="str">
        <f t="shared" si="98"/>
        <v>default</v>
      </c>
      <c r="E533" t="str">
        <f t="shared" si="99"/>
        <v>AT0</v>
      </c>
      <c r="F533" s="26">
        <f t="shared" si="100"/>
        <v>778.21670107564603</v>
      </c>
      <c r="H533">
        <f t="shared" si="101"/>
        <v>13</v>
      </c>
      <c r="I533">
        <f t="shared" si="102"/>
        <v>4</v>
      </c>
      <c r="J533">
        <f t="shared" si="103"/>
        <v>4</v>
      </c>
      <c r="K533">
        <f t="shared" si="104"/>
        <v>1</v>
      </c>
    </row>
    <row r="534" spans="2:11">
      <c r="B534" t="str">
        <f t="shared" si="96"/>
        <v>GEO_ELC</v>
      </c>
      <c r="C534">
        <f t="shared" si="97"/>
        <v>2030</v>
      </c>
      <c r="D534" t="str">
        <f t="shared" si="98"/>
        <v>default</v>
      </c>
      <c r="E534" t="str">
        <f t="shared" si="99"/>
        <v>AT0</v>
      </c>
      <c r="F534" s="26">
        <f t="shared" si="100"/>
        <v>0</v>
      </c>
      <c r="H534">
        <f t="shared" si="101"/>
        <v>14</v>
      </c>
      <c r="I534">
        <f t="shared" si="102"/>
        <v>4</v>
      </c>
      <c r="J534">
        <f t="shared" si="103"/>
        <v>4</v>
      </c>
      <c r="K534">
        <f t="shared" si="104"/>
        <v>1</v>
      </c>
    </row>
    <row r="535" spans="2:11">
      <c r="B535" t="str">
        <f t="shared" si="96"/>
        <v>WIN_OFF</v>
      </c>
      <c r="C535">
        <f t="shared" si="97"/>
        <v>2030</v>
      </c>
      <c r="D535" t="str">
        <f t="shared" si="98"/>
        <v>default</v>
      </c>
      <c r="E535" t="str">
        <f t="shared" si="99"/>
        <v>AT0</v>
      </c>
      <c r="F535" s="26">
        <f t="shared" si="100"/>
        <v>0</v>
      </c>
      <c r="H535">
        <f t="shared" si="101"/>
        <v>15</v>
      </c>
      <c r="I535">
        <f t="shared" si="102"/>
        <v>4</v>
      </c>
      <c r="J535">
        <f t="shared" si="103"/>
        <v>4</v>
      </c>
      <c r="K535">
        <f t="shared" si="104"/>
        <v>1</v>
      </c>
    </row>
    <row r="536" spans="2:11">
      <c r="B536" t="str">
        <f t="shared" si="96"/>
        <v>NUC_ELC</v>
      </c>
      <c r="C536">
        <f t="shared" si="97"/>
        <v>2035</v>
      </c>
      <c r="D536" t="str">
        <f t="shared" si="98"/>
        <v>default</v>
      </c>
      <c r="E536" t="str">
        <f t="shared" si="99"/>
        <v>AT0</v>
      </c>
      <c r="F536" s="26">
        <f t="shared" si="100"/>
        <v>0</v>
      </c>
      <c r="H536">
        <f t="shared" si="101"/>
        <v>1</v>
      </c>
      <c r="I536">
        <f t="shared" si="102"/>
        <v>5</v>
      </c>
      <c r="J536">
        <f t="shared" si="103"/>
        <v>4</v>
      </c>
      <c r="K536">
        <f t="shared" si="104"/>
        <v>1</v>
      </c>
    </row>
    <row r="537" spans="2:11">
      <c r="B537" t="str">
        <f t="shared" si="96"/>
        <v>SOL_PHO</v>
      </c>
      <c r="C537">
        <f t="shared" si="97"/>
        <v>2035</v>
      </c>
      <c r="D537" t="str">
        <f t="shared" si="98"/>
        <v>default</v>
      </c>
      <c r="E537" t="str">
        <f t="shared" si="99"/>
        <v>AT0</v>
      </c>
      <c r="F537" s="26">
        <f t="shared" si="100"/>
        <v>2888.0255474526298</v>
      </c>
      <c r="H537">
        <f t="shared" si="101"/>
        <v>2</v>
      </c>
      <c r="I537">
        <f t="shared" si="102"/>
        <v>5</v>
      </c>
      <c r="J537">
        <f t="shared" si="103"/>
        <v>4</v>
      </c>
      <c r="K537">
        <f t="shared" si="104"/>
        <v>1</v>
      </c>
    </row>
    <row r="538" spans="2:11">
      <c r="B538" t="str">
        <f t="shared" si="96"/>
        <v>WIN_ONS</v>
      </c>
      <c r="C538">
        <f t="shared" si="97"/>
        <v>2035</v>
      </c>
      <c r="D538" t="str">
        <f t="shared" si="98"/>
        <v>default</v>
      </c>
      <c r="E538" t="str">
        <f t="shared" si="99"/>
        <v>AT0</v>
      </c>
      <c r="F538" s="26">
        <f t="shared" si="100"/>
        <v>4544.5888077801101</v>
      </c>
      <c r="H538">
        <f t="shared" si="101"/>
        <v>3</v>
      </c>
      <c r="I538">
        <f t="shared" si="102"/>
        <v>5</v>
      </c>
      <c r="J538">
        <f t="shared" si="103"/>
        <v>4</v>
      </c>
      <c r="K538">
        <f t="shared" si="104"/>
        <v>1</v>
      </c>
    </row>
    <row r="539" spans="2:11">
      <c r="B539" t="str">
        <f t="shared" si="96"/>
        <v>HYD_ROR</v>
      </c>
      <c r="C539">
        <f t="shared" si="97"/>
        <v>2035</v>
      </c>
      <c r="D539" t="str">
        <f t="shared" si="98"/>
        <v>default</v>
      </c>
      <c r="E539" t="str">
        <f t="shared" si="99"/>
        <v>AT0</v>
      </c>
      <c r="F539" s="26">
        <f t="shared" si="100"/>
        <v>5738.8907189513684</v>
      </c>
      <c r="H539">
        <f t="shared" si="101"/>
        <v>4</v>
      </c>
      <c r="I539">
        <f t="shared" si="102"/>
        <v>5</v>
      </c>
      <c r="J539">
        <f t="shared" si="103"/>
        <v>4</v>
      </c>
      <c r="K539">
        <f t="shared" si="104"/>
        <v>1</v>
      </c>
    </row>
    <row r="540" spans="2:11">
      <c r="B540" t="str">
        <f t="shared" si="96"/>
        <v>HYD_RES</v>
      </c>
      <c r="C540">
        <f t="shared" si="97"/>
        <v>2035</v>
      </c>
      <c r="D540" t="str">
        <f t="shared" si="98"/>
        <v>default</v>
      </c>
      <c r="E540" t="str">
        <f t="shared" si="99"/>
        <v>AT0</v>
      </c>
      <c r="F540" s="26">
        <f t="shared" si="100"/>
        <v>4050.9713576312861</v>
      </c>
      <c r="H540">
        <f t="shared" si="101"/>
        <v>5</v>
      </c>
      <c r="I540">
        <f t="shared" si="102"/>
        <v>5</v>
      </c>
      <c r="J540">
        <f t="shared" si="103"/>
        <v>4</v>
      </c>
      <c r="K540">
        <f t="shared" si="104"/>
        <v>1</v>
      </c>
    </row>
    <row r="541" spans="2:11">
      <c r="B541" t="str">
        <f t="shared" si="96"/>
        <v>HYD_STO</v>
      </c>
      <c r="C541">
        <f t="shared" si="97"/>
        <v>2035</v>
      </c>
      <c r="D541" t="str">
        <f t="shared" si="98"/>
        <v>default</v>
      </c>
      <c r="E541" t="str">
        <f t="shared" si="99"/>
        <v>AT0</v>
      </c>
      <c r="F541" s="26">
        <f t="shared" si="100"/>
        <v>4059.1689387934462</v>
      </c>
      <c r="H541">
        <f t="shared" si="101"/>
        <v>6</v>
      </c>
      <c r="I541">
        <f t="shared" si="102"/>
        <v>5</v>
      </c>
      <c r="J541">
        <f t="shared" si="103"/>
        <v>4</v>
      </c>
      <c r="K541">
        <f t="shared" si="104"/>
        <v>1</v>
      </c>
    </row>
    <row r="542" spans="2:11">
      <c r="B542" t="str">
        <f t="shared" si="96"/>
        <v>GAS_LIN</v>
      </c>
      <c r="C542">
        <f t="shared" si="97"/>
        <v>2035</v>
      </c>
      <c r="D542" t="str">
        <f t="shared" si="98"/>
        <v>default</v>
      </c>
      <c r="E542" t="str">
        <f t="shared" si="99"/>
        <v>AT0</v>
      </c>
      <c r="F542" s="26">
        <f t="shared" si="100"/>
        <v>3114.7595411872298</v>
      </c>
      <c r="H542">
        <f t="shared" si="101"/>
        <v>7</v>
      </c>
      <c r="I542">
        <f t="shared" si="102"/>
        <v>5</v>
      </c>
      <c r="J542">
        <f t="shared" si="103"/>
        <v>4</v>
      </c>
      <c r="K542">
        <f t="shared" si="104"/>
        <v>1</v>
      </c>
    </row>
    <row r="543" spans="2:11">
      <c r="B543" t="str">
        <f t="shared" si="96"/>
        <v>GAS_NEW</v>
      </c>
      <c r="C543">
        <f t="shared" si="97"/>
        <v>2035</v>
      </c>
      <c r="D543" t="str">
        <f t="shared" si="98"/>
        <v>default</v>
      </c>
      <c r="E543" t="str">
        <f t="shared" si="99"/>
        <v>AT0</v>
      </c>
      <c r="F543" s="26">
        <f t="shared" si="100"/>
        <v>0</v>
      </c>
      <c r="H543">
        <f t="shared" si="101"/>
        <v>8</v>
      </c>
      <c r="I543">
        <f t="shared" si="102"/>
        <v>5</v>
      </c>
      <c r="J543">
        <f t="shared" si="103"/>
        <v>4</v>
      </c>
      <c r="K543">
        <f t="shared" si="104"/>
        <v>1</v>
      </c>
    </row>
    <row r="544" spans="2:11">
      <c r="B544" t="str">
        <f t="shared" si="96"/>
        <v>OIL_LIN</v>
      </c>
      <c r="C544">
        <f t="shared" si="97"/>
        <v>2035</v>
      </c>
      <c r="D544" t="str">
        <f t="shared" si="98"/>
        <v>default</v>
      </c>
      <c r="E544" t="str">
        <f t="shared" si="99"/>
        <v>AT0</v>
      </c>
      <c r="F544" s="26">
        <f t="shared" si="100"/>
        <v>384.78213285848301</v>
      </c>
      <c r="H544">
        <f t="shared" si="101"/>
        <v>9</v>
      </c>
      <c r="I544">
        <f t="shared" si="102"/>
        <v>5</v>
      </c>
      <c r="J544">
        <f t="shared" si="103"/>
        <v>4</v>
      </c>
      <c r="K544">
        <f t="shared" si="104"/>
        <v>1</v>
      </c>
    </row>
    <row r="545" spans="2:11">
      <c r="B545" t="str">
        <f t="shared" si="96"/>
        <v>BAL_ELC</v>
      </c>
      <c r="C545">
        <f t="shared" si="97"/>
        <v>2035</v>
      </c>
      <c r="D545" t="str">
        <f t="shared" si="98"/>
        <v>default</v>
      </c>
      <c r="E545" t="str">
        <f t="shared" si="99"/>
        <v>AT0</v>
      </c>
      <c r="F545" s="26">
        <f t="shared" si="100"/>
        <v>504.38789552898044</v>
      </c>
      <c r="H545">
        <f t="shared" si="101"/>
        <v>10</v>
      </c>
      <c r="I545">
        <f t="shared" si="102"/>
        <v>5</v>
      </c>
      <c r="J545">
        <f t="shared" si="103"/>
        <v>4</v>
      </c>
      <c r="K545">
        <f t="shared" si="104"/>
        <v>1</v>
      </c>
    </row>
    <row r="546" spans="2:11">
      <c r="B546" t="str">
        <f t="shared" si="96"/>
        <v>WAS_ELC</v>
      </c>
      <c r="C546">
        <f t="shared" si="97"/>
        <v>2035</v>
      </c>
      <c r="D546" t="str">
        <f t="shared" si="98"/>
        <v>default</v>
      </c>
      <c r="E546" t="str">
        <f t="shared" si="99"/>
        <v>AT0</v>
      </c>
      <c r="F546" s="26">
        <f t="shared" si="100"/>
        <v>301.93411311439871</v>
      </c>
      <c r="H546">
        <f t="shared" si="101"/>
        <v>11</v>
      </c>
      <c r="I546">
        <f t="shared" si="102"/>
        <v>5</v>
      </c>
      <c r="J546">
        <f t="shared" si="103"/>
        <v>4</v>
      </c>
      <c r="K546">
        <f t="shared" si="104"/>
        <v>1</v>
      </c>
    </row>
    <row r="547" spans="2:11">
      <c r="B547" t="str">
        <f t="shared" si="96"/>
        <v>LIG_LIN</v>
      </c>
      <c r="C547">
        <f t="shared" si="97"/>
        <v>2035</v>
      </c>
      <c r="D547" t="str">
        <f t="shared" si="98"/>
        <v>default</v>
      </c>
      <c r="E547" t="str">
        <f t="shared" si="99"/>
        <v>AT0</v>
      </c>
      <c r="F547" s="26">
        <f t="shared" si="100"/>
        <v>0</v>
      </c>
      <c r="H547">
        <f t="shared" si="101"/>
        <v>12</v>
      </c>
      <c r="I547">
        <f t="shared" si="102"/>
        <v>5</v>
      </c>
      <c r="J547">
        <f t="shared" si="103"/>
        <v>4</v>
      </c>
      <c r="K547">
        <f t="shared" si="104"/>
        <v>1</v>
      </c>
    </row>
    <row r="548" spans="2:11">
      <c r="B548" t="str">
        <f t="shared" si="96"/>
        <v>HCO_LIN</v>
      </c>
      <c r="C548">
        <f t="shared" si="97"/>
        <v>2035</v>
      </c>
      <c r="D548" t="str">
        <f t="shared" si="98"/>
        <v>default</v>
      </c>
      <c r="E548" t="str">
        <f t="shared" si="99"/>
        <v>AT0</v>
      </c>
      <c r="F548" s="26">
        <f t="shared" si="100"/>
        <v>80.8567010756462</v>
      </c>
      <c r="H548">
        <f t="shared" si="101"/>
        <v>13</v>
      </c>
      <c r="I548">
        <f t="shared" si="102"/>
        <v>5</v>
      </c>
      <c r="J548">
        <f t="shared" si="103"/>
        <v>4</v>
      </c>
      <c r="K548">
        <f t="shared" si="104"/>
        <v>1</v>
      </c>
    </row>
    <row r="549" spans="2:11">
      <c r="B549" t="str">
        <f t="shared" si="96"/>
        <v>GEO_ELC</v>
      </c>
      <c r="C549">
        <f t="shared" si="97"/>
        <v>2035</v>
      </c>
      <c r="D549" t="str">
        <f t="shared" si="98"/>
        <v>default</v>
      </c>
      <c r="E549" t="str">
        <f t="shared" si="99"/>
        <v>AT0</v>
      </c>
      <c r="F549" s="26">
        <f t="shared" si="100"/>
        <v>0</v>
      </c>
      <c r="H549">
        <f t="shared" si="101"/>
        <v>14</v>
      </c>
      <c r="I549">
        <f t="shared" si="102"/>
        <v>5</v>
      </c>
      <c r="J549">
        <f t="shared" si="103"/>
        <v>4</v>
      </c>
      <c r="K549">
        <f t="shared" si="104"/>
        <v>1</v>
      </c>
    </row>
    <row r="550" spans="2:11">
      <c r="B550" t="str">
        <f t="shared" si="96"/>
        <v>WIN_OFF</v>
      </c>
      <c r="C550">
        <f t="shared" si="97"/>
        <v>2035</v>
      </c>
      <c r="D550" t="str">
        <f t="shared" si="98"/>
        <v>default</v>
      </c>
      <c r="E550" t="str">
        <f t="shared" si="99"/>
        <v>AT0</v>
      </c>
      <c r="F550" s="26">
        <f t="shared" si="100"/>
        <v>0</v>
      </c>
      <c r="H550">
        <f t="shared" si="101"/>
        <v>15</v>
      </c>
      <c r="I550">
        <f t="shared" si="102"/>
        <v>5</v>
      </c>
      <c r="J550">
        <f t="shared" si="103"/>
        <v>4</v>
      </c>
      <c r="K550">
        <f t="shared" si="104"/>
        <v>1</v>
      </c>
    </row>
    <row r="551" spans="2:11">
      <c r="B551" t="str">
        <f t="shared" si="96"/>
        <v>NUC_ELC</v>
      </c>
      <c r="C551">
        <f t="shared" si="97"/>
        <v>2040</v>
      </c>
      <c r="D551" t="str">
        <f t="shared" si="98"/>
        <v>default</v>
      </c>
      <c r="E551" t="str">
        <f t="shared" si="99"/>
        <v>AT0</v>
      </c>
      <c r="F551" s="26">
        <f t="shared" si="100"/>
        <v>0</v>
      </c>
      <c r="H551">
        <f t="shared" si="101"/>
        <v>1</v>
      </c>
      <c r="I551">
        <f t="shared" si="102"/>
        <v>6</v>
      </c>
      <c r="J551">
        <f t="shared" si="103"/>
        <v>4</v>
      </c>
      <c r="K551">
        <f t="shared" si="104"/>
        <v>1</v>
      </c>
    </row>
    <row r="552" spans="2:11">
      <c r="B552" t="str">
        <f t="shared" si="96"/>
        <v>SOL_PHO</v>
      </c>
      <c r="C552">
        <f t="shared" si="97"/>
        <v>2040</v>
      </c>
      <c r="D552" t="str">
        <f t="shared" si="98"/>
        <v>default</v>
      </c>
      <c r="E552" t="str">
        <f t="shared" si="99"/>
        <v>AT0</v>
      </c>
      <c r="F552" s="26">
        <f t="shared" si="100"/>
        <v>2930.0255474526298</v>
      </c>
      <c r="H552">
        <f t="shared" si="101"/>
        <v>2</v>
      </c>
      <c r="I552">
        <f t="shared" si="102"/>
        <v>6</v>
      </c>
      <c r="J552">
        <f t="shared" si="103"/>
        <v>4</v>
      </c>
      <c r="K552">
        <f t="shared" si="104"/>
        <v>1</v>
      </c>
    </row>
    <row r="553" spans="2:11">
      <c r="B553" t="str">
        <f t="shared" si="96"/>
        <v>WIN_ONS</v>
      </c>
      <c r="C553">
        <f t="shared" si="97"/>
        <v>2040</v>
      </c>
      <c r="D553" t="str">
        <f t="shared" si="98"/>
        <v>default</v>
      </c>
      <c r="E553" t="str">
        <f t="shared" si="99"/>
        <v>AT0</v>
      </c>
      <c r="F553" s="26">
        <f t="shared" si="100"/>
        <v>5025.6844286095502</v>
      </c>
      <c r="H553">
        <f t="shared" si="101"/>
        <v>3</v>
      </c>
      <c r="I553">
        <f t="shared" si="102"/>
        <v>6</v>
      </c>
      <c r="J553">
        <f t="shared" si="103"/>
        <v>4</v>
      </c>
      <c r="K553">
        <f t="shared" si="104"/>
        <v>1</v>
      </c>
    </row>
    <row r="554" spans="2:11">
      <c r="B554" t="str">
        <f t="shared" si="96"/>
        <v>HYD_ROR</v>
      </c>
      <c r="C554">
        <f t="shared" si="97"/>
        <v>2040</v>
      </c>
      <c r="D554" t="str">
        <f t="shared" si="98"/>
        <v>default</v>
      </c>
      <c r="E554" t="str">
        <f t="shared" si="99"/>
        <v>AT0</v>
      </c>
      <c r="F554" s="26">
        <f t="shared" si="100"/>
        <v>5752.1909970841516</v>
      </c>
      <c r="H554">
        <f t="shared" si="101"/>
        <v>4</v>
      </c>
      <c r="I554">
        <f t="shared" si="102"/>
        <v>6</v>
      </c>
      <c r="J554">
        <f t="shared" si="103"/>
        <v>4</v>
      </c>
      <c r="K554">
        <f t="shared" si="104"/>
        <v>1</v>
      </c>
    </row>
    <row r="555" spans="2:11">
      <c r="B555" t="str">
        <f t="shared" si="96"/>
        <v>HYD_RES</v>
      </c>
      <c r="C555">
        <f t="shared" si="97"/>
        <v>2040</v>
      </c>
      <c r="D555" t="str">
        <f t="shared" si="98"/>
        <v>default</v>
      </c>
      <c r="E555" t="str">
        <f t="shared" si="99"/>
        <v>AT0</v>
      </c>
      <c r="F555" s="26">
        <f t="shared" si="100"/>
        <v>4060.3597653224292</v>
      </c>
      <c r="H555">
        <f t="shared" si="101"/>
        <v>5</v>
      </c>
      <c r="I555">
        <f t="shared" si="102"/>
        <v>6</v>
      </c>
      <c r="J555">
        <f t="shared" si="103"/>
        <v>4</v>
      </c>
      <c r="K555">
        <f t="shared" si="104"/>
        <v>1</v>
      </c>
    </row>
    <row r="556" spans="2:11">
      <c r="B556" t="str">
        <f t="shared" si="96"/>
        <v>HYD_STO</v>
      </c>
      <c r="C556">
        <f t="shared" si="97"/>
        <v>2040</v>
      </c>
      <c r="D556" t="str">
        <f t="shared" si="98"/>
        <v>default</v>
      </c>
      <c r="E556" t="str">
        <f t="shared" si="99"/>
        <v>AT0</v>
      </c>
      <c r="F556" s="26">
        <f t="shared" si="100"/>
        <v>4068.5763449487199</v>
      </c>
      <c r="H556">
        <f t="shared" si="101"/>
        <v>6</v>
      </c>
      <c r="I556">
        <f t="shared" si="102"/>
        <v>6</v>
      </c>
      <c r="J556">
        <f t="shared" si="103"/>
        <v>4</v>
      </c>
      <c r="K556">
        <f t="shared" si="104"/>
        <v>1</v>
      </c>
    </row>
    <row r="557" spans="2:11">
      <c r="B557" t="str">
        <f t="shared" si="96"/>
        <v>GAS_LIN</v>
      </c>
      <c r="C557">
        <f t="shared" si="97"/>
        <v>2040</v>
      </c>
      <c r="D557" t="str">
        <f t="shared" si="98"/>
        <v>default</v>
      </c>
      <c r="E557" t="str">
        <f t="shared" si="99"/>
        <v>AT0</v>
      </c>
      <c r="F557" s="26">
        <f t="shared" si="100"/>
        <v>3045.50220700512</v>
      </c>
      <c r="H557">
        <f t="shared" si="101"/>
        <v>7</v>
      </c>
      <c r="I557">
        <f t="shared" si="102"/>
        <v>6</v>
      </c>
      <c r="J557">
        <f t="shared" si="103"/>
        <v>4</v>
      </c>
      <c r="K557">
        <f t="shared" si="104"/>
        <v>1</v>
      </c>
    </row>
    <row r="558" spans="2:11">
      <c r="B558" t="str">
        <f t="shared" si="96"/>
        <v>GAS_NEW</v>
      </c>
      <c r="C558">
        <f t="shared" si="97"/>
        <v>2040</v>
      </c>
      <c r="D558" t="str">
        <f t="shared" si="98"/>
        <v>default</v>
      </c>
      <c r="E558" t="str">
        <f t="shared" si="99"/>
        <v>AT0</v>
      </c>
      <c r="F558" s="26">
        <f t="shared" si="100"/>
        <v>0</v>
      </c>
      <c r="H558">
        <f t="shared" si="101"/>
        <v>8</v>
      </c>
      <c r="I558">
        <f t="shared" si="102"/>
        <v>6</v>
      </c>
      <c r="J558">
        <f t="shared" si="103"/>
        <v>4</v>
      </c>
      <c r="K558">
        <f t="shared" si="104"/>
        <v>1</v>
      </c>
    </row>
    <row r="559" spans="2:11">
      <c r="B559" t="str">
        <f t="shared" si="96"/>
        <v>OIL_LIN</v>
      </c>
      <c r="C559">
        <f t="shared" si="97"/>
        <v>2040</v>
      </c>
      <c r="D559" t="str">
        <f t="shared" si="98"/>
        <v>default</v>
      </c>
      <c r="E559" t="str">
        <f t="shared" si="99"/>
        <v>AT0</v>
      </c>
      <c r="F559" s="26">
        <f t="shared" si="100"/>
        <v>8.4376999999999995</v>
      </c>
      <c r="H559">
        <f t="shared" si="101"/>
        <v>9</v>
      </c>
      <c r="I559">
        <f t="shared" si="102"/>
        <v>6</v>
      </c>
      <c r="J559">
        <f t="shared" si="103"/>
        <v>4</v>
      </c>
      <c r="K559">
        <f t="shared" si="104"/>
        <v>1</v>
      </c>
    </row>
    <row r="560" spans="2:11">
      <c r="B560" t="str">
        <f t="shared" si="96"/>
        <v>BAL_ELC</v>
      </c>
      <c r="C560">
        <f t="shared" si="97"/>
        <v>2040</v>
      </c>
      <c r="D560" t="str">
        <f t="shared" si="98"/>
        <v>default</v>
      </c>
      <c r="E560" t="str">
        <f t="shared" si="99"/>
        <v>AT0</v>
      </c>
      <c r="F560" s="26">
        <f t="shared" si="100"/>
        <v>646.13331068299544</v>
      </c>
      <c r="H560">
        <f t="shared" si="101"/>
        <v>10</v>
      </c>
      <c r="I560">
        <f t="shared" si="102"/>
        <v>6</v>
      </c>
      <c r="J560">
        <f t="shared" si="103"/>
        <v>4</v>
      </c>
      <c r="K560">
        <f t="shared" si="104"/>
        <v>1</v>
      </c>
    </row>
    <row r="561" spans="2:11">
      <c r="B561" t="str">
        <f t="shared" si="96"/>
        <v>WAS_ELC</v>
      </c>
      <c r="C561">
        <f t="shared" si="97"/>
        <v>2040</v>
      </c>
      <c r="D561" t="str">
        <f t="shared" si="98"/>
        <v>default</v>
      </c>
      <c r="E561" t="str">
        <f t="shared" si="99"/>
        <v>AT0</v>
      </c>
      <c r="F561" s="26">
        <f t="shared" si="100"/>
        <v>386.7850316077446</v>
      </c>
      <c r="H561">
        <f t="shared" si="101"/>
        <v>11</v>
      </c>
      <c r="I561">
        <f t="shared" si="102"/>
        <v>6</v>
      </c>
      <c r="J561">
        <f t="shared" si="103"/>
        <v>4</v>
      </c>
      <c r="K561">
        <f t="shared" si="104"/>
        <v>1</v>
      </c>
    </row>
    <row r="562" spans="2:11">
      <c r="B562" t="str">
        <f t="shared" si="96"/>
        <v>LIG_LIN</v>
      </c>
      <c r="C562">
        <f t="shared" si="97"/>
        <v>2040</v>
      </c>
      <c r="D562" t="str">
        <f t="shared" si="98"/>
        <v>default</v>
      </c>
      <c r="E562" t="str">
        <f t="shared" si="99"/>
        <v>AT0</v>
      </c>
      <c r="F562" s="26">
        <f t="shared" si="100"/>
        <v>0</v>
      </c>
      <c r="H562">
        <f t="shared" si="101"/>
        <v>12</v>
      </c>
      <c r="I562">
        <f t="shared" si="102"/>
        <v>6</v>
      </c>
      <c r="J562">
        <f t="shared" si="103"/>
        <v>4</v>
      </c>
      <c r="K562">
        <f t="shared" si="104"/>
        <v>1</v>
      </c>
    </row>
    <row r="563" spans="2:11">
      <c r="B563" t="str">
        <f t="shared" si="96"/>
        <v>HCO_LIN</v>
      </c>
      <c r="C563">
        <f t="shared" si="97"/>
        <v>2040</v>
      </c>
      <c r="D563" t="str">
        <f t="shared" si="98"/>
        <v>default</v>
      </c>
      <c r="E563" t="str">
        <f t="shared" si="99"/>
        <v>AT0</v>
      </c>
      <c r="F563" s="26">
        <f t="shared" si="100"/>
        <v>72.116701075646205</v>
      </c>
      <c r="H563">
        <f t="shared" si="101"/>
        <v>13</v>
      </c>
      <c r="I563">
        <f t="shared" si="102"/>
        <v>6</v>
      </c>
      <c r="J563">
        <f t="shared" si="103"/>
        <v>4</v>
      </c>
      <c r="K563">
        <f t="shared" si="104"/>
        <v>1</v>
      </c>
    </row>
    <row r="564" spans="2:11">
      <c r="B564" t="str">
        <f t="shared" ref="B564:B627" si="105">INDEX(H$100:H$114,H564)</f>
        <v>GEO_ELC</v>
      </c>
      <c r="C564">
        <f t="shared" ref="C564:C627" si="106">INDEX(I$100:I$114,I564)</f>
        <v>2040</v>
      </c>
      <c r="D564" t="str">
        <f t="shared" ref="D564:D627" si="107">INDEX(K$100:K$114,K564)</f>
        <v>default</v>
      </c>
      <c r="E564" t="str">
        <f t="shared" ref="E564:E627" si="108">INDEX(J$100:J$114,J564)</f>
        <v>AT0</v>
      </c>
      <c r="F564" s="26">
        <f t="shared" ref="F564:F627" si="109">INDEX($P$6:$X$84,MATCH(E564&amp;"."&amp;B564,$Z$6:$Z$84,0),MATCH(C564,$P$5:$X$5,0))</f>
        <v>0</v>
      </c>
      <c r="H564">
        <f t="shared" si="101"/>
        <v>14</v>
      </c>
      <c r="I564">
        <f t="shared" si="102"/>
        <v>6</v>
      </c>
      <c r="J564">
        <f t="shared" si="103"/>
        <v>4</v>
      </c>
      <c r="K564">
        <f t="shared" si="104"/>
        <v>1</v>
      </c>
    </row>
    <row r="565" spans="2:11">
      <c r="B565" t="str">
        <f t="shared" si="105"/>
        <v>WIN_OFF</v>
      </c>
      <c r="C565">
        <f t="shared" si="106"/>
        <v>2040</v>
      </c>
      <c r="D565" t="str">
        <f t="shared" si="107"/>
        <v>default</v>
      </c>
      <c r="E565" t="str">
        <f t="shared" si="108"/>
        <v>AT0</v>
      </c>
      <c r="F565" s="26">
        <f t="shared" si="109"/>
        <v>0</v>
      </c>
      <c r="H565">
        <f t="shared" ref="H565:H628" si="110">IF(H564=$H$99,1,H564+1)</f>
        <v>15</v>
      </c>
      <c r="I565">
        <f t="shared" ref="I565:I628" si="111">IF(H565=1,IF(I564=$I$99,1,I564+1),I564)</f>
        <v>6</v>
      </c>
      <c r="J565">
        <f t="shared" ref="J565:J628" si="112">IF(AND(I565=1,I564&gt;1),IF(J564=$J$99,1,J564+1),J564)</f>
        <v>4</v>
      </c>
      <c r="K565">
        <f t="shared" ref="K565:K628" si="113">IF(AND(J565=1,J564&gt;1),IF(K564=$K$99,1,K564+1),K564)</f>
        <v>1</v>
      </c>
    </row>
    <row r="566" spans="2:11">
      <c r="B566" t="str">
        <f t="shared" si="105"/>
        <v>NUC_ELC</v>
      </c>
      <c r="C566">
        <f t="shared" si="106"/>
        <v>2045</v>
      </c>
      <c r="D566" t="str">
        <f t="shared" si="107"/>
        <v>default</v>
      </c>
      <c r="E566" t="str">
        <f t="shared" si="108"/>
        <v>AT0</v>
      </c>
      <c r="F566" s="26">
        <f t="shared" si="109"/>
        <v>0</v>
      </c>
      <c r="H566">
        <f t="shared" si="110"/>
        <v>1</v>
      </c>
      <c r="I566">
        <f t="shared" si="111"/>
        <v>7</v>
      </c>
      <c r="J566">
        <f t="shared" si="112"/>
        <v>4</v>
      </c>
      <c r="K566">
        <f t="shared" si="113"/>
        <v>1</v>
      </c>
    </row>
    <row r="567" spans="2:11">
      <c r="B567" t="str">
        <f t="shared" si="105"/>
        <v>SOL_PHO</v>
      </c>
      <c r="C567">
        <f t="shared" si="106"/>
        <v>2045</v>
      </c>
      <c r="D567" t="str">
        <f t="shared" si="107"/>
        <v>default</v>
      </c>
      <c r="E567" t="str">
        <f t="shared" si="108"/>
        <v>AT0</v>
      </c>
      <c r="F567" s="26">
        <f t="shared" si="109"/>
        <v>3196.7875074344702</v>
      </c>
      <c r="H567">
        <f t="shared" si="110"/>
        <v>2</v>
      </c>
      <c r="I567">
        <f t="shared" si="111"/>
        <v>7</v>
      </c>
      <c r="J567">
        <f t="shared" si="112"/>
        <v>4</v>
      </c>
      <c r="K567">
        <f t="shared" si="113"/>
        <v>1</v>
      </c>
    </row>
    <row r="568" spans="2:11">
      <c r="B568" t="str">
        <f t="shared" si="105"/>
        <v>WIN_ONS</v>
      </c>
      <c r="C568">
        <f t="shared" si="106"/>
        <v>2045</v>
      </c>
      <c r="D568" t="str">
        <f t="shared" si="107"/>
        <v>default</v>
      </c>
      <c r="E568" t="str">
        <f t="shared" si="108"/>
        <v>AT0</v>
      </c>
      <c r="F568" s="26">
        <f t="shared" si="109"/>
        <v>5986.2263881033696</v>
      </c>
      <c r="H568">
        <f t="shared" si="110"/>
        <v>3</v>
      </c>
      <c r="I568">
        <f t="shared" si="111"/>
        <v>7</v>
      </c>
      <c r="J568">
        <f t="shared" si="112"/>
        <v>4</v>
      </c>
      <c r="K568">
        <f t="shared" si="113"/>
        <v>1</v>
      </c>
    </row>
    <row r="569" spans="2:11">
      <c r="B569" t="str">
        <f t="shared" si="105"/>
        <v>HYD_ROR</v>
      </c>
      <c r="C569">
        <f t="shared" si="106"/>
        <v>2045</v>
      </c>
      <c r="D569" t="str">
        <f t="shared" si="107"/>
        <v>default</v>
      </c>
      <c r="E569" t="str">
        <f t="shared" si="108"/>
        <v>AT0</v>
      </c>
      <c r="F569" s="26">
        <f t="shared" si="109"/>
        <v>5752.1909970841516</v>
      </c>
      <c r="H569">
        <f t="shared" si="110"/>
        <v>4</v>
      </c>
      <c r="I569">
        <f t="shared" si="111"/>
        <v>7</v>
      </c>
      <c r="J569">
        <f t="shared" si="112"/>
        <v>4</v>
      </c>
      <c r="K569">
        <f t="shared" si="113"/>
        <v>1</v>
      </c>
    </row>
    <row r="570" spans="2:11">
      <c r="B570" t="str">
        <f t="shared" si="105"/>
        <v>HYD_RES</v>
      </c>
      <c r="C570">
        <f t="shared" si="106"/>
        <v>2045</v>
      </c>
      <c r="D570" t="str">
        <f t="shared" si="107"/>
        <v>default</v>
      </c>
      <c r="E570" t="str">
        <f t="shared" si="108"/>
        <v>AT0</v>
      </c>
      <c r="F570" s="26">
        <f t="shared" si="109"/>
        <v>4060.3597653224292</v>
      </c>
      <c r="H570">
        <f t="shared" si="110"/>
        <v>5</v>
      </c>
      <c r="I570">
        <f t="shared" si="111"/>
        <v>7</v>
      </c>
      <c r="J570">
        <f t="shared" si="112"/>
        <v>4</v>
      </c>
      <c r="K570">
        <f t="shared" si="113"/>
        <v>1</v>
      </c>
    </row>
    <row r="571" spans="2:11">
      <c r="B571" t="str">
        <f t="shared" si="105"/>
        <v>HYD_STO</v>
      </c>
      <c r="C571">
        <f t="shared" si="106"/>
        <v>2045</v>
      </c>
      <c r="D571" t="str">
        <f t="shared" si="107"/>
        <v>default</v>
      </c>
      <c r="E571" t="str">
        <f t="shared" si="108"/>
        <v>AT0</v>
      </c>
      <c r="F571" s="26">
        <f t="shared" si="109"/>
        <v>4068.5763449487199</v>
      </c>
      <c r="H571">
        <f t="shared" si="110"/>
        <v>6</v>
      </c>
      <c r="I571">
        <f t="shared" si="111"/>
        <v>7</v>
      </c>
      <c r="J571">
        <f t="shared" si="112"/>
        <v>4</v>
      </c>
      <c r="K571">
        <f t="shared" si="113"/>
        <v>1</v>
      </c>
    </row>
    <row r="572" spans="2:11">
      <c r="B572" t="str">
        <f t="shared" si="105"/>
        <v>GAS_LIN</v>
      </c>
      <c r="C572">
        <f t="shared" si="106"/>
        <v>2045</v>
      </c>
      <c r="D572" t="str">
        <f t="shared" si="107"/>
        <v>default</v>
      </c>
      <c r="E572" t="str">
        <f t="shared" si="108"/>
        <v>AT0</v>
      </c>
      <c r="F572" s="26">
        <f t="shared" si="109"/>
        <v>3062.8146136684099</v>
      </c>
      <c r="H572">
        <f t="shared" si="110"/>
        <v>7</v>
      </c>
      <c r="I572">
        <f t="shared" si="111"/>
        <v>7</v>
      </c>
      <c r="J572">
        <f t="shared" si="112"/>
        <v>4</v>
      </c>
      <c r="K572">
        <f t="shared" si="113"/>
        <v>1</v>
      </c>
    </row>
    <row r="573" spans="2:11">
      <c r="B573" t="str">
        <f t="shared" si="105"/>
        <v>GAS_NEW</v>
      </c>
      <c r="C573">
        <f t="shared" si="106"/>
        <v>2045</v>
      </c>
      <c r="D573" t="str">
        <f t="shared" si="107"/>
        <v>default</v>
      </c>
      <c r="E573" t="str">
        <f t="shared" si="108"/>
        <v>AT0</v>
      </c>
      <c r="F573" s="26">
        <f t="shared" si="109"/>
        <v>0</v>
      </c>
      <c r="H573">
        <f t="shared" si="110"/>
        <v>8</v>
      </c>
      <c r="I573">
        <f t="shared" si="111"/>
        <v>7</v>
      </c>
      <c r="J573">
        <f t="shared" si="112"/>
        <v>4</v>
      </c>
      <c r="K573">
        <f t="shared" si="113"/>
        <v>1</v>
      </c>
    </row>
    <row r="574" spans="2:11">
      <c r="B574" t="str">
        <f t="shared" si="105"/>
        <v>OIL_LIN</v>
      </c>
      <c r="C574">
        <f t="shared" si="106"/>
        <v>2045</v>
      </c>
      <c r="D574" t="str">
        <f t="shared" si="107"/>
        <v>default</v>
      </c>
      <c r="E574" t="str">
        <f t="shared" si="108"/>
        <v>AT0</v>
      </c>
      <c r="F574" s="26">
        <f t="shared" si="109"/>
        <v>3.2204999999999999</v>
      </c>
      <c r="H574">
        <f t="shared" si="110"/>
        <v>9</v>
      </c>
      <c r="I574">
        <f t="shared" si="111"/>
        <v>7</v>
      </c>
      <c r="J574">
        <f t="shared" si="112"/>
        <v>4</v>
      </c>
      <c r="K574">
        <f t="shared" si="113"/>
        <v>1</v>
      </c>
    </row>
    <row r="575" spans="2:11">
      <c r="B575" t="str">
        <f t="shared" si="105"/>
        <v>BAL_ELC</v>
      </c>
      <c r="C575">
        <f t="shared" si="106"/>
        <v>2045</v>
      </c>
      <c r="D575" t="str">
        <f t="shared" si="107"/>
        <v>default</v>
      </c>
      <c r="E575" t="str">
        <f t="shared" si="108"/>
        <v>AT0</v>
      </c>
      <c r="F575" s="26">
        <f t="shared" si="109"/>
        <v>620.1035116491372</v>
      </c>
      <c r="H575">
        <f t="shared" si="110"/>
        <v>10</v>
      </c>
      <c r="I575">
        <f t="shared" si="111"/>
        <v>7</v>
      </c>
      <c r="J575">
        <f t="shared" si="112"/>
        <v>4</v>
      </c>
      <c r="K575">
        <f t="shared" si="113"/>
        <v>1</v>
      </c>
    </row>
    <row r="576" spans="2:11">
      <c r="B576" t="str">
        <f t="shared" si="105"/>
        <v>WAS_ELC</v>
      </c>
      <c r="C576">
        <f t="shared" si="106"/>
        <v>2045</v>
      </c>
      <c r="D576" t="str">
        <f t="shared" si="107"/>
        <v>default</v>
      </c>
      <c r="E576" t="str">
        <f t="shared" si="108"/>
        <v>AT0</v>
      </c>
      <c r="F576" s="26">
        <f t="shared" si="109"/>
        <v>371.20320588293902</v>
      </c>
      <c r="H576">
        <f t="shared" si="110"/>
        <v>11</v>
      </c>
      <c r="I576">
        <f t="shared" si="111"/>
        <v>7</v>
      </c>
      <c r="J576">
        <f t="shared" si="112"/>
        <v>4</v>
      </c>
      <c r="K576">
        <f t="shared" si="113"/>
        <v>1</v>
      </c>
    </row>
    <row r="577" spans="2:11">
      <c r="B577" t="str">
        <f t="shared" si="105"/>
        <v>LIG_LIN</v>
      </c>
      <c r="C577">
        <f t="shared" si="106"/>
        <v>2045</v>
      </c>
      <c r="D577" t="str">
        <f t="shared" si="107"/>
        <v>default</v>
      </c>
      <c r="E577" t="str">
        <f t="shared" si="108"/>
        <v>AT0</v>
      </c>
      <c r="F577" s="26">
        <f t="shared" si="109"/>
        <v>0</v>
      </c>
      <c r="H577">
        <f t="shared" si="110"/>
        <v>12</v>
      </c>
      <c r="I577">
        <f t="shared" si="111"/>
        <v>7</v>
      </c>
      <c r="J577">
        <f t="shared" si="112"/>
        <v>4</v>
      </c>
      <c r="K577">
        <f t="shared" si="113"/>
        <v>1</v>
      </c>
    </row>
    <row r="578" spans="2:11">
      <c r="B578" t="str">
        <f t="shared" si="105"/>
        <v>HCO_LIN</v>
      </c>
      <c r="C578">
        <f t="shared" si="106"/>
        <v>2045</v>
      </c>
      <c r="D578" t="str">
        <f t="shared" si="107"/>
        <v>default</v>
      </c>
      <c r="E578" t="str">
        <f t="shared" si="108"/>
        <v>AT0</v>
      </c>
      <c r="F578" s="26">
        <f t="shared" si="109"/>
        <v>36.396701075646199</v>
      </c>
      <c r="H578">
        <f t="shared" si="110"/>
        <v>13</v>
      </c>
      <c r="I578">
        <f t="shared" si="111"/>
        <v>7</v>
      </c>
      <c r="J578">
        <f t="shared" si="112"/>
        <v>4</v>
      </c>
      <c r="K578">
        <f t="shared" si="113"/>
        <v>1</v>
      </c>
    </row>
    <row r="579" spans="2:11">
      <c r="B579" t="str">
        <f t="shared" si="105"/>
        <v>GEO_ELC</v>
      </c>
      <c r="C579">
        <f t="shared" si="106"/>
        <v>2045</v>
      </c>
      <c r="D579" t="str">
        <f t="shared" si="107"/>
        <v>default</v>
      </c>
      <c r="E579" t="str">
        <f t="shared" si="108"/>
        <v>AT0</v>
      </c>
      <c r="F579" s="26">
        <f t="shared" si="109"/>
        <v>0</v>
      </c>
      <c r="H579">
        <f t="shared" si="110"/>
        <v>14</v>
      </c>
      <c r="I579">
        <f t="shared" si="111"/>
        <v>7</v>
      </c>
      <c r="J579">
        <f t="shared" si="112"/>
        <v>4</v>
      </c>
      <c r="K579">
        <f t="shared" si="113"/>
        <v>1</v>
      </c>
    </row>
    <row r="580" spans="2:11">
      <c r="B580" t="str">
        <f t="shared" si="105"/>
        <v>WIN_OFF</v>
      </c>
      <c r="C580">
        <f t="shared" si="106"/>
        <v>2045</v>
      </c>
      <c r="D580" t="str">
        <f t="shared" si="107"/>
        <v>default</v>
      </c>
      <c r="E580" t="str">
        <f t="shared" si="108"/>
        <v>AT0</v>
      </c>
      <c r="F580" s="26">
        <f t="shared" si="109"/>
        <v>0</v>
      </c>
      <c r="H580">
        <f t="shared" si="110"/>
        <v>15</v>
      </c>
      <c r="I580">
        <f t="shared" si="111"/>
        <v>7</v>
      </c>
      <c r="J580">
        <f t="shared" si="112"/>
        <v>4</v>
      </c>
      <c r="K580">
        <f t="shared" si="113"/>
        <v>1</v>
      </c>
    </row>
    <row r="581" spans="2:11">
      <c r="B581" t="str">
        <f t="shared" si="105"/>
        <v>NUC_ELC</v>
      </c>
      <c r="C581">
        <f t="shared" si="106"/>
        <v>2050</v>
      </c>
      <c r="D581" t="str">
        <f t="shared" si="107"/>
        <v>default</v>
      </c>
      <c r="E581" t="str">
        <f t="shared" si="108"/>
        <v>AT0</v>
      </c>
      <c r="F581" s="26">
        <f t="shared" si="109"/>
        <v>0</v>
      </c>
      <c r="H581">
        <f t="shared" si="110"/>
        <v>1</v>
      </c>
      <c r="I581">
        <f t="shared" si="111"/>
        <v>8</v>
      </c>
      <c r="J581">
        <f t="shared" si="112"/>
        <v>4</v>
      </c>
      <c r="K581">
        <f t="shared" si="113"/>
        <v>1</v>
      </c>
    </row>
    <row r="582" spans="2:11">
      <c r="B582" t="str">
        <f t="shared" si="105"/>
        <v>SOL_PHO</v>
      </c>
      <c r="C582">
        <f t="shared" si="106"/>
        <v>2050</v>
      </c>
      <c r="D582" t="str">
        <f t="shared" si="107"/>
        <v>default</v>
      </c>
      <c r="E582" t="str">
        <f t="shared" si="108"/>
        <v>AT0</v>
      </c>
      <c r="F582" s="26">
        <f t="shared" si="109"/>
        <v>4008.7875074344702</v>
      </c>
      <c r="H582">
        <f t="shared" si="110"/>
        <v>2</v>
      </c>
      <c r="I582">
        <f t="shared" si="111"/>
        <v>8</v>
      </c>
      <c r="J582">
        <f t="shared" si="112"/>
        <v>4</v>
      </c>
      <c r="K582">
        <f t="shared" si="113"/>
        <v>1</v>
      </c>
    </row>
    <row r="583" spans="2:11">
      <c r="B583" t="str">
        <f t="shared" si="105"/>
        <v>WIN_ONS</v>
      </c>
      <c r="C583">
        <f t="shared" si="106"/>
        <v>2050</v>
      </c>
      <c r="D583" t="str">
        <f t="shared" si="107"/>
        <v>default</v>
      </c>
      <c r="E583" t="str">
        <f t="shared" si="108"/>
        <v>AT0</v>
      </c>
      <c r="F583" s="26">
        <f t="shared" si="109"/>
        <v>6802.6646620974898</v>
      </c>
      <c r="H583">
        <f t="shared" si="110"/>
        <v>3</v>
      </c>
      <c r="I583">
        <f t="shared" si="111"/>
        <v>8</v>
      </c>
      <c r="J583">
        <f t="shared" si="112"/>
        <v>4</v>
      </c>
      <c r="K583">
        <f t="shared" si="113"/>
        <v>1</v>
      </c>
    </row>
    <row r="584" spans="2:11">
      <c r="B584" t="str">
        <f t="shared" si="105"/>
        <v>HYD_ROR</v>
      </c>
      <c r="C584">
        <f t="shared" si="106"/>
        <v>2050</v>
      </c>
      <c r="D584" t="str">
        <f t="shared" si="107"/>
        <v>default</v>
      </c>
      <c r="E584" t="str">
        <f t="shared" si="108"/>
        <v>AT0</v>
      </c>
      <c r="F584" s="26">
        <f t="shared" si="109"/>
        <v>5819.0469548194942</v>
      </c>
      <c r="H584">
        <f t="shared" si="110"/>
        <v>4</v>
      </c>
      <c r="I584">
        <f t="shared" si="111"/>
        <v>8</v>
      </c>
      <c r="J584">
        <f t="shared" si="112"/>
        <v>4</v>
      </c>
      <c r="K584">
        <f t="shared" si="113"/>
        <v>1</v>
      </c>
    </row>
    <row r="585" spans="2:11">
      <c r="B585" t="str">
        <f t="shared" si="105"/>
        <v>HYD_RES</v>
      </c>
      <c r="C585">
        <f t="shared" si="106"/>
        <v>2050</v>
      </c>
      <c r="D585" t="str">
        <f t="shared" si="107"/>
        <v>default</v>
      </c>
      <c r="E585" t="str">
        <f t="shared" si="108"/>
        <v>AT0</v>
      </c>
      <c r="F585" s="26">
        <f t="shared" si="109"/>
        <v>4107.5520857788069</v>
      </c>
      <c r="H585">
        <f t="shared" si="110"/>
        <v>5</v>
      </c>
      <c r="I585">
        <f t="shared" si="111"/>
        <v>8</v>
      </c>
      <c r="J585">
        <f t="shared" si="112"/>
        <v>4</v>
      </c>
      <c r="K585">
        <f t="shared" si="113"/>
        <v>1</v>
      </c>
    </row>
    <row r="586" spans="2:11">
      <c r="B586" t="str">
        <f t="shared" si="105"/>
        <v>HYD_STO</v>
      </c>
      <c r="C586">
        <f t="shared" si="106"/>
        <v>2050</v>
      </c>
      <c r="D586" t="str">
        <f t="shared" si="107"/>
        <v>default</v>
      </c>
      <c r="E586" t="str">
        <f t="shared" si="108"/>
        <v>AT0</v>
      </c>
      <c r="F586" s="26">
        <f t="shared" si="109"/>
        <v>4115.8641641986005</v>
      </c>
      <c r="H586">
        <f t="shared" si="110"/>
        <v>6</v>
      </c>
      <c r="I586">
        <f t="shared" si="111"/>
        <v>8</v>
      </c>
      <c r="J586">
        <f t="shared" si="112"/>
        <v>4</v>
      </c>
      <c r="K586">
        <f t="shared" si="113"/>
        <v>1</v>
      </c>
    </row>
    <row r="587" spans="2:11">
      <c r="B587" t="str">
        <f t="shared" si="105"/>
        <v>GAS_LIN</v>
      </c>
      <c r="C587">
        <f t="shared" si="106"/>
        <v>2050</v>
      </c>
      <c r="D587" t="str">
        <f t="shared" si="107"/>
        <v>default</v>
      </c>
      <c r="E587" t="str">
        <f t="shared" si="108"/>
        <v>AT0</v>
      </c>
      <c r="F587" s="26">
        <f t="shared" si="109"/>
        <v>2850.4510158637399</v>
      </c>
      <c r="H587">
        <f t="shared" si="110"/>
        <v>7</v>
      </c>
      <c r="I587">
        <f t="shared" si="111"/>
        <v>8</v>
      </c>
      <c r="J587">
        <f t="shared" si="112"/>
        <v>4</v>
      </c>
      <c r="K587">
        <f t="shared" si="113"/>
        <v>1</v>
      </c>
    </row>
    <row r="588" spans="2:11">
      <c r="B588" t="str">
        <f t="shared" si="105"/>
        <v>GAS_NEW</v>
      </c>
      <c r="C588">
        <f t="shared" si="106"/>
        <v>2050</v>
      </c>
      <c r="D588" t="str">
        <f t="shared" si="107"/>
        <v>default</v>
      </c>
      <c r="E588" t="str">
        <f t="shared" si="108"/>
        <v>AT0</v>
      </c>
      <c r="F588" s="26">
        <f t="shared" si="109"/>
        <v>0</v>
      </c>
      <c r="H588">
        <f t="shared" si="110"/>
        <v>8</v>
      </c>
      <c r="I588">
        <f t="shared" si="111"/>
        <v>8</v>
      </c>
      <c r="J588">
        <f t="shared" si="112"/>
        <v>4</v>
      </c>
      <c r="K588">
        <f t="shared" si="113"/>
        <v>1</v>
      </c>
    </row>
    <row r="589" spans="2:11">
      <c r="B589" t="str">
        <f t="shared" si="105"/>
        <v>OIL_LIN</v>
      </c>
      <c r="C589">
        <f t="shared" si="106"/>
        <v>2050</v>
      </c>
      <c r="D589" t="str">
        <f t="shared" si="107"/>
        <v>default</v>
      </c>
      <c r="E589" t="str">
        <f t="shared" si="108"/>
        <v>AT0</v>
      </c>
      <c r="F589" s="26">
        <f t="shared" si="109"/>
        <v>0</v>
      </c>
      <c r="H589">
        <f t="shared" si="110"/>
        <v>9</v>
      </c>
      <c r="I589">
        <f t="shared" si="111"/>
        <v>8</v>
      </c>
      <c r="J589">
        <f t="shared" si="112"/>
        <v>4</v>
      </c>
      <c r="K589">
        <f t="shared" si="113"/>
        <v>1</v>
      </c>
    </row>
    <row r="590" spans="2:11">
      <c r="B590" t="str">
        <f t="shared" si="105"/>
        <v>BAL_ELC</v>
      </c>
      <c r="C590">
        <f t="shared" si="106"/>
        <v>2050</v>
      </c>
      <c r="D590" t="str">
        <f t="shared" si="107"/>
        <v>default</v>
      </c>
      <c r="E590" t="str">
        <f t="shared" si="108"/>
        <v>AT0</v>
      </c>
      <c r="F590" s="26">
        <f t="shared" si="109"/>
        <v>529.18233019291483</v>
      </c>
      <c r="H590">
        <f t="shared" si="110"/>
        <v>10</v>
      </c>
      <c r="I590">
        <f t="shared" si="111"/>
        <v>8</v>
      </c>
      <c r="J590">
        <f t="shared" si="112"/>
        <v>4</v>
      </c>
      <c r="K590">
        <f t="shared" si="113"/>
        <v>1</v>
      </c>
    </row>
    <row r="591" spans="2:11">
      <c r="B591" t="str">
        <f t="shared" si="105"/>
        <v>WAS_ELC</v>
      </c>
      <c r="C591">
        <f t="shared" si="106"/>
        <v>2050</v>
      </c>
      <c r="D591" t="str">
        <f t="shared" si="107"/>
        <v>default</v>
      </c>
      <c r="E591" t="str">
        <f t="shared" si="108"/>
        <v>AT0</v>
      </c>
      <c r="F591" s="26">
        <f t="shared" si="109"/>
        <v>316.77643131193724</v>
      </c>
      <c r="H591">
        <f t="shared" si="110"/>
        <v>11</v>
      </c>
      <c r="I591">
        <f t="shared" si="111"/>
        <v>8</v>
      </c>
      <c r="J591">
        <f t="shared" si="112"/>
        <v>4</v>
      </c>
      <c r="K591">
        <f t="shared" si="113"/>
        <v>1</v>
      </c>
    </row>
    <row r="592" spans="2:11">
      <c r="B592" t="str">
        <f t="shared" si="105"/>
        <v>LIG_LIN</v>
      </c>
      <c r="C592">
        <f t="shared" si="106"/>
        <v>2050</v>
      </c>
      <c r="D592" t="str">
        <f t="shared" si="107"/>
        <v>default</v>
      </c>
      <c r="E592" t="str">
        <f t="shared" si="108"/>
        <v>AT0</v>
      </c>
      <c r="F592" s="26">
        <f t="shared" si="109"/>
        <v>0</v>
      </c>
      <c r="H592">
        <f t="shared" si="110"/>
        <v>12</v>
      </c>
      <c r="I592">
        <f t="shared" si="111"/>
        <v>8</v>
      </c>
      <c r="J592">
        <f t="shared" si="112"/>
        <v>4</v>
      </c>
      <c r="K592">
        <f t="shared" si="113"/>
        <v>1</v>
      </c>
    </row>
    <row r="593" spans="2:11">
      <c r="B593" t="str">
        <f t="shared" si="105"/>
        <v>HCO_LIN</v>
      </c>
      <c r="C593">
        <f t="shared" si="106"/>
        <v>2050</v>
      </c>
      <c r="D593" t="str">
        <f t="shared" si="107"/>
        <v>default</v>
      </c>
      <c r="E593" t="str">
        <f t="shared" si="108"/>
        <v>AT0</v>
      </c>
      <c r="F593" s="26">
        <f t="shared" si="109"/>
        <v>36.396701075646199</v>
      </c>
      <c r="H593">
        <f t="shared" si="110"/>
        <v>13</v>
      </c>
      <c r="I593">
        <f t="shared" si="111"/>
        <v>8</v>
      </c>
      <c r="J593">
        <f t="shared" si="112"/>
        <v>4</v>
      </c>
      <c r="K593">
        <f t="shared" si="113"/>
        <v>1</v>
      </c>
    </row>
    <row r="594" spans="2:11">
      <c r="B594" t="str">
        <f t="shared" si="105"/>
        <v>GEO_ELC</v>
      </c>
      <c r="C594">
        <f t="shared" si="106"/>
        <v>2050</v>
      </c>
      <c r="D594" t="str">
        <f t="shared" si="107"/>
        <v>default</v>
      </c>
      <c r="E594" t="str">
        <f t="shared" si="108"/>
        <v>AT0</v>
      </c>
      <c r="F594" s="26">
        <f t="shared" si="109"/>
        <v>0</v>
      </c>
      <c r="H594">
        <f t="shared" si="110"/>
        <v>14</v>
      </c>
      <c r="I594">
        <f t="shared" si="111"/>
        <v>8</v>
      </c>
      <c r="J594">
        <f t="shared" si="112"/>
        <v>4</v>
      </c>
      <c r="K594">
        <f t="shared" si="113"/>
        <v>1</v>
      </c>
    </row>
    <row r="595" spans="2:11">
      <c r="B595" t="str">
        <f t="shared" si="105"/>
        <v>WIN_OFF</v>
      </c>
      <c r="C595">
        <f t="shared" si="106"/>
        <v>2050</v>
      </c>
      <c r="D595" t="str">
        <f t="shared" si="107"/>
        <v>default</v>
      </c>
      <c r="E595" t="str">
        <f t="shared" si="108"/>
        <v>AT0</v>
      </c>
      <c r="F595" s="26">
        <f t="shared" si="109"/>
        <v>0</v>
      </c>
      <c r="H595">
        <f t="shared" si="110"/>
        <v>15</v>
      </c>
      <c r="I595">
        <f t="shared" si="111"/>
        <v>8</v>
      </c>
      <c r="J595">
        <f t="shared" si="112"/>
        <v>4</v>
      </c>
      <c r="K595">
        <f t="shared" si="113"/>
        <v>1</v>
      </c>
    </row>
    <row r="596" spans="2:11">
      <c r="B596" t="str">
        <f t="shared" si="105"/>
        <v>NUC_ELC</v>
      </c>
      <c r="C596">
        <f t="shared" si="106"/>
        <v>2015</v>
      </c>
      <c r="D596" t="str">
        <f t="shared" si="107"/>
        <v>default</v>
      </c>
      <c r="E596" t="str">
        <f t="shared" si="108"/>
        <v>CH0</v>
      </c>
      <c r="F596" s="26">
        <f t="shared" si="109"/>
        <v>3333</v>
      </c>
      <c r="H596">
        <f t="shared" si="110"/>
        <v>1</v>
      </c>
      <c r="I596">
        <f t="shared" si="111"/>
        <v>1</v>
      </c>
      <c r="J596">
        <f t="shared" si="112"/>
        <v>5</v>
      </c>
      <c r="K596">
        <f t="shared" si="113"/>
        <v>1</v>
      </c>
    </row>
    <row r="597" spans="2:11">
      <c r="B597" t="str">
        <f t="shared" si="105"/>
        <v>SOL_PHO</v>
      </c>
      <c r="C597">
        <f t="shared" si="106"/>
        <v>2015</v>
      </c>
      <c r="D597" t="str">
        <f t="shared" si="107"/>
        <v>default</v>
      </c>
      <c r="E597" t="str">
        <f t="shared" si="108"/>
        <v>CH0</v>
      </c>
      <c r="F597" s="26">
        <f t="shared" si="109"/>
        <v>1390.1</v>
      </c>
      <c r="H597">
        <f t="shared" si="110"/>
        <v>2</v>
      </c>
      <c r="I597">
        <f t="shared" si="111"/>
        <v>1</v>
      </c>
      <c r="J597">
        <f t="shared" si="112"/>
        <v>5</v>
      </c>
      <c r="K597">
        <f t="shared" si="113"/>
        <v>1</v>
      </c>
    </row>
    <row r="598" spans="2:11">
      <c r="B598" t="str">
        <f t="shared" si="105"/>
        <v>WIN_ONS</v>
      </c>
      <c r="C598">
        <f t="shared" si="106"/>
        <v>2015</v>
      </c>
      <c r="D598" t="str">
        <f t="shared" si="107"/>
        <v>default</v>
      </c>
      <c r="E598" t="str">
        <f t="shared" si="108"/>
        <v>CH0</v>
      </c>
      <c r="F598" s="26">
        <f t="shared" si="109"/>
        <v>60.287999999999997</v>
      </c>
      <c r="H598">
        <f t="shared" si="110"/>
        <v>3</v>
      </c>
      <c r="I598">
        <f t="shared" si="111"/>
        <v>1</v>
      </c>
      <c r="J598">
        <f t="shared" si="112"/>
        <v>5</v>
      </c>
      <c r="K598">
        <f t="shared" si="113"/>
        <v>1</v>
      </c>
    </row>
    <row r="599" spans="2:11">
      <c r="B599" t="str">
        <f t="shared" si="105"/>
        <v>HYD_ROR</v>
      </c>
      <c r="C599">
        <f t="shared" si="106"/>
        <v>2015</v>
      </c>
      <c r="D599" t="str">
        <f t="shared" si="107"/>
        <v>default</v>
      </c>
      <c r="E599" t="str">
        <f t="shared" si="108"/>
        <v>CH0</v>
      </c>
      <c r="F599" s="26">
        <f t="shared" si="109"/>
        <v>4199.8690228328906</v>
      </c>
      <c r="H599">
        <f t="shared" si="110"/>
        <v>4</v>
      </c>
      <c r="I599">
        <f t="shared" si="111"/>
        <v>1</v>
      </c>
      <c r="J599">
        <f t="shared" si="112"/>
        <v>5</v>
      </c>
      <c r="K599">
        <f t="shared" si="113"/>
        <v>1</v>
      </c>
    </row>
    <row r="600" spans="2:11">
      <c r="B600" t="str">
        <f t="shared" si="105"/>
        <v>HYD_RES</v>
      </c>
      <c r="C600">
        <f t="shared" si="106"/>
        <v>2015</v>
      </c>
      <c r="D600" t="str">
        <f t="shared" si="107"/>
        <v>default</v>
      </c>
      <c r="E600" t="str">
        <f t="shared" si="108"/>
        <v>CH0</v>
      </c>
      <c r="F600" s="26">
        <f t="shared" si="109"/>
        <v>7635.7214468775128</v>
      </c>
      <c r="H600">
        <f t="shared" si="110"/>
        <v>5</v>
      </c>
      <c r="I600">
        <f t="shared" si="111"/>
        <v>1</v>
      </c>
      <c r="J600">
        <f t="shared" si="112"/>
        <v>5</v>
      </c>
      <c r="K600">
        <f t="shared" si="113"/>
        <v>1</v>
      </c>
    </row>
    <row r="601" spans="2:11">
      <c r="B601" t="str">
        <f t="shared" si="105"/>
        <v>HYD_STO</v>
      </c>
      <c r="C601">
        <f t="shared" si="106"/>
        <v>2015</v>
      </c>
      <c r="D601" t="str">
        <f t="shared" si="107"/>
        <v>default</v>
      </c>
      <c r="E601" t="str">
        <f t="shared" si="108"/>
        <v>CH0</v>
      </c>
      <c r="F601" s="26">
        <f t="shared" si="109"/>
        <v>1917.516406842997</v>
      </c>
      <c r="H601">
        <f t="shared" si="110"/>
        <v>6</v>
      </c>
      <c r="I601">
        <f t="shared" si="111"/>
        <v>1</v>
      </c>
      <c r="J601">
        <f t="shared" si="112"/>
        <v>5</v>
      </c>
      <c r="K601">
        <f t="shared" si="113"/>
        <v>1</v>
      </c>
    </row>
    <row r="602" spans="2:11">
      <c r="B602" t="str">
        <f t="shared" si="105"/>
        <v>GAS_LIN</v>
      </c>
      <c r="C602">
        <f t="shared" si="106"/>
        <v>2015</v>
      </c>
      <c r="D602" t="str">
        <f t="shared" si="107"/>
        <v>default</v>
      </c>
      <c r="E602" t="str">
        <f t="shared" si="108"/>
        <v>CH0</v>
      </c>
      <c r="F602" s="26">
        <f t="shared" si="109"/>
        <v>266.98390957074196</v>
      </c>
      <c r="H602">
        <f t="shared" si="110"/>
        <v>7</v>
      </c>
      <c r="I602">
        <f t="shared" si="111"/>
        <v>1</v>
      </c>
      <c r="J602">
        <f t="shared" si="112"/>
        <v>5</v>
      </c>
      <c r="K602">
        <f t="shared" si="113"/>
        <v>1</v>
      </c>
    </row>
    <row r="603" spans="2:11">
      <c r="B603" t="str">
        <f t="shared" si="105"/>
        <v>GAS_NEW</v>
      </c>
      <c r="C603">
        <f t="shared" si="106"/>
        <v>2015</v>
      </c>
      <c r="D603" t="str">
        <f t="shared" si="107"/>
        <v>default</v>
      </c>
      <c r="E603" t="str">
        <f t="shared" si="108"/>
        <v>CH0</v>
      </c>
      <c r="F603" s="26">
        <f t="shared" si="109"/>
        <v>154.51532725766401</v>
      </c>
      <c r="H603">
        <f t="shared" si="110"/>
        <v>8</v>
      </c>
      <c r="I603">
        <f t="shared" si="111"/>
        <v>1</v>
      </c>
      <c r="J603">
        <f t="shared" si="112"/>
        <v>5</v>
      </c>
      <c r="K603">
        <f t="shared" si="113"/>
        <v>1</v>
      </c>
    </row>
    <row r="604" spans="2:11">
      <c r="B604" t="str">
        <f t="shared" si="105"/>
        <v>OIL_LIN</v>
      </c>
      <c r="C604">
        <f t="shared" si="106"/>
        <v>2015</v>
      </c>
      <c r="D604" t="str">
        <f t="shared" si="107"/>
        <v>default</v>
      </c>
      <c r="E604" t="str">
        <f t="shared" si="108"/>
        <v>CH0</v>
      </c>
      <c r="F604" s="26">
        <f t="shared" si="109"/>
        <v>64.416256129340994</v>
      </c>
      <c r="H604">
        <f t="shared" si="110"/>
        <v>9</v>
      </c>
      <c r="I604">
        <f t="shared" si="111"/>
        <v>1</v>
      </c>
      <c r="J604">
        <f t="shared" si="112"/>
        <v>5</v>
      </c>
      <c r="K604">
        <f t="shared" si="113"/>
        <v>1</v>
      </c>
    </row>
    <row r="605" spans="2:11">
      <c r="B605" t="str">
        <f t="shared" si="105"/>
        <v>BAL_ELC</v>
      </c>
      <c r="C605">
        <f t="shared" si="106"/>
        <v>2015</v>
      </c>
      <c r="D605" t="str">
        <f t="shared" si="107"/>
        <v>default</v>
      </c>
      <c r="E605" t="str">
        <f t="shared" si="108"/>
        <v>CH0</v>
      </c>
      <c r="F605" s="26">
        <f t="shared" si="109"/>
        <v>46.2</v>
      </c>
      <c r="H605">
        <f t="shared" si="110"/>
        <v>10</v>
      </c>
      <c r="I605">
        <f t="shared" si="111"/>
        <v>1</v>
      </c>
      <c r="J605">
        <f t="shared" si="112"/>
        <v>5</v>
      </c>
      <c r="K605">
        <f t="shared" si="113"/>
        <v>1</v>
      </c>
    </row>
    <row r="606" spans="2:11">
      <c r="B606" t="str">
        <f t="shared" si="105"/>
        <v>WAS_ELC</v>
      </c>
      <c r="C606">
        <f t="shared" si="106"/>
        <v>2015</v>
      </c>
      <c r="D606" t="str">
        <f t="shared" si="107"/>
        <v>default</v>
      </c>
      <c r="E606" t="str">
        <f t="shared" si="108"/>
        <v>CH0</v>
      </c>
      <c r="F606" s="26">
        <f t="shared" si="109"/>
        <v>439.268492108766</v>
      </c>
      <c r="H606">
        <f t="shared" si="110"/>
        <v>11</v>
      </c>
      <c r="I606">
        <f t="shared" si="111"/>
        <v>1</v>
      </c>
      <c r="J606">
        <f t="shared" si="112"/>
        <v>5</v>
      </c>
      <c r="K606">
        <f t="shared" si="113"/>
        <v>1</v>
      </c>
    </row>
    <row r="607" spans="2:11">
      <c r="B607" t="str">
        <f t="shared" si="105"/>
        <v>LIG_LIN</v>
      </c>
      <c r="C607">
        <f t="shared" si="106"/>
        <v>2015</v>
      </c>
      <c r="D607" t="str">
        <f t="shared" si="107"/>
        <v>default</v>
      </c>
      <c r="E607" t="str">
        <f t="shared" si="108"/>
        <v>CH0</v>
      </c>
      <c r="F607" s="26">
        <f t="shared" si="109"/>
        <v>0</v>
      </c>
      <c r="H607">
        <f t="shared" si="110"/>
        <v>12</v>
      </c>
      <c r="I607">
        <f t="shared" si="111"/>
        <v>1</v>
      </c>
      <c r="J607">
        <f t="shared" si="112"/>
        <v>5</v>
      </c>
      <c r="K607">
        <f t="shared" si="113"/>
        <v>1</v>
      </c>
    </row>
    <row r="608" spans="2:11">
      <c r="B608" t="str">
        <f t="shared" si="105"/>
        <v>HCO_LIN</v>
      </c>
      <c r="C608">
        <f t="shared" si="106"/>
        <v>2015</v>
      </c>
      <c r="D608" t="str">
        <f t="shared" si="107"/>
        <v>default</v>
      </c>
      <c r="E608" t="str">
        <f t="shared" si="108"/>
        <v>CH0</v>
      </c>
      <c r="F608" s="26">
        <f t="shared" si="109"/>
        <v>0</v>
      </c>
      <c r="H608">
        <f t="shared" si="110"/>
        <v>13</v>
      </c>
      <c r="I608">
        <f t="shared" si="111"/>
        <v>1</v>
      </c>
      <c r="J608">
        <f t="shared" si="112"/>
        <v>5</v>
      </c>
      <c r="K608">
        <f t="shared" si="113"/>
        <v>1</v>
      </c>
    </row>
    <row r="609" spans="2:11">
      <c r="B609" t="str">
        <f t="shared" si="105"/>
        <v>GEO_ELC</v>
      </c>
      <c r="C609">
        <f t="shared" si="106"/>
        <v>2015</v>
      </c>
      <c r="D609" t="str">
        <f t="shared" si="107"/>
        <v>default</v>
      </c>
      <c r="E609" t="str">
        <f t="shared" si="108"/>
        <v>CH0</v>
      </c>
      <c r="F609" s="26">
        <f t="shared" si="109"/>
        <v>0</v>
      </c>
      <c r="H609">
        <f t="shared" si="110"/>
        <v>14</v>
      </c>
      <c r="I609">
        <f t="shared" si="111"/>
        <v>1</v>
      </c>
      <c r="J609">
        <f t="shared" si="112"/>
        <v>5</v>
      </c>
      <c r="K609">
        <f t="shared" si="113"/>
        <v>1</v>
      </c>
    </row>
    <row r="610" spans="2:11">
      <c r="B610" t="str">
        <f t="shared" si="105"/>
        <v>WIN_OFF</v>
      </c>
      <c r="C610">
        <f t="shared" si="106"/>
        <v>2015</v>
      </c>
      <c r="D610" t="str">
        <f t="shared" si="107"/>
        <v>default</v>
      </c>
      <c r="E610" t="str">
        <f t="shared" si="108"/>
        <v>CH0</v>
      </c>
      <c r="F610" s="26">
        <f t="shared" si="109"/>
        <v>0</v>
      </c>
      <c r="H610">
        <f t="shared" si="110"/>
        <v>15</v>
      </c>
      <c r="I610">
        <f t="shared" si="111"/>
        <v>1</v>
      </c>
      <c r="J610">
        <f t="shared" si="112"/>
        <v>5</v>
      </c>
      <c r="K610">
        <f t="shared" si="113"/>
        <v>1</v>
      </c>
    </row>
    <row r="611" spans="2:11">
      <c r="B611" t="str">
        <f t="shared" si="105"/>
        <v>NUC_ELC</v>
      </c>
      <c r="C611">
        <f t="shared" si="106"/>
        <v>2020</v>
      </c>
      <c r="D611" t="str">
        <f t="shared" si="107"/>
        <v>default</v>
      </c>
      <c r="E611" t="str">
        <f t="shared" si="108"/>
        <v>CH0</v>
      </c>
      <c r="F611" s="26">
        <f t="shared" si="109"/>
        <v>2874.5163073521298</v>
      </c>
      <c r="H611">
        <f t="shared" si="110"/>
        <v>1</v>
      </c>
      <c r="I611">
        <f t="shared" si="111"/>
        <v>2</v>
      </c>
      <c r="J611">
        <f t="shared" si="112"/>
        <v>5</v>
      </c>
      <c r="K611">
        <f t="shared" si="113"/>
        <v>1</v>
      </c>
    </row>
    <row r="612" spans="2:11">
      <c r="B612" t="str">
        <f t="shared" si="105"/>
        <v>SOL_PHO</v>
      </c>
      <c r="C612">
        <f t="shared" si="106"/>
        <v>2020</v>
      </c>
      <c r="D612" t="str">
        <f t="shared" si="107"/>
        <v>default</v>
      </c>
      <c r="E612" t="str">
        <f t="shared" si="108"/>
        <v>CH0</v>
      </c>
      <c r="F612" s="26">
        <f t="shared" si="109"/>
        <v>1665.2918506448</v>
      </c>
      <c r="H612">
        <f t="shared" si="110"/>
        <v>2</v>
      </c>
      <c r="I612">
        <f t="shared" si="111"/>
        <v>2</v>
      </c>
      <c r="J612">
        <f t="shared" si="112"/>
        <v>5</v>
      </c>
      <c r="K612">
        <f t="shared" si="113"/>
        <v>1</v>
      </c>
    </row>
    <row r="613" spans="2:11">
      <c r="B613" t="str">
        <f t="shared" si="105"/>
        <v>WIN_ONS</v>
      </c>
      <c r="C613">
        <f t="shared" si="106"/>
        <v>2020</v>
      </c>
      <c r="D613" t="str">
        <f t="shared" si="107"/>
        <v>default</v>
      </c>
      <c r="E613" t="str">
        <f t="shared" si="108"/>
        <v>CH0</v>
      </c>
      <c r="F613" s="26">
        <f t="shared" si="109"/>
        <v>240.568875087078</v>
      </c>
      <c r="H613">
        <f t="shared" si="110"/>
        <v>3</v>
      </c>
      <c r="I613">
        <f t="shared" si="111"/>
        <v>2</v>
      </c>
      <c r="J613">
        <f t="shared" si="112"/>
        <v>5</v>
      </c>
      <c r="K613">
        <f t="shared" si="113"/>
        <v>1</v>
      </c>
    </row>
    <row r="614" spans="2:11">
      <c r="B614" t="str">
        <f t="shared" si="105"/>
        <v>HYD_ROR</v>
      </c>
      <c r="C614">
        <f t="shared" si="106"/>
        <v>2020</v>
      </c>
      <c r="D614" t="str">
        <f t="shared" si="107"/>
        <v>default</v>
      </c>
      <c r="E614" t="str">
        <f t="shared" si="108"/>
        <v>CH0</v>
      </c>
      <c r="F614" s="26">
        <f t="shared" si="109"/>
        <v>5334.3737928055307</v>
      </c>
      <c r="H614">
        <f t="shared" si="110"/>
        <v>4</v>
      </c>
      <c r="I614">
        <f t="shared" si="111"/>
        <v>2</v>
      </c>
      <c r="J614">
        <f t="shared" si="112"/>
        <v>5</v>
      </c>
      <c r="K614">
        <f t="shared" si="113"/>
        <v>1</v>
      </c>
    </row>
    <row r="615" spans="2:11">
      <c r="B615" t="str">
        <f t="shared" si="105"/>
        <v>HYD_RES</v>
      </c>
      <c r="C615">
        <f t="shared" si="106"/>
        <v>2020</v>
      </c>
      <c r="D615" t="str">
        <f t="shared" si="107"/>
        <v>default</v>
      </c>
      <c r="E615" t="str">
        <f t="shared" si="108"/>
        <v>CH0</v>
      </c>
      <c r="F615" s="26">
        <f t="shared" si="109"/>
        <v>9698.3482470394229</v>
      </c>
      <c r="H615">
        <f t="shared" si="110"/>
        <v>5</v>
      </c>
      <c r="I615">
        <f t="shared" si="111"/>
        <v>2</v>
      </c>
      <c r="J615">
        <f t="shared" si="112"/>
        <v>5</v>
      </c>
      <c r="K615">
        <f t="shared" si="113"/>
        <v>1</v>
      </c>
    </row>
    <row r="616" spans="2:11">
      <c r="B616" t="str">
        <f t="shared" si="105"/>
        <v>HYD_STO</v>
      </c>
      <c r="C616">
        <f t="shared" si="106"/>
        <v>2020</v>
      </c>
      <c r="D616" t="str">
        <f t="shared" si="107"/>
        <v>default</v>
      </c>
      <c r="E616" t="str">
        <f t="shared" si="108"/>
        <v>CH0</v>
      </c>
      <c r="F616" s="26">
        <f t="shared" si="109"/>
        <v>2435.4924432949165</v>
      </c>
      <c r="H616">
        <f t="shared" si="110"/>
        <v>6</v>
      </c>
      <c r="I616">
        <f t="shared" si="111"/>
        <v>2</v>
      </c>
      <c r="J616">
        <f t="shared" si="112"/>
        <v>5</v>
      </c>
      <c r="K616">
        <f t="shared" si="113"/>
        <v>1</v>
      </c>
    </row>
    <row r="617" spans="2:11">
      <c r="B617" t="str">
        <f t="shared" si="105"/>
        <v>GAS_LIN</v>
      </c>
      <c r="C617">
        <f t="shared" si="106"/>
        <v>2020</v>
      </c>
      <c r="D617" t="str">
        <f t="shared" si="107"/>
        <v>default</v>
      </c>
      <c r="E617" t="str">
        <f t="shared" si="108"/>
        <v>CH0</v>
      </c>
      <c r="F617" s="26">
        <f t="shared" si="109"/>
        <v>267.20528926358645</v>
      </c>
      <c r="H617">
        <f t="shared" si="110"/>
        <v>7</v>
      </c>
      <c r="I617">
        <f t="shared" si="111"/>
        <v>2</v>
      </c>
      <c r="J617">
        <f t="shared" si="112"/>
        <v>5</v>
      </c>
      <c r="K617">
        <f t="shared" si="113"/>
        <v>1</v>
      </c>
    </row>
    <row r="618" spans="2:11">
      <c r="B618" t="str">
        <f t="shared" si="105"/>
        <v>GAS_NEW</v>
      </c>
      <c r="C618">
        <f t="shared" si="106"/>
        <v>2020</v>
      </c>
      <c r="D618" t="str">
        <f t="shared" si="107"/>
        <v>default</v>
      </c>
      <c r="E618" t="str">
        <f t="shared" si="108"/>
        <v>CH0</v>
      </c>
      <c r="F618" s="26">
        <f t="shared" si="109"/>
        <v>331.67495854062997</v>
      </c>
      <c r="H618">
        <f t="shared" si="110"/>
        <v>8</v>
      </c>
      <c r="I618">
        <f t="shared" si="111"/>
        <v>2</v>
      </c>
      <c r="J618">
        <f t="shared" si="112"/>
        <v>5</v>
      </c>
      <c r="K618">
        <f t="shared" si="113"/>
        <v>1</v>
      </c>
    </row>
    <row r="619" spans="2:11">
      <c r="B619" t="str">
        <f t="shared" si="105"/>
        <v>OIL_LIN</v>
      </c>
      <c r="C619">
        <f t="shared" si="106"/>
        <v>2020</v>
      </c>
      <c r="D619" t="str">
        <f t="shared" si="107"/>
        <v>default</v>
      </c>
      <c r="E619" t="str">
        <f t="shared" si="108"/>
        <v>CH0</v>
      </c>
      <c r="F619" s="26">
        <f t="shared" si="109"/>
        <v>64.469669277043536</v>
      </c>
      <c r="H619">
        <f t="shared" si="110"/>
        <v>9</v>
      </c>
      <c r="I619">
        <f t="shared" si="111"/>
        <v>2</v>
      </c>
      <c r="J619">
        <f t="shared" si="112"/>
        <v>5</v>
      </c>
      <c r="K619">
        <f t="shared" si="113"/>
        <v>1</v>
      </c>
    </row>
    <row r="620" spans="2:11">
      <c r="B620" t="str">
        <f t="shared" si="105"/>
        <v>BAL_ELC</v>
      </c>
      <c r="C620">
        <f t="shared" si="106"/>
        <v>2020</v>
      </c>
      <c r="D620" t="str">
        <f t="shared" si="107"/>
        <v>default</v>
      </c>
      <c r="E620" t="str">
        <f t="shared" si="108"/>
        <v>CH0</v>
      </c>
      <c r="F620" s="26">
        <f t="shared" si="109"/>
        <v>191.26334532998399</v>
      </c>
      <c r="H620">
        <f t="shared" si="110"/>
        <v>10</v>
      </c>
      <c r="I620">
        <f t="shared" si="111"/>
        <v>2</v>
      </c>
      <c r="J620">
        <f t="shared" si="112"/>
        <v>5</v>
      </c>
      <c r="K620">
        <f t="shared" si="113"/>
        <v>1</v>
      </c>
    </row>
    <row r="621" spans="2:11">
      <c r="B621" t="str">
        <f t="shared" si="105"/>
        <v>WAS_ELC</v>
      </c>
      <c r="C621">
        <f t="shared" si="106"/>
        <v>2020</v>
      </c>
      <c r="D621" t="str">
        <f t="shared" si="107"/>
        <v>default</v>
      </c>
      <c r="E621" t="str">
        <f t="shared" si="108"/>
        <v>CH0</v>
      </c>
      <c r="F621" s="26">
        <f t="shared" si="109"/>
        <v>470.22880300472502</v>
      </c>
      <c r="H621">
        <f t="shared" si="110"/>
        <v>11</v>
      </c>
      <c r="I621">
        <f t="shared" si="111"/>
        <v>2</v>
      </c>
      <c r="J621">
        <f t="shared" si="112"/>
        <v>5</v>
      </c>
      <c r="K621">
        <f t="shared" si="113"/>
        <v>1</v>
      </c>
    </row>
    <row r="622" spans="2:11">
      <c r="B622" t="str">
        <f t="shared" si="105"/>
        <v>LIG_LIN</v>
      </c>
      <c r="C622">
        <f t="shared" si="106"/>
        <v>2020</v>
      </c>
      <c r="D622" t="str">
        <f t="shared" si="107"/>
        <v>default</v>
      </c>
      <c r="E622" t="str">
        <f t="shared" si="108"/>
        <v>CH0</v>
      </c>
      <c r="F622" s="26">
        <f t="shared" si="109"/>
        <v>0</v>
      </c>
      <c r="H622">
        <f t="shared" si="110"/>
        <v>12</v>
      </c>
      <c r="I622">
        <f t="shared" si="111"/>
        <v>2</v>
      </c>
      <c r="J622">
        <f t="shared" si="112"/>
        <v>5</v>
      </c>
      <c r="K622">
        <f t="shared" si="113"/>
        <v>1</v>
      </c>
    </row>
    <row r="623" spans="2:11">
      <c r="B623" t="str">
        <f t="shared" si="105"/>
        <v>HCO_LIN</v>
      </c>
      <c r="C623">
        <f t="shared" si="106"/>
        <v>2020</v>
      </c>
      <c r="D623" t="str">
        <f t="shared" si="107"/>
        <v>default</v>
      </c>
      <c r="E623" t="str">
        <f t="shared" si="108"/>
        <v>CH0</v>
      </c>
      <c r="F623" s="26">
        <f t="shared" si="109"/>
        <v>0</v>
      </c>
      <c r="H623">
        <f t="shared" si="110"/>
        <v>13</v>
      </c>
      <c r="I623">
        <f t="shared" si="111"/>
        <v>2</v>
      </c>
      <c r="J623">
        <f t="shared" si="112"/>
        <v>5</v>
      </c>
      <c r="K623">
        <f t="shared" si="113"/>
        <v>1</v>
      </c>
    </row>
    <row r="624" spans="2:11">
      <c r="B624" t="str">
        <f t="shared" si="105"/>
        <v>GEO_ELC</v>
      </c>
      <c r="C624">
        <f t="shared" si="106"/>
        <v>2020</v>
      </c>
      <c r="D624" t="str">
        <f t="shared" si="107"/>
        <v>default</v>
      </c>
      <c r="E624" t="str">
        <f t="shared" si="108"/>
        <v>CH0</v>
      </c>
      <c r="F624" s="26">
        <f t="shared" si="109"/>
        <v>12.9795791896249</v>
      </c>
      <c r="H624">
        <f t="shared" si="110"/>
        <v>14</v>
      </c>
      <c r="I624">
        <f t="shared" si="111"/>
        <v>2</v>
      </c>
      <c r="J624">
        <f t="shared" si="112"/>
        <v>5</v>
      </c>
      <c r="K624">
        <f t="shared" si="113"/>
        <v>1</v>
      </c>
    </row>
    <row r="625" spans="2:11">
      <c r="B625" t="str">
        <f t="shared" si="105"/>
        <v>WIN_OFF</v>
      </c>
      <c r="C625">
        <f t="shared" si="106"/>
        <v>2020</v>
      </c>
      <c r="D625" t="str">
        <f t="shared" si="107"/>
        <v>default</v>
      </c>
      <c r="E625" t="str">
        <f t="shared" si="108"/>
        <v>CH0</v>
      </c>
      <c r="F625" s="26">
        <f t="shared" si="109"/>
        <v>0</v>
      </c>
      <c r="H625">
        <f t="shared" si="110"/>
        <v>15</v>
      </c>
      <c r="I625">
        <f t="shared" si="111"/>
        <v>2</v>
      </c>
      <c r="J625">
        <f t="shared" si="112"/>
        <v>5</v>
      </c>
      <c r="K625">
        <f t="shared" si="113"/>
        <v>1</v>
      </c>
    </row>
    <row r="626" spans="2:11">
      <c r="B626" t="str">
        <f t="shared" si="105"/>
        <v>NUC_ELC</v>
      </c>
      <c r="C626">
        <f t="shared" si="106"/>
        <v>2025</v>
      </c>
      <c r="D626" t="str">
        <f t="shared" si="107"/>
        <v>default</v>
      </c>
      <c r="E626" t="str">
        <f t="shared" si="108"/>
        <v>CH0</v>
      </c>
      <c r="F626" s="26">
        <f t="shared" si="109"/>
        <v>2166.9430624654501</v>
      </c>
      <c r="H626">
        <f t="shared" si="110"/>
        <v>1</v>
      </c>
      <c r="I626">
        <f t="shared" si="111"/>
        <v>3</v>
      </c>
      <c r="J626">
        <f t="shared" si="112"/>
        <v>5</v>
      </c>
      <c r="K626">
        <f t="shared" si="113"/>
        <v>1</v>
      </c>
    </row>
    <row r="627" spans="2:11">
      <c r="B627" t="str">
        <f t="shared" si="105"/>
        <v>SOL_PHO</v>
      </c>
      <c r="C627">
        <f t="shared" si="106"/>
        <v>2025</v>
      </c>
      <c r="D627" t="str">
        <f t="shared" si="107"/>
        <v>default</v>
      </c>
      <c r="E627" t="str">
        <f t="shared" si="108"/>
        <v>CH0</v>
      </c>
      <c r="F627" s="26">
        <f t="shared" si="109"/>
        <v>2192.7428977140098</v>
      </c>
      <c r="H627">
        <f t="shared" si="110"/>
        <v>2</v>
      </c>
      <c r="I627">
        <f t="shared" si="111"/>
        <v>3</v>
      </c>
      <c r="J627">
        <f t="shared" si="112"/>
        <v>5</v>
      </c>
      <c r="K627">
        <f t="shared" si="113"/>
        <v>1</v>
      </c>
    </row>
    <row r="628" spans="2:11">
      <c r="B628" t="str">
        <f t="shared" ref="B628:B691" si="114">INDEX(H$100:H$114,H628)</f>
        <v>WIN_ONS</v>
      </c>
      <c r="C628">
        <f t="shared" ref="C628:C691" si="115">INDEX(I$100:I$114,I628)</f>
        <v>2025</v>
      </c>
      <c r="D628" t="str">
        <f t="shared" ref="D628:D691" si="116">INDEX(K$100:K$114,K628)</f>
        <v>default</v>
      </c>
      <c r="E628" t="str">
        <f t="shared" ref="E628:E691" si="117">INDEX(J$100:J$114,J628)</f>
        <v>CH0</v>
      </c>
      <c r="F628" s="26">
        <f t="shared" ref="F628:F691" si="118">INDEX($P$6:$X$84,MATCH(E628&amp;"."&amp;B628,$Z$6:$Z$84,0),MATCH(C628,$P$5:$X$5,0))</f>
        <v>432.48077437332302</v>
      </c>
      <c r="H628">
        <f t="shared" si="110"/>
        <v>3</v>
      </c>
      <c r="I628">
        <f t="shared" si="111"/>
        <v>3</v>
      </c>
      <c r="J628">
        <f t="shared" si="112"/>
        <v>5</v>
      </c>
      <c r="K628">
        <f t="shared" si="113"/>
        <v>1</v>
      </c>
    </row>
    <row r="629" spans="2:11">
      <c r="B629" t="str">
        <f t="shared" si="114"/>
        <v>HYD_ROR</v>
      </c>
      <c r="C629">
        <f t="shared" si="115"/>
        <v>2025</v>
      </c>
      <c r="D629" t="str">
        <f t="shared" si="116"/>
        <v>default</v>
      </c>
      <c r="E629" t="str">
        <f t="shared" si="117"/>
        <v>CH0</v>
      </c>
      <c r="F629" s="26">
        <f t="shared" si="118"/>
        <v>5381.6403960329208</v>
      </c>
      <c r="H629">
        <f t="shared" ref="H629:H692" si="119">IF(H628=$H$99,1,H628+1)</f>
        <v>4</v>
      </c>
      <c r="I629">
        <f t="shared" ref="I629:I692" si="120">IF(H629=1,IF(I628=$I$99,1,I628+1),I628)</f>
        <v>3</v>
      </c>
      <c r="J629">
        <f t="shared" ref="J629:J692" si="121">IF(AND(I629=1,I628&gt;1),IF(J628=$J$99,1,J628+1),J628)</f>
        <v>5</v>
      </c>
      <c r="K629">
        <f t="shared" ref="K629:K692" si="122">IF(AND(J629=1,J628&gt;1),IF(K628=$K$99,1,K628+1),K628)</f>
        <v>1</v>
      </c>
    </row>
    <row r="630" spans="2:11">
      <c r="B630" t="str">
        <f t="shared" si="114"/>
        <v>HYD_RES</v>
      </c>
      <c r="C630">
        <f t="shared" si="115"/>
        <v>2025</v>
      </c>
      <c r="D630" t="str">
        <f t="shared" si="116"/>
        <v>default</v>
      </c>
      <c r="E630" t="str">
        <f t="shared" si="117"/>
        <v>CH0</v>
      </c>
      <c r="F630" s="26">
        <f t="shared" si="118"/>
        <v>9784.2829783423022</v>
      </c>
      <c r="H630">
        <f t="shared" si="119"/>
        <v>5</v>
      </c>
      <c r="I630">
        <f t="shared" si="120"/>
        <v>3</v>
      </c>
      <c r="J630">
        <f t="shared" si="121"/>
        <v>5</v>
      </c>
      <c r="K630">
        <f t="shared" si="122"/>
        <v>1</v>
      </c>
    </row>
    <row r="631" spans="2:11">
      <c r="B631" t="str">
        <f t="shared" si="114"/>
        <v>HYD_STO</v>
      </c>
      <c r="C631">
        <f t="shared" si="115"/>
        <v>2025</v>
      </c>
      <c r="D631" t="str">
        <f t="shared" si="116"/>
        <v>default</v>
      </c>
      <c r="E631" t="str">
        <f t="shared" si="117"/>
        <v>CH0</v>
      </c>
      <c r="F631" s="26">
        <f t="shared" si="118"/>
        <v>2457.0727560836058</v>
      </c>
      <c r="H631">
        <f t="shared" si="119"/>
        <v>6</v>
      </c>
      <c r="I631">
        <f t="shared" si="120"/>
        <v>3</v>
      </c>
      <c r="J631">
        <f t="shared" si="121"/>
        <v>5</v>
      </c>
      <c r="K631">
        <f t="shared" si="122"/>
        <v>1</v>
      </c>
    </row>
    <row r="632" spans="2:11">
      <c r="B632" t="str">
        <f t="shared" si="114"/>
        <v>GAS_LIN</v>
      </c>
      <c r="C632">
        <f t="shared" si="115"/>
        <v>2025</v>
      </c>
      <c r="D632" t="str">
        <f t="shared" si="116"/>
        <v>default</v>
      </c>
      <c r="E632" t="str">
        <f t="shared" si="117"/>
        <v>CH0</v>
      </c>
      <c r="F632" s="26">
        <f t="shared" si="118"/>
        <v>124.58446611914741</v>
      </c>
      <c r="H632">
        <f t="shared" si="119"/>
        <v>7</v>
      </c>
      <c r="I632">
        <f t="shared" si="120"/>
        <v>3</v>
      </c>
      <c r="J632">
        <f t="shared" si="121"/>
        <v>5</v>
      </c>
      <c r="K632">
        <f t="shared" si="122"/>
        <v>1</v>
      </c>
    </row>
    <row r="633" spans="2:11">
      <c r="B633" t="str">
        <f t="shared" si="114"/>
        <v>GAS_NEW</v>
      </c>
      <c r="C633">
        <f t="shared" si="115"/>
        <v>2025</v>
      </c>
      <c r="D633" t="str">
        <f t="shared" si="116"/>
        <v>default</v>
      </c>
      <c r="E633" t="str">
        <f t="shared" si="117"/>
        <v>CH0</v>
      </c>
      <c r="F633" s="26">
        <f t="shared" si="118"/>
        <v>1039.3864013267</v>
      </c>
      <c r="H633">
        <f t="shared" si="119"/>
        <v>8</v>
      </c>
      <c r="I633">
        <f t="shared" si="120"/>
        <v>3</v>
      </c>
      <c r="J633">
        <f t="shared" si="121"/>
        <v>5</v>
      </c>
      <c r="K633">
        <f t="shared" si="122"/>
        <v>1</v>
      </c>
    </row>
    <row r="634" spans="2:11">
      <c r="B634" t="str">
        <f t="shared" si="114"/>
        <v>OIL_LIN</v>
      </c>
      <c r="C634">
        <f t="shared" si="115"/>
        <v>2025</v>
      </c>
      <c r="D634" t="str">
        <f t="shared" si="116"/>
        <v>default</v>
      </c>
      <c r="E634" t="str">
        <f t="shared" si="117"/>
        <v>CH0</v>
      </c>
      <c r="F634" s="26">
        <f t="shared" si="118"/>
        <v>30.058983300421602</v>
      </c>
      <c r="H634">
        <f t="shared" si="119"/>
        <v>9</v>
      </c>
      <c r="I634">
        <f t="shared" si="120"/>
        <v>3</v>
      </c>
      <c r="J634">
        <f t="shared" si="121"/>
        <v>5</v>
      </c>
      <c r="K634">
        <f t="shared" si="122"/>
        <v>1</v>
      </c>
    </row>
    <row r="635" spans="2:11">
      <c r="B635" t="str">
        <f t="shared" si="114"/>
        <v>BAL_ELC</v>
      </c>
      <c r="C635">
        <f t="shared" si="115"/>
        <v>2025</v>
      </c>
      <c r="D635" t="str">
        <f t="shared" si="116"/>
        <v>default</v>
      </c>
      <c r="E635" t="str">
        <f t="shared" si="117"/>
        <v>CH0</v>
      </c>
      <c r="F635" s="26">
        <f t="shared" si="118"/>
        <v>407.58587783961002</v>
      </c>
      <c r="H635">
        <f t="shared" si="119"/>
        <v>10</v>
      </c>
      <c r="I635">
        <f t="shared" si="120"/>
        <v>3</v>
      </c>
      <c r="J635">
        <f t="shared" si="121"/>
        <v>5</v>
      </c>
      <c r="K635">
        <f t="shared" si="122"/>
        <v>1</v>
      </c>
    </row>
    <row r="636" spans="2:11">
      <c r="B636" t="str">
        <f t="shared" si="114"/>
        <v>WAS_ELC</v>
      </c>
      <c r="C636">
        <f t="shared" si="115"/>
        <v>2025</v>
      </c>
      <c r="D636" t="str">
        <f t="shared" si="116"/>
        <v>default</v>
      </c>
      <c r="E636" t="str">
        <f t="shared" si="117"/>
        <v>CH0</v>
      </c>
      <c r="F636" s="26">
        <f t="shared" si="118"/>
        <v>506.81826133631301</v>
      </c>
      <c r="H636">
        <f t="shared" si="119"/>
        <v>11</v>
      </c>
      <c r="I636">
        <f t="shared" si="120"/>
        <v>3</v>
      </c>
      <c r="J636">
        <f t="shared" si="121"/>
        <v>5</v>
      </c>
      <c r="K636">
        <f t="shared" si="122"/>
        <v>1</v>
      </c>
    </row>
    <row r="637" spans="2:11">
      <c r="B637" t="str">
        <f t="shared" si="114"/>
        <v>LIG_LIN</v>
      </c>
      <c r="C637">
        <f t="shared" si="115"/>
        <v>2025</v>
      </c>
      <c r="D637" t="str">
        <f t="shared" si="116"/>
        <v>default</v>
      </c>
      <c r="E637" t="str">
        <f t="shared" si="117"/>
        <v>CH0</v>
      </c>
      <c r="F637" s="26">
        <f t="shared" si="118"/>
        <v>0</v>
      </c>
      <c r="H637">
        <f t="shared" si="119"/>
        <v>12</v>
      </c>
      <c r="I637">
        <f t="shared" si="120"/>
        <v>3</v>
      </c>
      <c r="J637">
        <f t="shared" si="121"/>
        <v>5</v>
      </c>
      <c r="K637">
        <f t="shared" si="122"/>
        <v>1</v>
      </c>
    </row>
    <row r="638" spans="2:11">
      <c r="B638" t="str">
        <f t="shared" si="114"/>
        <v>HCO_LIN</v>
      </c>
      <c r="C638">
        <f t="shared" si="115"/>
        <v>2025</v>
      </c>
      <c r="D638" t="str">
        <f t="shared" si="116"/>
        <v>default</v>
      </c>
      <c r="E638" t="str">
        <f t="shared" si="117"/>
        <v>CH0</v>
      </c>
      <c r="F638" s="26">
        <f t="shared" si="118"/>
        <v>0</v>
      </c>
      <c r="H638">
        <f t="shared" si="119"/>
        <v>13</v>
      </c>
      <c r="I638">
        <f t="shared" si="120"/>
        <v>3</v>
      </c>
      <c r="J638">
        <f t="shared" si="121"/>
        <v>5</v>
      </c>
      <c r="K638">
        <f t="shared" si="122"/>
        <v>1</v>
      </c>
    </row>
    <row r="639" spans="2:11">
      <c r="B639" t="str">
        <f t="shared" si="114"/>
        <v>GEO_ELC</v>
      </c>
      <c r="C639">
        <f t="shared" si="115"/>
        <v>2025</v>
      </c>
      <c r="D639" t="str">
        <f t="shared" si="116"/>
        <v>default</v>
      </c>
      <c r="E639" t="str">
        <f t="shared" si="117"/>
        <v>CH0</v>
      </c>
      <c r="F639" s="26">
        <f t="shared" si="118"/>
        <v>37.640779649912098</v>
      </c>
      <c r="H639">
        <f t="shared" si="119"/>
        <v>14</v>
      </c>
      <c r="I639">
        <f t="shared" si="120"/>
        <v>3</v>
      </c>
      <c r="J639">
        <f t="shared" si="121"/>
        <v>5</v>
      </c>
      <c r="K639">
        <f t="shared" si="122"/>
        <v>1</v>
      </c>
    </row>
    <row r="640" spans="2:11">
      <c r="B640" t="str">
        <f t="shared" si="114"/>
        <v>WIN_OFF</v>
      </c>
      <c r="C640">
        <f t="shared" si="115"/>
        <v>2025</v>
      </c>
      <c r="D640" t="str">
        <f t="shared" si="116"/>
        <v>default</v>
      </c>
      <c r="E640" t="str">
        <f t="shared" si="117"/>
        <v>CH0</v>
      </c>
      <c r="F640" s="26">
        <f t="shared" si="118"/>
        <v>0</v>
      </c>
      <c r="H640">
        <f t="shared" si="119"/>
        <v>15</v>
      </c>
      <c r="I640">
        <f t="shared" si="120"/>
        <v>3</v>
      </c>
      <c r="J640">
        <f t="shared" si="121"/>
        <v>5</v>
      </c>
      <c r="K640">
        <f t="shared" si="122"/>
        <v>1</v>
      </c>
    </row>
    <row r="641" spans="2:11">
      <c r="B641" t="str">
        <f t="shared" si="114"/>
        <v>NUC_ELC</v>
      </c>
      <c r="C641">
        <f t="shared" si="115"/>
        <v>2030</v>
      </c>
      <c r="D641" t="str">
        <f t="shared" si="116"/>
        <v>default</v>
      </c>
      <c r="E641" t="str">
        <f t="shared" si="117"/>
        <v>CH0</v>
      </c>
      <c r="F641" s="26">
        <f t="shared" si="118"/>
        <v>1194.0298507462701</v>
      </c>
      <c r="H641">
        <f t="shared" si="119"/>
        <v>1</v>
      </c>
      <c r="I641">
        <f t="shared" si="120"/>
        <v>4</v>
      </c>
      <c r="J641">
        <f t="shared" si="121"/>
        <v>5</v>
      </c>
      <c r="K641">
        <f t="shared" si="122"/>
        <v>1</v>
      </c>
    </row>
    <row r="642" spans="2:11">
      <c r="B642" t="str">
        <f t="shared" si="114"/>
        <v>SOL_PHO</v>
      </c>
      <c r="C642">
        <f t="shared" si="115"/>
        <v>2030</v>
      </c>
      <c r="D642" t="str">
        <f t="shared" si="116"/>
        <v>default</v>
      </c>
      <c r="E642" t="str">
        <f t="shared" si="117"/>
        <v>CH0</v>
      </c>
      <c r="F642" s="26">
        <f t="shared" si="118"/>
        <v>3259.1113189626299</v>
      </c>
      <c r="H642">
        <f t="shared" si="119"/>
        <v>2</v>
      </c>
      <c r="I642">
        <f t="shared" si="120"/>
        <v>4</v>
      </c>
      <c r="J642">
        <f t="shared" si="121"/>
        <v>5</v>
      </c>
      <c r="K642">
        <f t="shared" si="122"/>
        <v>1</v>
      </c>
    </row>
    <row r="643" spans="2:11">
      <c r="B643" t="str">
        <f t="shared" si="114"/>
        <v>WIN_ONS</v>
      </c>
      <c r="C643">
        <f t="shared" si="115"/>
        <v>2030</v>
      </c>
      <c r="D643" t="str">
        <f t="shared" si="116"/>
        <v>default</v>
      </c>
      <c r="E643" t="str">
        <f t="shared" si="117"/>
        <v>CH0</v>
      </c>
      <c r="F643" s="26">
        <f t="shared" si="118"/>
        <v>705.80984305373204</v>
      </c>
      <c r="H643">
        <f t="shared" si="119"/>
        <v>3</v>
      </c>
      <c r="I643">
        <f t="shared" si="120"/>
        <v>4</v>
      </c>
      <c r="J643">
        <f t="shared" si="121"/>
        <v>5</v>
      </c>
      <c r="K643">
        <f t="shared" si="122"/>
        <v>1</v>
      </c>
    </row>
    <row r="644" spans="2:11">
      <c r="B644" t="str">
        <f t="shared" si="114"/>
        <v>HYD_ROR</v>
      </c>
      <c r="C644">
        <f t="shared" si="115"/>
        <v>2030</v>
      </c>
      <c r="D644" t="str">
        <f t="shared" si="116"/>
        <v>default</v>
      </c>
      <c r="E644" t="str">
        <f t="shared" si="117"/>
        <v>CH0</v>
      </c>
      <c r="F644" s="26">
        <f t="shared" si="118"/>
        <v>5408.6498835914281</v>
      </c>
      <c r="H644">
        <f t="shared" si="119"/>
        <v>4</v>
      </c>
      <c r="I644">
        <f t="shared" si="120"/>
        <v>4</v>
      </c>
      <c r="J644">
        <f t="shared" si="121"/>
        <v>5</v>
      </c>
      <c r="K644">
        <f t="shared" si="122"/>
        <v>1</v>
      </c>
    </row>
    <row r="645" spans="2:11">
      <c r="B645" t="str">
        <f t="shared" si="114"/>
        <v>HYD_RES</v>
      </c>
      <c r="C645">
        <f t="shared" si="115"/>
        <v>2030</v>
      </c>
      <c r="D645" t="str">
        <f t="shared" si="116"/>
        <v>default</v>
      </c>
      <c r="E645" t="str">
        <f t="shared" si="117"/>
        <v>CH0</v>
      </c>
      <c r="F645" s="26">
        <f t="shared" si="118"/>
        <v>9833.3885390868036</v>
      </c>
      <c r="H645">
        <f t="shared" si="119"/>
        <v>5</v>
      </c>
      <c r="I645">
        <f t="shared" si="120"/>
        <v>4</v>
      </c>
      <c r="J645">
        <f t="shared" si="121"/>
        <v>5</v>
      </c>
      <c r="K645">
        <f t="shared" si="122"/>
        <v>1</v>
      </c>
    </row>
    <row r="646" spans="2:11">
      <c r="B646" t="str">
        <f t="shared" si="114"/>
        <v>HYD_STO</v>
      </c>
      <c r="C646">
        <f t="shared" si="115"/>
        <v>2030</v>
      </c>
      <c r="D646" t="str">
        <f t="shared" si="116"/>
        <v>default</v>
      </c>
      <c r="E646" t="str">
        <f t="shared" si="117"/>
        <v>CH0</v>
      </c>
      <c r="F646" s="26">
        <f t="shared" si="118"/>
        <v>2469.4043633914275</v>
      </c>
      <c r="H646">
        <f t="shared" si="119"/>
        <v>6</v>
      </c>
      <c r="I646">
        <f t="shared" si="120"/>
        <v>4</v>
      </c>
      <c r="J646">
        <f t="shared" si="121"/>
        <v>5</v>
      </c>
      <c r="K646">
        <f t="shared" si="122"/>
        <v>1</v>
      </c>
    </row>
    <row r="647" spans="2:11">
      <c r="B647" t="str">
        <f t="shared" si="114"/>
        <v>GAS_LIN</v>
      </c>
      <c r="C647">
        <f t="shared" si="115"/>
        <v>2030</v>
      </c>
      <c r="D647" t="str">
        <f t="shared" si="116"/>
        <v>default</v>
      </c>
      <c r="E647" t="str">
        <f t="shared" si="117"/>
        <v>CH0</v>
      </c>
      <c r="F647" s="26">
        <f t="shared" si="118"/>
        <v>71.143408266429944</v>
      </c>
      <c r="H647">
        <f t="shared" si="119"/>
        <v>7</v>
      </c>
      <c r="I647">
        <f t="shared" si="120"/>
        <v>4</v>
      </c>
      <c r="J647">
        <f t="shared" si="121"/>
        <v>5</v>
      </c>
      <c r="K647">
        <f t="shared" si="122"/>
        <v>1</v>
      </c>
    </row>
    <row r="648" spans="2:11">
      <c r="B648" t="str">
        <f t="shared" si="114"/>
        <v>GAS_NEW</v>
      </c>
      <c r="C648">
        <f t="shared" si="115"/>
        <v>2030</v>
      </c>
      <c r="D648" t="str">
        <f t="shared" si="116"/>
        <v>default</v>
      </c>
      <c r="E648" t="str">
        <f t="shared" si="117"/>
        <v>CH0</v>
      </c>
      <c r="F648" s="26">
        <f t="shared" si="118"/>
        <v>1680.624654505247</v>
      </c>
      <c r="H648">
        <f t="shared" si="119"/>
        <v>8</v>
      </c>
      <c r="I648">
        <f t="shared" si="120"/>
        <v>4</v>
      </c>
      <c r="J648">
        <f t="shared" si="121"/>
        <v>5</v>
      </c>
      <c r="K648">
        <f t="shared" si="122"/>
        <v>1</v>
      </c>
    </row>
    <row r="649" spans="2:11">
      <c r="B649" t="str">
        <f t="shared" si="114"/>
        <v>OIL_LIN</v>
      </c>
      <c r="C649">
        <f t="shared" si="115"/>
        <v>2030</v>
      </c>
      <c r="D649" t="str">
        <f t="shared" si="116"/>
        <v>default</v>
      </c>
      <c r="E649" t="str">
        <f t="shared" si="117"/>
        <v>CH0</v>
      </c>
      <c r="F649" s="26">
        <f t="shared" si="118"/>
        <v>17.165049445012855</v>
      </c>
      <c r="H649">
        <f t="shared" si="119"/>
        <v>9</v>
      </c>
      <c r="I649">
        <f t="shared" si="120"/>
        <v>4</v>
      </c>
      <c r="J649">
        <f t="shared" si="121"/>
        <v>5</v>
      </c>
      <c r="K649">
        <f t="shared" si="122"/>
        <v>1</v>
      </c>
    </row>
    <row r="650" spans="2:11">
      <c r="B650" t="str">
        <f t="shared" si="114"/>
        <v>BAL_ELC</v>
      </c>
      <c r="C650">
        <f t="shared" si="115"/>
        <v>2030</v>
      </c>
      <c r="D650" t="str">
        <f t="shared" si="116"/>
        <v>default</v>
      </c>
      <c r="E650" t="str">
        <f t="shared" si="117"/>
        <v>CH0</v>
      </c>
      <c r="F650" s="26">
        <f t="shared" si="118"/>
        <v>585.73384578871298</v>
      </c>
      <c r="H650">
        <f t="shared" si="119"/>
        <v>10</v>
      </c>
      <c r="I650">
        <f t="shared" si="120"/>
        <v>4</v>
      </c>
      <c r="J650">
        <f t="shared" si="121"/>
        <v>5</v>
      </c>
      <c r="K650">
        <f t="shared" si="122"/>
        <v>1</v>
      </c>
    </row>
    <row r="651" spans="2:11">
      <c r="B651" t="str">
        <f t="shared" si="114"/>
        <v>WAS_ELC</v>
      </c>
      <c r="C651">
        <f t="shared" si="115"/>
        <v>2030</v>
      </c>
      <c r="D651" t="str">
        <f t="shared" si="116"/>
        <v>default</v>
      </c>
      <c r="E651" t="str">
        <f t="shared" si="117"/>
        <v>CH0</v>
      </c>
      <c r="F651" s="26">
        <f t="shared" si="118"/>
        <v>532.14942479664398</v>
      </c>
      <c r="H651">
        <f t="shared" si="119"/>
        <v>11</v>
      </c>
      <c r="I651">
        <f t="shared" si="120"/>
        <v>4</v>
      </c>
      <c r="J651">
        <f t="shared" si="121"/>
        <v>5</v>
      </c>
      <c r="K651">
        <f t="shared" si="122"/>
        <v>1</v>
      </c>
    </row>
    <row r="652" spans="2:11">
      <c r="B652" t="str">
        <f t="shared" si="114"/>
        <v>LIG_LIN</v>
      </c>
      <c r="C652">
        <f t="shared" si="115"/>
        <v>2030</v>
      </c>
      <c r="D652" t="str">
        <f t="shared" si="116"/>
        <v>default</v>
      </c>
      <c r="E652" t="str">
        <f t="shared" si="117"/>
        <v>CH0</v>
      </c>
      <c r="F652" s="26">
        <f t="shared" si="118"/>
        <v>0</v>
      </c>
      <c r="H652">
        <f t="shared" si="119"/>
        <v>12</v>
      </c>
      <c r="I652">
        <f t="shared" si="120"/>
        <v>4</v>
      </c>
      <c r="J652">
        <f t="shared" si="121"/>
        <v>5</v>
      </c>
      <c r="K652">
        <f t="shared" si="122"/>
        <v>1</v>
      </c>
    </row>
    <row r="653" spans="2:11">
      <c r="B653" t="str">
        <f t="shared" si="114"/>
        <v>HCO_LIN</v>
      </c>
      <c r="C653">
        <f t="shared" si="115"/>
        <v>2030</v>
      </c>
      <c r="D653" t="str">
        <f t="shared" si="116"/>
        <v>default</v>
      </c>
      <c r="E653" t="str">
        <f t="shared" si="117"/>
        <v>CH0</v>
      </c>
      <c r="F653" s="26">
        <f t="shared" si="118"/>
        <v>0</v>
      </c>
      <c r="H653">
        <f t="shared" si="119"/>
        <v>13</v>
      </c>
      <c r="I653">
        <f t="shared" si="120"/>
        <v>4</v>
      </c>
      <c r="J653">
        <f t="shared" si="121"/>
        <v>5</v>
      </c>
      <c r="K653">
        <f t="shared" si="122"/>
        <v>1</v>
      </c>
    </row>
    <row r="654" spans="2:11">
      <c r="B654" t="str">
        <f t="shared" si="114"/>
        <v>GEO_ELC</v>
      </c>
      <c r="C654">
        <f t="shared" si="115"/>
        <v>2030</v>
      </c>
      <c r="D654" t="str">
        <f t="shared" si="116"/>
        <v>default</v>
      </c>
      <c r="E654" t="str">
        <f t="shared" si="117"/>
        <v>CH0</v>
      </c>
      <c r="F654" s="26">
        <f t="shared" si="118"/>
        <v>88.261138489448996</v>
      </c>
      <c r="H654">
        <f t="shared" si="119"/>
        <v>14</v>
      </c>
      <c r="I654">
        <f t="shared" si="120"/>
        <v>4</v>
      </c>
      <c r="J654">
        <f t="shared" si="121"/>
        <v>5</v>
      </c>
      <c r="K654">
        <f t="shared" si="122"/>
        <v>1</v>
      </c>
    </row>
    <row r="655" spans="2:11">
      <c r="B655" t="str">
        <f t="shared" si="114"/>
        <v>WIN_OFF</v>
      </c>
      <c r="C655">
        <f t="shared" si="115"/>
        <v>2030</v>
      </c>
      <c r="D655" t="str">
        <f t="shared" si="116"/>
        <v>default</v>
      </c>
      <c r="E655" t="str">
        <f t="shared" si="117"/>
        <v>CH0</v>
      </c>
      <c r="F655" s="26">
        <f t="shared" si="118"/>
        <v>0</v>
      </c>
      <c r="H655">
        <f t="shared" si="119"/>
        <v>15</v>
      </c>
      <c r="I655">
        <f t="shared" si="120"/>
        <v>4</v>
      </c>
      <c r="J655">
        <f t="shared" si="121"/>
        <v>5</v>
      </c>
      <c r="K655">
        <f t="shared" si="122"/>
        <v>1</v>
      </c>
    </row>
    <row r="656" spans="2:11">
      <c r="B656" t="str">
        <f t="shared" si="114"/>
        <v>NUC_ELC</v>
      </c>
      <c r="C656">
        <f t="shared" si="115"/>
        <v>2035</v>
      </c>
      <c r="D656" t="str">
        <f t="shared" si="116"/>
        <v>default</v>
      </c>
      <c r="E656" t="str">
        <f t="shared" si="117"/>
        <v>CH0</v>
      </c>
      <c r="F656" s="26">
        <f t="shared" si="118"/>
        <v>0</v>
      </c>
      <c r="H656">
        <f t="shared" si="119"/>
        <v>1</v>
      </c>
      <c r="I656">
        <f t="shared" si="120"/>
        <v>5</v>
      </c>
      <c r="J656">
        <f t="shared" si="121"/>
        <v>5</v>
      </c>
      <c r="K656">
        <f t="shared" si="122"/>
        <v>1</v>
      </c>
    </row>
    <row r="657" spans="2:11">
      <c r="B657" t="str">
        <f t="shared" si="114"/>
        <v>SOL_PHO</v>
      </c>
      <c r="C657">
        <f t="shared" si="115"/>
        <v>2035</v>
      </c>
      <c r="D657" t="str">
        <f t="shared" si="116"/>
        <v>default</v>
      </c>
      <c r="E657" t="str">
        <f t="shared" si="117"/>
        <v>CH0</v>
      </c>
      <c r="F657" s="26">
        <f t="shared" si="118"/>
        <v>6160.0920778432701</v>
      </c>
      <c r="H657">
        <f t="shared" si="119"/>
        <v>2</v>
      </c>
      <c r="I657">
        <f t="shared" si="120"/>
        <v>5</v>
      </c>
      <c r="J657">
        <f t="shared" si="121"/>
        <v>5</v>
      </c>
      <c r="K657">
        <f t="shared" si="122"/>
        <v>1</v>
      </c>
    </row>
    <row r="658" spans="2:11">
      <c r="B658" t="str">
        <f t="shared" si="114"/>
        <v>WIN_ONS</v>
      </c>
      <c r="C658">
        <f t="shared" si="115"/>
        <v>2035</v>
      </c>
      <c r="D658" t="str">
        <f t="shared" si="116"/>
        <v>default</v>
      </c>
      <c r="E658" t="str">
        <f t="shared" si="117"/>
        <v>CH0</v>
      </c>
      <c r="F658" s="26">
        <f t="shared" si="118"/>
        <v>880.27520604122697</v>
      </c>
      <c r="H658">
        <f t="shared" si="119"/>
        <v>3</v>
      </c>
      <c r="I658">
        <f t="shared" si="120"/>
        <v>5</v>
      </c>
      <c r="J658">
        <f t="shared" si="121"/>
        <v>5</v>
      </c>
      <c r="K658">
        <f t="shared" si="122"/>
        <v>1</v>
      </c>
    </row>
    <row r="659" spans="2:11">
      <c r="B659" t="str">
        <f t="shared" si="114"/>
        <v>HYD_ROR</v>
      </c>
      <c r="C659">
        <f t="shared" si="115"/>
        <v>2035</v>
      </c>
      <c r="D659" t="str">
        <f t="shared" si="116"/>
        <v>default</v>
      </c>
      <c r="E659" t="str">
        <f t="shared" si="117"/>
        <v>CH0</v>
      </c>
      <c r="F659" s="26">
        <f t="shared" si="118"/>
        <v>5455.958689143129</v>
      </c>
      <c r="H659">
        <f t="shared" si="119"/>
        <v>4</v>
      </c>
      <c r="I659">
        <f t="shared" si="120"/>
        <v>5</v>
      </c>
      <c r="J659">
        <f t="shared" si="121"/>
        <v>5</v>
      </c>
      <c r="K659">
        <f t="shared" si="122"/>
        <v>1</v>
      </c>
    </row>
    <row r="660" spans="2:11">
      <c r="B660" t="str">
        <f t="shared" si="114"/>
        <v>HYD_RES</v>
      </c>
      <c r="C660">
        <f t="shared" si="115"/>
        <v>2035</v>
      </c>
      <c r="D660" t="str">
        <f t="shared" si="116"/>
        <v>default</v>
      </c>
      <c r="E660" t="str">
        <f t="shared" si="117"/>
        <v>CH0</v>
      </c>
      <c r="F660" s="26">
        <f t="shared" si="118"/>
        <v>9919.3999978283482</v>
      </c>
      <c r="H660">
        <f t="shared" si="119"/>
        <v>5</v>
      </c>
      <c r="I660">
        <f t="shared" si="120"/>
        <v>5</v>
      </c>
      <c r="J660">
        <f t="shared" si="121"/>
        <v>5</v>
      </c>
      <c r="K660">
        <f t="shared" si="122"/>
        <v>1</v>
      </c>
    </row>
    <row r="661" spans="2:11">
      <c r="B661" t="str">
        <f t="shared" si="114"/>
        <v>HYD_STO</v>
      </c>
      <c r="C661">
        <f t="shared" si="115"/>
        <v>2035</v>
      </c>
      <c r="D661" t="str">
        <f t="shared" si="116"/>
        <v>default</v>
      </c>
      <c r="E661" t="str">
        <f t="shared" si="117"/>
        <v>CH0</v>
      </c>
      <c r="F661" s="26">
        <f t="shared" si="118"/>
        <v>2491.0039443165351</v>
      </c>
      <c r="H661">
        <f t="shared" si="119"/>
        <v>6</v>
      </c>
      <c r="I661">
        <f t="shared" si="120"/>
        <v>5</v>
      </c>
      <c r="J661">
        <f t="shared" si="121"/>
        <v>5</v>
      </c>
      <c r="K661">
        <f t="shared" si="122"/>
        <v>1</v>
      </c>
    </row>
    <row r="662" spans="2:11">
      <c r="B662" t="str">
        <f t="shared" si="114"/>
        <v>GAS_LIN</v>
      </c>
      <c r="C662">
        <f t="shared" si="115"/>
        <v>2035</v>
      </c>
      <c r="D662" t="str">
        <f t="shared" si="116"/>
        <v>default</v>
      </c>
      <c r="E662" t="str">
        <f t="shared" si="117"/>
        <v>CH0</v>
      </c>
      <c r="F662" s="26">
        <f t="shared" si="118"/>
        <v>71.032072729236802</v>
      </c>
      <c r="H662">
        <f t="shared" si="119"/>
        <v>7</v>
      </c>
      <c r="I662">
        <f t="shared" si="120"/>
        <v>5</v>
      </c>
      <c r="J662">
        <f t="shared" si="121"/>
        <v>5</v>
      </c>
      <c r="K662">
        <f t="shared" si="122"/>
        <v>1</v>
      </c>
    </row>
    <row r="663" spans="2:11">
      <c r="B663" t="str">
        <f t="shared" si="114"/>
        <v>GAS_NEW</v>
      </c>
      <c r="C663">
        <f t="shared" si="115"/>
        <v>2035</v>
      </c>
      <c r="D663" t="str">
        <f t="shared" si="116"/>
        <v>default</v>
      </c>
      <c r="E663" t="str">
        <f t="shared" si="117"/>
        <v>CH0</v>
      </c>
      <c r="F663" s="26">
        <f t="shared" si="118"/>
        <v>3360.69651741294</v>
      </c>
      <c r="H663">
        <f t="shared" si="119"/>
        <v>8</v>
      </c>
      <c r="I663">
        <f t="shared" si="120"/>
        <v>5</v>
      </c>
      <c r="J663">
        <f t="shared" si="121"/>
        <v>5</v>
      </c>
      <c r="K663">
        <f t="shared" si="122"/>
        <v>1</v>
      </c>
    </row>
    <row r="664" spans="2:11">
      <c r="B664" t="str">
        <f t="shared" si="114"/>
        <v>OIL_LIN</v>
      </c>
      <c r="C664">
        <f t="shared" si="115"/>
        <v>2035</v>
      </c>
      <c r="D664" t="str">
        <f t="shared" si="116"/>
        <v>default</v>
      </c>
      <c r="E664" t="str">
        <f t="shared" si="117"/>
        <v>CH0</v>
      </c>
      <c r="F664" s="26">
        <f t="shared" si="118"/>
        <v>17.138187082814092</v>
      </c>
      <c r="H664">
        <f t="shared" si="119"/>
        <v>9</v>
      </c>
      <c r="I664">
        <f t="shared" si="120"/>
        <v>5</v>
      </c>
      <c r="J664">
        <f t="shared" si="121"/>
        <v>5</v>
      </c>
      <c r="K664">
        <f t="shared" si="122"/>
        <v>1</v>
      </c>
    </row>
    <row r="665" spans="2:11">
      <c r="B665" t="str">
        <f t="shared" si="114"/>
        <v>BAL_ELC</v>
      </c>
      <c r="C665">
        <f t="shared" si="115"/>
        <v>2035</v>
      </c>
      <c r="D665" t="str">
        <f t="shared" si="116"/>
        <v>default</v>
      </c>
      <c r="E665" t="str">
        <f t="shared" si="117"/>
        <v>CH0</v>
      </c>
      <c r="F665" s="26">
        <f t="shared" si="118"/>
        <v>639.17823617344402</v>
      </c>
      <c r="H665">
        <f t="shared" si="119"/>
        <v>10</v>
      </c>
      <c r="I665">
        <f t="shared" si="120"/>
        <v>5</v>
      </c>
      <c r="J665">
        <f t="shared" si="121"/>
        <v>5</v>
      </c>
      <c r="K665">
        <f t="shared" si="122"/>
        <v>1</v>
      </c>
    </row>
    <row r="666" spans="2:11">
      <c r="B666" t="str">
        <f t="shared" si="114"/>
        <v>WAS_ELC</v>
      </c>
      <c r="C666">
        <f t="shared" si="115"/>
        <v>2035</v>
      </c>
      <c r="D666" t="str">
        <f t="shared" si="116"/>
        <v>default</v>
      </c>
      <c r="E666" t="str">
        <f t="shared" si="117"/>
        <v>CH0</v>
      </c>
      <c r="F666" s="26">
        <f t="shared" si="118"/>
        <v>532.14942479664398</v>
      </c>
      <c r="H666">
        <f t="shared" si="119"/>
        <v>11</v>
      </c>
      <c r="I666">
        <f t="shared" si="120"/>
        <v>5</v>
      </c>
      <c r="J666">
        <f t="shared" si="121"/>
        <v>5</v>
      </c>
      <c r="K666">
        <f t="shared" si="122"/>
        <v>1</v>
      </c>
    </row>
    <row r="667" spans="2:11">
      <c r="B667" t="str">
        <f t="shared" si="114"/>
        <v>LIG_LIN</v>
      </c>
      <c r="C667">
        <f t="shared" si="115"/>
        <v>2035</v>
      </c>
      <c r="D667" t="str">
        <f t="shared" si="116"/>
        <v>default</v>
      </c>
      <c r="E667" t="str">
        <f t="shared" si="117"/>
        <v>CH0</v>
      </c>
      <c r="F667" s="26">
        <f t="shared" si="118"/>
        <v>0</v>
      </c>
      <c r="H667">
        <f t="shared" si="119"/>
        <v>12</v>
      </c>
      <c r="I667">
        <f t="shared" si="120"/>
        <v>5</v>
      </c>
      <c r="J667">
        <f t="shared" si="121"/>
        <v>5</v>
      </c>
      <c r="K667">
        <f t="shared" si="122"/>
        <v>1</v>
      </c>
    </row>
    <row r="668" spans="2:11">
      <c r="B668" t="str">
        <f t="shared" si="114"/>
        <v>HCO_LIN</v>
      </c>
      <c r="C668">
        <f t="shared" si="115"/>
        <v>2035</v>
      </c>
      <c r="D668" t="str">
        <f t="shared" si="116"/>
        <v>default</v>
      </c>
      <c r="E668" t="str">
        <f t="shared" si="117"/>
        <v>CH0</v>
      </c>
      <c r="F668" s="26">
        <f t="shared" si="118"/>
        <v>0</v>
      </c>
      <c r="H668">
        <f t="shared" si="119"/>
        <v>13</v>
      </c>
      <c r="I668">
        <f t="shared" si="120"/>
        <v>5</v>
      </c>
      <c r="J668">
        <f t="shared" si="121"/>
        <v>5</v>
      </c>
      <c r="K668">
        <f t="shared" si="122"/>
        <v>1</v>
      </c>
    </row>
    <row r="669" spans="2:11">
      <c r="B669" t="str">
        <f t="shared" si="114"/>
        <v>GEO_ELC</v>
      </c>
      <c r="C669">
        <f t="shared" si="115"/>
        <v>2035</v>
      </c>
      <c r="D669" t="str">
        <f t="shared" si="116"/>
        <v>default</v>
      </c>
      <c r="E669" t="str">
        <f t="shared" si="117"/>
        <v>CH0</v>
      </c>
      <c r="F669" s="26">
        <f t="shared" si="118"/>
        <v>172.628403222011</v>
      </c>
      <c r="H669">
        <f t="shared" si="119"/>
        <v>14</v>
      </c>
      <c r="I669">
        <f t="shared" si="120"/>
        <v>5</v>
      </c>
      <c r="J669">
        <f t="shared" si="121"/>
        <v>5</v>
      </c>
      <c r="K669">
        <f t="shared" si="122"/>
        <v>1</v>
      </c>
    </row>
    <row r="670" spans="2:11">
      <c r="B670" t="str">
        <f t="shared" si="114"/>
        <v>WIN_OFF</v>
      </c>
      <c r="C670">
        <f t="shared" si="115"/>
        <v>2035</v>
      </c>
      <c r="D670" t="str">
        <f t="shared" si="116"/>
        <v>default</v>
      </c>
      <c r="E670" t="str">
        <f t="shared" si="117"/>
        <v>CH0</v>
      </c>
      <c r="F670" s="26">
        <f t="shared" si="118"/>
        <v>0</v>
      </c>
      <c r="H670">
        <f t="shared" si="119"/>
        <v>15</v>
      </c>
      <c r="I670">
        <f t="shared" si="120"/>
        <v>5</v>
      </c>
      <c r="J670">
        <f t="shared" si="121"/>
        <v>5</v>
      </c>
      <c r="K670">
        <f t="shared" si="122"/>
        <v>1</v>
      </c>
    </row>
    <row r="671" spans="2:11">
      <c r="B671" t="str">
        <f t="shared" si="114"/>
        <v>NUC_ELC</v>
      </c>
      <c r="C671">
        <f t="shared" si="115"/>
        <v>2040</v>
      </c>
      <c r="D671" t="str">
        <f t="shared" si="116"/>
        <v>default</v>
      </c>
      <c r="E671" t="str">
        <f t="shared" si="117"/>
        <v>CH0</v>
      </c>
      <c r="F671" s="26">
        <f t="shared" si="118"/>
        <v>0</v>
      </c>
      <c r="H671">
        <f t="shared" si="119"/>
        <v>1</v>
      </c>
      <c r="I671">
        <f t="shared" si="120"/>
        <v>6</v>
      </c>
      <c r="J671">
        <f t="shared" si="121"/>
        <v>5</v>
      </c>
      <c r="K671">
        <f t="shared" si="122"/>
        <v>1</v>
      </c>
    </row>
    <row r="672" spans="2:11">
      <c r="B672" t="str">
        <f t="shared" si="114"/>
        <v>SOL_PHO</v>
      </c>
      <c r="C672">
        <f t="shared" si="115"/>
        <v>2040</v>
      </c>
      <c r="D672" t="str">
        <f t="shared" si="116"/>
        <v>default</v>
      </c>
      <c r="E672" t="str">
        <f t="shared" si="117"/>
        <v>CH0</v>
      </c>
      <c r="F672" s="26">
        <f t="shared" si="118"/>
        <v>8797.3473131893006</v>
      </c>
      <c r="H672">
        <f t="shared" si="119"/>
        <v>2</v>
      </c>
      <c r="I672">
        <f t="shared" si="120"/>
        <v>6</v>
      </c>
      <c r="J672">
        <f t="shared" si="121"/>
        <v>5</v>
      </c>
      <c r="K672">
        <f t="shared" si="122"/>
        <v>1</v>
      </c>
    </row>
    <row r="673" spans="2:11">
      <c r="B673" t="str">
        <f t="shared" si="114"/>
        <v>WIN_ONS</v>
      </c>
      <c r="C673">
        <f t="shared" si="115"/>
        <v>2040</v>
      </c>
      <c r="D673" t="str">
        <f t="shared" si="116"/>
        <v>default</v>
      </c>
      <c r="E673" t="str">
        <f t="shared" si="117"/>
        <v>CH0</v>
      </c>
      <c r="F673" s="26">
        <f t="shared" si="118"/>
        <v>1362.96271030663</v>
      </c>
      <c r="H673">
        <f t="shared" si="119"/>
        <v>3</v>
      </c>
      <c r="I673">
        <f t="shared" si="120"/>
        <v>6</v>
      </c>
      <c r="J673">
        <f t="shared" si="121"/>
        <v>5</v>
      </c>
      <c r="K673">
        <f t="shared" si="122"/>
        <v>1</v>
      </c>
    </row>
    <row r="674" spans="2:11">
      <c r="B674" t="str">
        <f t="shared" si="114"/>
        <v>HYD_ROR</v>
      </c>
      <c r="C674">
        <f t="shared" si="115"/>
        <v>2040</v>
      </c>
      <c r="D674" t="str">
        <f t="shared" si="116"/>
        <v>default</v>
      </c>
      <c r="E674" t="str">
        <f t="shared" si="117"/>
        <v>CH0</v>
      </c>
      <c r="F674" s="26">
        <f t="shared" si="118"/>
        <v>5503.1830900462091</v>
      </c>
      <c r="H674">
        <f t="shared" si="119"/>
        <v>4</v>
      </c>
      <c r="I674">
        <f t="shared" si="120"/>
        <v>6</v>
      </c>
      <c r="J674">
        <f t="shared" si="121"/>
        <v>5</v>
      </c>
      <c r="K674">
        <f t="shared" si="122"/>
        <v>1</v>
      </c>
    </row>
    <row r="675" spans="2:11">
      <c r="B675" t="str">
        <f t="shared" si="114"/>
        <v>HYD_RES</v>
      </c>
      <c r="C675">
        <f t="shared" si="115"/>
        <v>2040</v>
      </c>
      <c r="D675" t="str">
        <f t="shared" si="116"/>
        <v>default</v>
      </c>
      <c r="E675" t="str">
        <f t="shared" si="117"/>
        <v>CH0</v>
      </c>
      <c r="F675" s="26">
        <f t="shared" si="118"/>
        <v>10005.258001692564</v>
      </c>
      <c r="H675">
        <f t="shared" si="119"/>
        <v>5</v>
      </c>
      <c r="I675">
        <f t="shared" si="120"/>
        <v>6</v>
      </c>
      <c r="J675">
        <f t="shared" si="121"/>
        <v>5</v>
      </c>
      <c r="K675">
        <f t="shared" si="122"/>
        <v>1</v>
      </c>
    </row>
    <row r="676" spans="2:11">
      <c r="B676" t="str">
        <f t="shared" si="114"/>
        <v>HYD_STO</v>
      </c>
      <c r="C676">
        <f t="shared" si="115"/>
        <v>2040</v>
      </c>
      <c r="D676" t="str">
        <f t="shared" si="116"/>
        <v>default</v>
      </c>
      <c r="E676" t="str">
        <f t="shared" si="117"/>
        <v>CH0</v>
      </c>
      <c r="F676" s="26">
        <f t="shared" si="118"/>
        <v>2512.5649889688052</v>
      </c>
      <c r="H676">
        <f t="shared" si="119"/>
        <v>6</v>
      </c>
      <c r="I676">
        <f t="shared" si="120"/>
        <v>6</v>
      </c>
      <c r="J676">
        <f t="shared" si="121"/>
        <v>5</v>
      </c>
      <c r="K676">
        <f t="shared" si="122"/>
        <v>1</v>
      </c>
    </row>
    <row r="677" spans="2:11">
      <c r="B677" t="str">
        <f t="shared" si="114"/>
        <v>GAS_LIN</v>
      </c>
      <c r="C677">
        <f t="shared" si="115"/>
        <v>2040</v>
      </c>
      <c r="D677" t="str">
        <f t="shared" si="116"/>
        <v>default</v>
      </c>
      <c r="E677" t="str">
        <f t="shared" si="117"/>
        <v>CH0</v>
      </c>
      <c r="F677" s="26">
        <f t="shared" si="118"/>
        <v>0</v>
      </c>
      <c r="H677">
        <f t="shared" si="119"/>
        <v>7</v>
      </c>
      <c r="I677">
        <f t="shared" si="120"/>
        <v>6</v>
      </c>
      <c r="J677">
        <f t="shared" si="121"/>
        <v>5</v>
      </c>
      <c r="K677">
        <f t="shared" si="122"/>
        <v>1</v>
      </c>
    </row>
    <row r="678" spans="2:11">
      <c r="B678" t="str">
        <f t="shared" si="114"/>
        <v>GAS_NEW</v>
      </c>
      <c r="C678">
        <f t="shared" si="115"/>
        <v>2040</v>
      </c>
      <c r="D678" t="str">
        <f t="shared" si="116"/>
        <v>default</v>
      </c>
      <c r="E678" t="str">
        <f t="shared" si="117"/>
        <v>CH0</v>
      </c>
      <c r="F678" s="26">
        <f t="shared" si="118"/>
        <v>3493.2283029297937</v>
      </c>
      <c r="H678">
        <f t="shared" si="119"/>
        <v>8</v>
      </c>
      <c r="I678">
        <f t="shared" si="120"/>
        <v>6</v>
      </c>
      <c r="J678">
        <f t="shared" si="121"/>
        <v>5</v>
      </c>
      <c r="K678">
        <f t="shared" si="122"/>
        <v>1</v>
      </c>
    </row>
    <row r="679" spans="2:11">
      <c r="B679" t="str">
        <f t="shared" si="114"/>
        <v>OIL_LIN</v>
      </c>
      <c r="C679">
        <f t="shared" si="115"/>
        <v>2040</v>
      </c>
      <c r="D679" t="str">
        <f t="shared" si="116"/>
        <v>default</v>
      </c>
      <c r="E679" t="str">
        <f t="shared" si="117"/>
        <v>CH0</v>
      </c>
      <c r="F679" s="26">
        <f t="shared" si="118"/>
        <v>0</v>
      </c>
      <c r="H679">
        <f t="shared" si="119"/>
        <v>9</v>
      </c>
      <c r="I679">
        <f t="shared" si="120"/>
        <v>6</v>
      </c>
      <c r="J679">
        <f t="shared" si="121"/>
        <v>5</v>
      </c>
      <c r="K679">
        <f t="shared" si="122"/>
        <v>1</v>
      </c>
    </row>
    <row r="680" spans="2:11">
      <c r="B680" t="str">
        <f t="shared" si="114"/>
        <v>BAL_ELC</v>
      </c>
      <c r="C680">
        <f t="shared" si="115"/>
        <v>2040</v>
      </c>
      <c r="D680" t="str">
        <f t="shared" si="116"/>
        <v>default</v>
      </c>
      <c r="E680" t="str">
        <f t="shared" si="117"/>
        <v>CH0</v>
      </c>
      <c r="F680" s="26">
        <f t="shared" si="118"/>
        <v>662.08297490975701</v>
      </c>
      <c r="H680">
        <f t="shared" si="119"/>
        <v>10</v>
      </c>
      <c r="I680">
        <f t="shared" si="120"/>
        <v>6</v>
      </c>
      <c r="J680">
        <f t="shared" si="121"/>
        <v>5</v>
      </c>
      <c r="K680">
        <f t="shared" si="122"/>
        <v>1</v>
      </c>
    </row>
    <row r="681" spans="2:11">
      <c r="B681" t="str">
        <f t="shared" si="114"/>
        <v>WAS_ELC</v>
      </c>
      <c r="C681">
        <f t="shared" si="115"/>
        <v>2040</v>
      </c>
      <c r="D681" t="str">
        <f t="shared" si="116"/>
        <v>default</v>
      </c>
      <c r="E681" t="str">
        <f t="shared" si="117"/>
        <v>CH0</v>
      </c>
      <c r="F681" s="26">
        <f t="shared" si="118"/>
        <v>534.96399851445801</v>
      </c>
      <c r="H681">
        <f t="shared" si="119"/>
        <v>11</v>
      </c>
      <c r="I681">
        <f t="shared" si="120"/>
        <v>6</v>
      </c>
      <c r="J681">
        <f t="shared" si="121"/>
        <v>5</v>
      </c>
      <c r="K681">
        <f t="shared" si="122"/>
        <v>1</v>
      </c>
    </row>
    <row r="682" spans="2:11">
      <c r="B682" t="str">
        <f t="shared" si="114"/>
        <v>LIG_LIN</v>
      </c>
      <c r="C682">
        <f t="shared" si="115"/>
        <v>2040</v>
      </c>
      <c r="D682" t="str">
        <f t="shared" si="116"/>
        <v>default</v>
      </c>
      <c r="E682" t="str">
        <f t="shared" si="117"/>
        <v>CH0</v>
      </c>
      <c r="F682" s="26">
        <f t="shared" si="118"/>
        <v>0</v>
      </c>
      <c r="H682">
        <f t="shared" si="119"/>
        <v>12</v>
      </c>
      <c r="I682">
        <f t="shared" si="120"/>
        <v>6</v>
      </c>
      <c r="J682">
        <f t="shared" si="121"/>
        <v>5</v>
      </c>
      <c r="K682">
        <f t="shared" si="122"/>
        <v>1</v>
      </c>
    </row>
    <row r="683" spans="2:11">
      <c r="B683" t="str">
        <f t="shared" si="114"/>
        <v>HCO_LIN</v>
      </c>
      <c r="C683">
        <f t="shared" si="115"/>
        <v>2040</v>
      </c>
      <c r="D683" t="str">
        <f t="shared" si="116"/>
        <v>default</v>
      </c>
      <c r="E683" t="str">
        <f t="shared" si="117"/>
        <v>CH0</v>
      </c>
      <c r="F683" s="26">
        <f t="shared" si="118"/>
        <v>0</v>
      </c>
      <c r="H683">
        <f t="shared" si="119"/>
        <v>13</v>
      </c>
      <c r="I683">
        <f t="shared" si="120"/>
        <v>6</v>
      </c>
      <c r="J683">
        <f t="shared" si="121"/>
        <v>5</v>
      </c>
      <c r="K683">
        <f t="shared" si="122"/>
        <v>1</v>
      </c>
    </row>
    <row r="684" spans="2:11">
      <c r="B684" t="str">
        <f t="shared" si="114"/>
        <v>GEO_ELC</v>
      </c>
      <c r="C684">
        <f t="shared" si="115"/>
        <v>2040</v>
      </c>
      <c r="D684" t="str">
        <f t="shared" si="116"/>
        <v>default</v>
      </c>
      <c r="E684" t="str">
        <f t="shared" si="117"/>
        <v>CH0</v>
      </c>
      <c r="F684" s="26">
        <f t="shared" si="118"/>
        <v>299.82827928033402</v>
      </c>
      <c r="H684">
        <f t="shared" si="119"/>
        <v>14</v>
      </c>
      <c r="I684">
        <f t="shared" si="120"/>
        <v>6</v>
      </c>
      <c r="J684">
        <f t="shared" si="121"/>
        <v>5</v>
      </c>
      <c r="K684">
        <f t="shared" si="122"/>
        <v>1</v>
      </c>
    </row>
    <row r="685" spans="2:11">
      <c r="B685" t="str">
        <f t="shared" si="114"/>
        <v>WIN_OFF</v>
      </c>
      <c r="C685">
        <f t="shared" si="115"/>
        <v>2040</v>
      </c>
      <c r="D685" t="str">
        <f t="shared" si="116"/>
        <v>default</v>
      </c>
      <c r="E685" t="str">
        <f t="shared" si="117"/>
        <v>CH0</v>
      </c>
      <c r="F685" s="26">
        <f t="shared" si="118"/>
        <v>0</v>
      </c>
      <c r="H685">
        <f t="shared" si="119"/>
        <v>15</v>
      </c>
      <c r="I685">
        <f t="shared" si="120"/>
        <v>6</v>
      </c>
      <c r="J685">
        <f t="shared" si="121"/>
        <v>5</v>
      </c>
      <c r="K685">
        <f t="shared" si="122"/>
        <v>1</v>
      </c>
    </row>
    <row r="686" spans="2:11">
      <c r="B686" t="str">
        <f t="shared" si="114"/>
        <v>NUC_ELC</v>
      </c>
      <c r="C686">
        <f t="shared" si="115"/>
        <v>2045</v>
      </c>
      <c r="D686" t="str">
        <f t="shared" si="116"/>
        <v>default</v>
      </c>
      <c r="E686" t="str">
        <f t="shared" si="117"/>
        <v>CH0</v>
      </c>
      <c r="F686" s="26">
        <f t="shared" si="118"/>
        <v>0</v>
      </c>
      <c r="H686">
        <f t="shared" si="119"/>
        <v>1</v>
      </c>
      <c r="I686">
        <f t="shared" si="120"/>
        <v>7</v>
      </c>
      <c r="J686">
        <f t="shared" si="121"/>
        <v>5</v>
      </c>
      <c r="K686">
        <f t="shared" si="122"/>
        <v>1</v>
      </c>
    </row>
    <row r="687" spans="2:11">
      <c r="B687" t="str">
        <f t="shared" si="114"/>
        <v>SOL_PHO</v>
      </c>
      <c r="C687">
        <f t="shared" si="115"/>
        <v>2045</v>
      </c>
      <c r="D687" t="str">
        <f t="shared" si="116"/>
        <v>default</v>
      </c>
      <c r="E687" t="str">
        <f t="shared" si="117"/>
        <v>CH0</v>
      </c>
      <c r="F687" s="26">
        <f t="shared" si="118"/>
        <v>11652.462763629101</v>
      </c>
      <c r="H687">
        <f t="shared" si="119"/>
        <v>2</v>
      </c>
      <c r="I687">
        <f t="shared" si="120"/>
        <v>7</v>
      </c>
      <c r="J687">
        <f t="shared" si="121"/>
        <v>5</v>
      </c>
      <c r="K687">
        <f t="shared" si="122"/>
        <v>1</v>
      </c>
    </row>
    <row r="688" spans="2:11">
      <c r="B688" t="str">
        <f t="shared" si="114"/>
        <v>WIN_ONS</v>
      </c>
      <c r="C688">
        <f t="shared" si="115"/>
        <v>2045</v>
      </c>
      <c r="D688" t="str">
        <f t="shared" si="116"/>
        <v>default</v>
      </c>
      <c r="E688" t="str">
        <f t="shared" si="117"/>
        <v>CH0</v>
      </c>
      <c r="F688" s="26">
        <f t="shared" si="118"/>
        <v>1851.4657266716199</v>
      </c>
      <c r="H688">
        <f t="shared" si="119"/>
        <v>3</v>
      </c>
      <c r="I688">
        <f t="shared" si="120"/>
        <v>7</v>
      </c>
      <c r="J688">
        <f t="shared" si="121"/>
        <v>5</v>
      </c>
      <c r="K688">
        <f t="shared" si="122"/>
        <v>1</v>
      </c>
    </row>
    <row r="689" spans="2:11">
      <c r="B689" t="str">
        <f t="shared" si="114"/>
        <v>HYD_ROR</v>
      </c>
      <c r="C689">
        <f t="shared" si="115"/>
        <v>2045</v>
      </c>
      <c r="D689" t="str">
        <f t="shared" si="116"/>
        <v>default</v>
      </c>
      <c r="E689" t="str">
        <f t="shared" si="117"/>
        <v>CH0</v>
      </c>
      <c r="F689" s="26">
        <f t="shared" si="118"/>
        <v>5577.4591808321111</v>
      </c>
      <c r="H689">
        <f t="shared" si="119"/>
        <v>4</v>
      </c>
      <c r="I689">
        <f t="shared" si="120"/>
        <v>7</v>
      </c>
      <c r="J689">
        <f t="shared" si="121"/>
        <v>5</v>
      </c>
      <c r="K689">
        <f t="shared" si="122"/>
        <v>1</v>
      </c>
    </row>
    <row r="690" spans="2:11">
      <c r="B690" t="str">
        <f t="shared" si="114"/>
        <v>HYD_RES</v>
      </c>
      <c r="C690">
        <f t="shared" si="115"/>
        <v>2045</v>
      </c>
      <c r="D690" t="str">
        <f t="shared" si="116"/>
        <v>default</v>
      </c>
      <c r="E690" t="str">
        <f t="shared" si="117"/>
        <v>CH0</v>
      </c>
      <c r="F690" s="26">
        <f t="shared" si="118"/>
        <v>10140.298293739952</v>
      </c>
      <c r="H690">
        <f t="shared" si="119"/>
        <v>5</v>
      </c>
      <c r="I690">
        <f t="shared" si="120"/>
        <v>7</v>
      </c>
      <c r="J690">
        <f t="shared" si="121"/>
        <v>5</v>
      </c>
      <c r="K690">
        <f t="shared" si="122"/>
        <v>1</v>
      </c>
    </row>
    <row r="691" spans="2:11">
      <c r="B691" t="str">
        <f t="shared" si="114"/>
        <v>HYD_STO</v>
      </c>
      <c r="C691">
        <f t="shared" si="115"/>
        <v>2045</v>
      </c>
      <c r="D691" t="str">
        <f t="shared" si="116"/>
        <v>default</v>
      </c>
      <c r="E691" t="str">
        <f t="shared" si="117"/>
        <v>CH0</v>
      </c>
      <c r="F691" s="26">
        <f t="shared" si="118"/>
        <v>2546.4769090653176</v>
      </c>
      <c r="H691">
        <f t="shared" si="119"/>
        <v>6</v>
      </c>
      <c r="I691">
        <f t="shared" si="120"/>
        <v>7</v>
      </c>
      <c r="J691">
        <f t="shared" si="121"/>
        <v>5</v>
      </c>
      <c r="K691">
        <f t="shared" si="122"/>
        <v>1</v>
      </c>
    </row>
    <row r="692" spans="2:11">
      <c r="B692" t="str">
        <f t="shared" ref="B692:B715" si="123">INDEX(H$100:H$114,H692)</f>
        <v>GAS_LIN</v>
      </c>
      <c r="C692">
        <f t="shared" ref="C692:C715" si="124">INDEX(I$100:I$114,I692)</f>
        <v>2045</v>
      </c>
      <c r="D692" t="str">
        <f t="shared" ref="D692:D715" si="125">INDEX(K$100:K$114,K692)</f>
        <v>default</v>
      </c>
      <c r="E692" t="str">
        <f t="shared" ref="E692:E715" si="126">INDEX(J$100:J$114,J692)</f>
        <v>CH0</v>
      </c>
      <c r="F692" s="26">
        <f t="shared" ref="F692:F715" si="127">INDEX($P$6:$X$84,MATCH(E692&amp;"."&amp;B692,$Z$6:$Z$84,0),MATCH(C692,$P$5:$X$5,0))</f>
        <v>0</v>
      </c>
      <c r="H692">
        <f t="shared" si="119"/>
        <v>7</v>
      </c>
      <c r="I692">
        <f t="shared" si="120"/>
        <v>7</v>
      </c>
      <c r="J692">
        <f t="shared" si="121"/>
        <v>5</v>
      </c>
      <c r="K692">
        <f t="shared" si="122"/>
        <v>1</v>
      </c>
    </row>
    <row r="693" spans="2:11">
      <c r="B693" t="str">
        <f t="shared" si="123"/>
        <v>GAS_NEW</v>
      </c>
      <c r="C693">
        <f t="shared" si="124"/>
        <v>2045</v>
      </c>
      <c r="D693" t="str">
        <f t="shared" si="125"/>
        <v>default</v>
      </c>
      <c r="E693" t="str">
        <f t="shared" si="126"/>
        <v>CH0</v>
      </c>
      <c r="F693" s="26">
        <f t="shared" si="127"/>
        <v>3516.0309563294659</v>
      </c>
      <c r="H693">
        <f t="shared" ref="H693:H715" si="128">IF(H692=$H$99,1,H692+1)</f>
        <v>8</v>
      </c>
      <c r="I693">
        <f t="shared" ref="I693:I715" si="129">IF(H693=1,IF(I692=$I$99,1,I692+1),I692)</f>
        <v>7</v>
      </c>
      <c r="J693">
        <f t="shared" ref="J693:J715" si="130">IF(AND(I693=1,I692&gt;1),IF(J692=$J$99,1,J692+1),J692)</f>
        <v>5</v>
      </c>
      <c r="K693">
        <f t="shared" ref="K693:K715" si="131">IF(AND(J693=1,J692&gt;1),IF(K692=$K$99,1,K692+1),K692)</f>
        <v>1</v>
      </c>
    </row>
    <row r="694" spans="2:11">
      <c r="B694" t="str">
        <f t="shared" si="123"/>
        <v>OIL_LIN</v>
      </c>
      <c r="C694">
        <f t="shared" si="124"/>
        <v>2045</v>
      </c>
      <c r="D694" t="str">
        <f t="shared" si="125"/>
        <v>default</v>
      </c>
      <c r="E694" t="str">
        <f t="shared" si="126"/>
        <v>CH0</v>
      </c>
      <c r="F694" s="26">
        <f t="shared" si="127"/>
        <v>0</v>
      </c>
      <c r="H694">
        <f t="shared" si="128"/>
        <v>9</v>
      </c>
      <c r="I694">
        <f t="shared" si="129"/>
        <v>7</v>
      </c>
      <c r="J694">
        <f t="shared" si="130"/>
        <v>5</v>
      </c>
      <c r="K694">
        <f t="shared" si="131"/>
        <v>1</v>
      </c>
    </row>
    <row r="695" spans="2:11">
      <c r="B695" t="str">
        <f t="shared" si="123"/>
        <v>BAL_ELC</v>
      </c>
      <c r="C695">
        <f t="shared" si="124"/>
        <v>2045</v>
      </c>
      <c r="D695" t="str">
        <f t="shared" si="125"/>
        <v>default</v>
      </c>
      <c r="E695" t="str">
        <f t="shared" si="126"/>
        <v>CH0</v>
      </c>
      <c r="F695" s="26">
        <f t="shared" si="127"/>
        <v>672.26285879256295</v>
      </c>
      <c r="H695">
        <f t="shared" si="128"/>
        <v>10</v>
      </c>
      <c r="I695">
        <f t="shared" si="129"/>
        <v>7</v>
      </c>
      <c r="J695">
        <f t="shared" si="130"/>
        <v>5</v>
      </c>
      <c r="K695">
        <f t="shared" si="131"/>
        <v>1</v>
      </c>
    </row>
    <row r="696" spans="2:11">
      <c r="B696" t="str">
        <f t="shared" si="123"/>
        <v>WAS_ELC</v>
      </c>
      <c r="C696">
        <f t="shared" si="124"/>
        <v>2045</v>
      </c>
      <c r="D696" t="str">
        <f t="shared" si="125"/>
        <v>default</v>
      </c>
      <c r="E696" t="str">
        <f t="shared" si="126"/>
        <v>CH0</v>
      </c>
      <c r="F696" s="26">
        <f t="shared" si="127"/>
        <v>534.96399851445801</v>
      </c>
      <c r="H696">
        <f t="shared" si="128"/>
        <v>11</v>
      </c>
      <c r="I696">
        <f t="shared" si="129"/>
        <v>7</v>
      </c>
      <c r="J696">
        <f t="shared" si="130"/>
        <v>5</v>
      </c>
      <c r="K696">
        <f t="shared" si="131"/>
        <v>1</v>
      </c>
    </row>
    <row r="697" spans="2:11">
      <c r="B697" t="str">
        <f t="shared" si="123"/>
        <v>LIG_LIN</v>
      </c>
      <c r="C697">
        <f t="shared" si="124"/>
        <v>2045</v>
      </c>
      <c r="D697" t="str">
        <f t="shared" si="125"/>
        <v>default</v>
      </c>
      <c r="E697" t="str">
        <f t="shared" si="126"/>
        <v>CH0</v>
      </c>
      <c r="F697" s="26">
        <f t="shared" si="127"/>
        <v>0</v>
      </c>
      <c r="H697">
        <f t="shared" si="128"/>
        <v>12</v>
      </c>
      <c r="I697">
        <f t="shared" si="129"/>
        <v>7</v>
      </c>
      <c r="J697">
        <f t="shared" si="130"/>
        <v>5</v>
      </c>
      <c r="K697">
        <f t="shared" si="131"/>
        <v>1</v>
      </c>
    </row>
    <row r="698" spans="2:11">
      <c r="B698" t="str">
        <f t="shared" si="123"/>
        <v>HCO_LIN</v>
      </c>
      <c r="C698">
        <f t="shared" si="124"/>
        <v>2045</v>
      </c>
      <c r="D698" t="str">
        <f t="shared" si="125"/>
        <v>default</v>
      </c>
      <c r="E698" t="str">
        <f t="shared" si="126"/>
        <v>CH0</v>
      </c>
      <c r="F698" s="26">
        <f t="shared" si="127"/>
        <v>0</v>
      </c>
      <c r="H698">
        <f t="shared" si="128"/>
        <v>13</v>
      </c>
      <c r="I698">
        <f t="shared" si="129"/>
        <v>7</v>
      </c>
      <c r="J698">
        <f t="shared" si="130"/>
        <v>5</v>
      </c>
      <c r="K698">
        <f t="shared" si="131"/>
        <v>1</v>
      </c>
    </row>
    <row r="699" spans="2:11">
      <c r="B699" t="str">
        <f t="shared" si="123"/>
        <v>GEO_ELC</v>
      </c>
      <c r="C699">
        <f t="shared" si="124"/>
        <v>2045</v>
      </c>
      <c r="D699" t="str">
        <f t="shared" si="125"/>
        <v>default</v>
      </c>
      <c r="E699" t="str">
        <f t="shared" si="126"/>
        <v>CH0</v>
      </c>
      <c r="F699" s="26">
        <f t="shared" si="127"/>
        <v>438.70977660931999</v>
      </c>
      <c r="H699">
        <f t="shared" si="128"/>
        <v>14</v>
      </c>
      <c r="I699">
        <f t="shared" si="129"/>
        <v>7</v>
      </c>
      <c r="J699">
        <f t="shared" si="130"/>
        <v>5</v>
      </c>
      <c r="K699">
        <f t="shared" si="131"/>
        <v>1</v>
      </c>
    </row>
    <row r="700" spans="2:11">
      <c r="B700" t="str">
        <f t="shared" si="123"/>
        <v>WIN_OFF</v>
      </c>
      <c r="C700">
        <f t="shared" si="124"/>
        <v>2045</v>
      </c>
      <c r="D700" t="str">
        <f t="shared" si="125"/>
        <v>default</v>
      </c>
      <c r="E700" t="str">
        <f t="shared" si="126"/>
        <v>CH0</v>
      </c>
      <c r="F700" s="26">
        <f t="shared" si="127"/>
        <v>0</v>
      </c>
      <c r="H700">
        <f t="shared" si="128"/>
        <v>15</v>
      </c>
      <c r="I700">
        <f t="shared" si="129"/>
        <v>7</v>
      </c>
      <c r="J700">
        <f t="shared" si="130"/>
        <v>5</v>
      </c>
      <c r="K700">
        <f t="shared" si="131"/>
        <v>1</v>
      </c>
    </row>
    <row r="701" spans="2:11">
      <c r="B701" t="str">
        <f t="shared" si="123"/>
        <v>NUC_ELC</v>
      </c>
      <c r="C701">
        <f t="shared" si="124"/>
        <v>2050</v>
      </c>
      <c r="D701" t="str">
        <f t="shared" si="125"/>
        <v>default</v>
      </c>
      <c r="E701" t="str">
        <f t="shared" si="126"/>
        <v>CH0</v>
      </c>
      <c r="F701" s="26">
        <f t="shared" si="127"/>
        <v>0</v>
      </c>
      <c r="H701">
        <f t="shared" si="128"/>
        <v>1</v>
      </c>
      <c r="I701">
        <f t="shared" si="129"/>
        <v>8</v>
      </c>
      <c r="J701">
        <f t="shared" si="130"/>
        <v>5</v>
      </c>
      <c r="K701">
        <f t="shared" si="131"/>
        <v>1</v>
      </c>
    </row>
    <row r="702" spans="2:11">
      <c r="B702" t="str">
        <f t="shared" si="123"/>
        <v>SOL_PHO</v>
      </c>
      <c r="C702">
        <f t="shared" si="124"/>
        <v>2050</v>
      </c>
      <c r="D702" t="str">
        <f t="shared" si="125"/>
        <v>default</v>
      </c>
      <c r="E702" t="str">
        <f t="shared" si="126"/>
        <v>CH0</v>
      </c>
      <c r="F702" s="26">
        <f t="shared" si="127"/>
        <v>13819.598587457</v>
      </c>
      <c r="H702">
        <f t="shared" si="128"/>
        <v>2</v>
      </c>
      <c r="I702">
        <f t="shared" si="129"/>
        <v>8</v>
      </c>
      <c r="J702">
        <f t="shared" si="130"/>
        <v>5</v>
      </c>
      <c r="K702">
        <f t="shared" si="131"/>
        <v>1</v>
      </c>
    </row>
    <row r="703" spans="2:11">
      <c r="B703" t="str">
        <f t="shared" si="123"/>
        <v>WIN_ONS</v>
      </c>
      <c r="C703">
        <f t="shared" si="124"/>
        <v>2050</v>
      </c>
      <c r="D703" t="str">
        <f t="shared" si="125"/>
        <v>default</v>
      </c>
      <c r="E703" t="str">
        <f t="shared" si="126"/>
        <v>CH0</v>
      </c>
      <c r="F703" s="26">
        <f t="shared" si="127"/>
        <v>2334.15323093702</v>
      </c>
      <c r="H703">
        <f t="shared" si="128"/>
        <v>3</v>
      </c>
      <c r="I703">
        <f t="shared" si="129"/>
        <v>8</v>
      </c>
      <c r="J703">
        <f t="shared" si="130"/>
        <v>5</v>
      </c>
      <c r="K703">
        <f t="shared" si="131"/>
        <v>1</v>
      </c>
    </row>
    <row r="704" spans="2:11">
      <c r="B704" t="str">
        <f t="shared" si="123"/>
        <v>HYD_ROR</v>
      </c>
      <c r="C704">
        <f t="shared" si="124"/>
        <v>2050</v>
      </c>
      <c r="D704" t="str">
        <f t="shared" si="125"/>
        <v>default</v>
      </c>
      <c r="E704" t="str">
        <f t="shared" si="126"/>
        <v>CH0</v>
      </c>
      <c r="F704" s="26">
        <f t="shared" si="127"/>
        <v>5651.7352716180121</v>
      </c>
      <c r="H704">
        <f t="shared" si="128"/>
        <v>4</v>
      </c>
      <c r="I704">
        <f t="shared" si="129"/>
        <v>8</v>
      </c>
      <c r="J704">
        <f t="shared" si="130"/>
        <v>5</v>
      </c>
      <c r="K704">
        <f t="shared" si="131"/>
        <v>1</v>
      </c>
    </row>
    <row r="705" spans="2:11">
      <c r="B705" t="str">
        <f t="shared" si="123"/>
        <v>HYD_RES</v>
      </c>
      <c r="C705">
        <f t="shared" si="124"/>
        <v>2050</v>
      </c>
      <c r="D705" t="str">
        <f t="shared" si="125"/>
        <v>default</v>
      </c>
      <c r="E705" t="str">
        <f t="shared" si="126"/>
        <v>CH0</v>
      </c>
      <c r="F705" s="26">
        <f t="shared" si="127"/>
        <v>10275.33858578734</v>
      </c>
      <c r="H705">
        <f t="shared" si="128"/>
        <v>5</v>
      </c>
      <c r="I705">
        <f t="shared" si="129"/>
        <v>8</v>
      </c>
      <c r="J705">
        <f t="shared" si="130"/>
        <v>5</v>
      </c>
      <c r="K705">
        <f t="shared" si="131"/>
        <v>1</v>
      </c>
    </row>
    <row r="706" spans="2:11">
      <c r="B706" t="str">
        <f t="shared" si="123"/>
        <v>HYD_STO</v>
      </c>
      <c r="C706">
        <f t="shared" si="124"/>
        <v>2050</v>
      </c>
      <c r="D706" t="str">
        <f t="shared" si="125"/>
        <v>default</v>
      </c>
      <c r="E706" t="str">
        <f t="shared" si="126"/>
        <v>CH0</v>
      </c>
      <c r="F706" s="26">
        <f t="shared" si="127"/>
        <v>2580.38882916183</v>
      </c>
      <c r="H706">
        <f t="shared" si="128"/>
        <v>6</v>
      </c>
      <c r="I706">
        <f t="shared" si="129"/>
        <v>8</v>
      </c>
      <c r="J706">
        <f t="shared" si="130"/>
        <v>5</v>
      </c>
      <c r="K706">
        <f t="shared" si="131"/>
        <v>1</v>
      </c>
    </row>
    <row r="707" spans="2:11">
      <c r="B707" t="str">
        <f t="shared" si="123"/>
        <v>GAS_LIN</v>
      </c>
      <c r="C707">
        <f t="shared" si="124"/>
        <v>2050</v>
      </c>
      <c r="D707" t="str">
        <f t="shared" si="125"/>
        <v>default</v>
      </c>
      <c r="E707" t="str">
        <f t="shared" si="126"/>
        <v>CH0</v>
      </c>
      <c r="F707" s="26">
        <f t="shared" si="127"/>
        <v>0</v>
      </c>
      <c r="H707">
        <f t="shared" si="128"/>
        <v>7</v>
      </c>
      <c r="I707">
        <f t="shared" si="129"/>
        <v>8</v>
      </c>
      <c r="J707">
        <f t="shared" si="130"/>
        <v>5</v>
      </c>
      <c r="K707">
        <f t="shared" si="131"/>
        <v>1</v>
      </c>
    </row>
    <row r="708" spans="2:11">
      <c r="B708" t="str">
        <f t="shared" si="123"/>
        <v>GAS_NEW</v>
      </c>
      <c r="C708">
        <f t="shared" si="124"/>
        <v>2050</v>
      </c>
      <c r="D708" t="str">
        <f t="shared" si="125"/>
        <v>default</v>
      </c>
      <c r="E708" t="str">
        <f t="shared" si="126"/>
        <v>CH0</v>
      </c>
      <c r="F708" s="26">
        <f t="shared" si="127"/>
        <v>3449.1431730237746</v>
      </c>
      <c r="H708">
        <f t="shared" si="128"/>
        <v>8</v>
      </c>
      <c r="I708">
        <f t="shared" si="129"/>
        <v>8</v>
      </c>
      <c r="J708">
        <f t="shared" si="130"/>
        <v>5</v>
      </c>
      <c r="K708">
        <f t="shared" si="131"/>
        <v>1</v>
      </c>
    </row>
    <row r="709" spans="2:11">
      <c r="B709" t="str">
        <f t="shared" si="123"/>
        <v>OIL_LIN</v>
      </c>
      <c r="C709">
        <f t="shared" si="124"/>
        <v>2050</v>
      </c>
      <c r="D709" t="str">
        <f t="shared" si="125"/>
        <v>default</v>
      </c>
      <c r="E709" t="str">
        <f t="shared" si="126"/>
        <v>CH0</v>
      </c>
      <c r="F709" s="26">
        <f t="shared" si="127"/>
        <v>0</v>
      </c>
      <c r="H709">
        <f t="shared" si="128"/>
        <v>9</v>
      </c>
      <c r="I709">
        <f t="shared" si="129"/>
        <v>8</v>
      </c>
      <c r="J709">
        <f t="shared" si="130"/>
        <v>5</v>
      </c>
      <c r="K709">
        <f t="shared" si="131"/>
        <v>1</v>
      </c>
    </row>
    <row r="710" spans="2:11">
      <c r="B710" t="str">
        <f t="shared" si="123"/>
        <v>BAL_ELC</v>
      </c>
      <c r="C710">
        <f t="shared" si="124"/>
        <v>2050</v>
      </c>
      <c r="D710" t="str">
        <f t="shared" si="125"/>
        <v>default</v>
      </c>
      <c r="E710" t="str">
        <f t="shared" si="126"/>
        <v>CH0</v>
      </c>
      <c r="F710" s="26">
        <f t="shared" si="127"/>
        <v>674.80782976326498</v>
      </c>
      <c r="H710">
        <f t="shared" si="128"/>
        <v>10</v>
      </c>
      <c r="I710">
        <f t="shared" si="129"/>
        <v>8</v>
      </c>
      <c r="J710">
        <f t="shared" si="130"/>
        <v>5</v>
      </c>
      <c r="K710">
        <f t="shared" si="131"/>
        <v>1</v>
      </c>
    </row>
    <row r="711" spans="2:11">
      <c r="B711" t="str">
        <f t="shared" si="123"/>
        <v>WAS_ELC</v>
      </c>
      <c r="C711">
        <f t="shared" si="124"/>
        <v>2050</v>
      </c>
      <c r="D711" t="str">
        <f t="shared" si="125"/>
        <v>default</v>
      </c>
      <c r="E711" t="str">
        <f t="shared" si="126"/>
        <v>CH0</v>
      </c>
      <c r="F711" s="26">
        <f t="shared" si="127"/>
        <v>534.96399851445801</v>
      </c>
      <c r="H711">
        <f t="shared" si="128"/>
        <v>11</v>
      </c>
      <c r="I711">
        <f t="shared" si="129"/>
        <v>8</v>
      </c>
      <c r="J711">
        <f t="shared" si="130"/>
        <v>5</v>
      </c>
      <c r="K711">
        <f t="shared" si="131"/>
        <v>1</v>
      </c>
    </row>
    <row r="712" spans="2:11">
      <c r="B712" t="str">
        <f t="shared" si="123"/>
        <v>LIG_LIN</v>
      </c>
      <c r="C712">
        <f t="shared" si="124"/>
        <v>2050</v>
      </c>
      <c r="D712" t="str">
        <f t="shared" si="125"/>
        <v>default</v>
      </c>
      <c r="E712" t="str">
        <f t="shared" si="126"/>
        <v>CH0</v>
      </c>
      <c r="F712" s="26">
        <f t="shared" si="127"/>
        <v>0</v>
      </c>
      <c r="H712">
        <f t="shared" si="128"/>
        <v>12</v>
      </c>
      <c r="I712">
        <f t="shared" si="129"/>
        <v>8</v>
      </c>
      <c r="J712">
        <f t="shared" si="130"/>
        <v>5</v>
      </c>
      <c r="K712">
        <f t="shared" si="131"/>
        <v>1</v>
      </c>
    </row>
    <row r="713" spans="2:11">
      <c r="B713" t="str">
        <f t="shared" si="123"/>
        <v>HCO_LIN</v>
      </c>
      <c r="C713">
        <f t="shared" si="124"/>
        <v>2050</v>
      </c>
      <c r="D713" t="str">
        <f t="shared" si="125"/>
        <v>default</v>
      </c>
      <c r="E713" t="str">
        <f t="shared" si="126"/>
        <v>CH0</v>
      </c>
      <c r="F713" s="26">
        <f t="shared" si="127"/>
        <v>0</v>
      </c>
      <c r="H713">
        <f t="shared" si="128"/>
        <v>13</v>
      </c>
      <c r="I713">
        <f t="shared" si="129"/>
        <v>8</v>
      </c>
      <c r="J713">
        <f t="shared" si="130"/>
        <v>5</v>
      </c>
      <c r="K713">
        <f t="shared" si="131"/>
        <v>1</v>
      </c>
    </row>
    <row r="714" spans="2:11">
      <c r="B714" t="str">
        <f t="shared" si="123"/>
        <v>GEO_ELC</v>
      </c>
      <c r="C714">
        <f t="shared" si="124"/>
        <v>2050</v>
      </c>
      <c r="D714" t="str">
        <f t="shared" si="125"/>
        <v>default</v>
      </c>
      <c r="E714" t="str">
        <f t="shared" si="126"/>
        <v>CH0</v>
      </c>
      <c r="F714" s="26">
        <f t="shared" si="127"/>
        <v>556.82394723490597</v>
      </c>
      <c r="H714">
        <f t="shared" si="128"/>
        <v>14</v>
      </c>
      <c r="I714">
        <f t="shared" si="129"/>
        <v>8</v>
      </c>
      <c r="J714">
        <f t="shared" si="130"/>
        <v>5</v>
      </c>
      <c r="K714">
        <f t="shared" si="131"/>
        <v>1</v>
      </c>
    </row>
    <row r="715" spans="2:11">
      <c r="B715" t="str">
        <f t="shared" si="123"/>
        <v>WIN_OFF</v>
      </c>
      <c r="C715">
        <f t="shared" si="124"/>
        <v>2050</v>
      </c>
      <c r="D715" t="str">
        <f t="shared" si="125"/>
        <v>default</v>
      </c>
      <c r="E715" t="str">
        <f t="shared" si="126"/>
        <v>CH0</v>
      </c>
      <c r="F715" s="26">
        <f t="shared" si="127"/>
        <v>0</v>
      </c>
      <c r="H715">
        <f t="shared" si="128"/>
        <v>15</v>
      </c>
      <c r="I715">
        <f t="shared" si="129"/>
        <v>8</v>
      </c>
      <c r="J715">
        <f t="shared" si="130"/>
        <v>5</v>
      </c>
      <c r="K715">
        <f t="shared" si="131"/>
        <v>1</v>
      </c>
    </row>
    <row r="716" spans="2:11">
      <c r="F716" s="26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63"/>
  <sheetViews>
    <sheetView topLeftCell="A11" zoomScale="55" zoomScaleNormal="55" workbookViewId="0">
      <selection activeCell="AC32" sqref="AC32"/>
    </sheetView>
  </sheetViews>
  <sheetFormatPr defaultRowHeight="14.25"/>
  <cols>
    <col min="1" max="1" width="10.625" customWidth="1"/>
    <col min="2" max="2" width="13.875" customWidth="1"/>
    <col min="3" max="12" width="10.625" customWidth="1"/>
    <col min="13" max="13" width="13.5" customWidth="1"/>
    <col min="14" max="14" width="11.875" customWidth="1"/>
    <col min="15" max="15" width="15.75" customWidth="1"/>
    <col min="16" max="16" width="10.625" customWidth="1"/>
    <col min="17" max="17" width="11.375" customWidth="1"/>
    <col min="18" max="18" width="11.5" customWidth="1"/>
    <col min="19" max="19" width="6.75" customWidth="1"/>
    <col min="20" max="36" width="10.625" customWidth="1"/>
  </cols>
  <sheetData>
    <row r="1" spans="2:27">
      <c r="C1" t="s">
        <v>126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  <c r="M1" t="s">
        <v>127</v>
      </c>
      <c r="N1" t="s">
        <v>128</v>
      </c>
      <c r="O1" t="s">
        <v>33</v>
      </c>
      <c r="P1" t="s">
        <v>32</v>
      </c>
      <c r="Q1" t="s">
        <v>8</v>
      </c>
      <c r="R1" t="s">
        <v>51</v>
      </c>
      <c r="S1" t="s">
        <v>129</v>
      </c>
    </row>
    <row r="2" spans="2:27" ht="15">
      <c r="B2" t="s">
        <v>95</v>
      </c>
      <c r="C2" s="1">
        <f>INDEX($R$2:$R$15,MATCH(B2,$N$2:$N$15,0))</f>
        <v>10800</v>
      </c>
      <c r="D2" s="30">
        <f>C2</f>
        <v>10800</v>
      </c>
      <c r="E2" s="31">
        <f t="shared" ref="E2:K4" si="0">INDEX($E$24:$L$46,MATCH($B2,$D$24:$D$46,0),MATCH(E$1,$E$23:$L$23,0))</f>
        <v>6907.2</v>
      </c>
      <c r="F2" s="31">
        <f t="shared" si="0"/>
        <v>0</v>
      </c>
      <c r="G2" s="31">
        <f t="shared" si="0"/>
        <v>0</v>
      </c>
      <c r="H2" s="31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  <c r="M2" t="s">
        <v>56</v>
      </c>
      <c r="N2" t="s">
        <v>55</v>
      </c>
      <c r="O2" t="s">
        <v>11</v>
      </c>
      <c r="P2" t="s">
        <v>15</v>
      </c>
      <c r="Q2">
        <v>44573000</v>
      </c>
      <c r="R2">
        <v>7467</v>
      </c>
      <c r="S2">
        <v>5969.3317262622204</v>
      </c>
      <c r="Z2" s="199"/>
    </row>
    <row r="3" spans="2:27">
      <c r="B3" t="s">
        <v>105</v>
      </c>
      <c r="C3" s="1">
        <f>INDEX($R$2:$R$15,MATCH(B3,$N$2:$N$15,0))</f>
        <v>39224</v>
      </c>
      <c r="D3" s="31">
        <f>INDEX($E$24:$L$46,MATCH($B3,$D$24:$D$46,0),MATCH(D$1,$E$23:$L$23,0))</f>
        <v>39756.639999999999</v>
      </c>
      <c r="E3" s="31">
        <f t="shared" si="0"/>
        <v>52802.867668028601</v>
      </c>
      <c r="F3" s="31">
        <f t="shared" si="0"/>
        <v>55900.764651489801</v>
      </c>
      <c r="G3" s="31">
        <f t="shared" si="0"/>
        <v>63959.325331165601</v>
      </c>
      <c r="H3" s="31">
        <f t="shared" si="0"/>
        <v>63959.325331165601</v>
      </c>
      <c r="I3" s="31">
        <f t="shared" si="0"/>
        <v>65956.280250018506</v>
      </c>
      <c r="J3" s="31">
        <f t="shared" si="0"/>
        <v>70530.792539669201</v>
      </c>
      <c r="K3" s="31">
        <f t="shared" si="0"/>
        <v>86140.792539669201</v>
      </c>
      <c r="M3" t="s">
        <v>62</v>
      </c>
      <c r="N3" t="s">
        <v>60</v>
      </c>
      <c r="O3" t="s">
        <v>21</v>
      </c>
      <c r="P3" t="s">
        <v>15</v>
      </c>
      <c r="Q3">
        <v>59924643.071999997</v>
      </c>
      <c r="R3">
        <v>24038.880000000001</v>
      </c>
      <c r="S3">
        <v>2492.8217567540601</v>
      </c>
      <c r="AA3" s="200"/>
    </row>
    <row r="4" spans="2:27">
      <c r="B4" t="s">
        <v>120</v>
      </c>
      <c r="C4" s="1">
        <f>INDEX($R$2:$R$15,MATCH(B4,$N$2:$N$15,0))</f>
        <v>41297</v>
      </c>
      <c r="D4" s="31">
        <f>INDEX($E$24:$L$46,MATCH($B4,$D$24:$D$46,0),MATCH(D$1,$E$23:$L$23,0))</f>
        <v>41282.593240556656</v>
      </c>
      <c r="E4" s="31">
        <f t="shared" si="0"/>
        <v>51938.861479939304</v>
      </c>
      <c r="F4" s="31">
        <f t="shared" si="0"/>
        <v>52085.675893279054</v>
      </c>
      <c r="G4" s="31">
        <f t="shared" si="0"/>
        <v>55282.481202403687</v>
      </c>
      <c r="H4" s="31">
        <f t="shared" si="0"/>
        <v>53452.474731194125</v>
      </c>
      <c r="I4" s="31">
        <f t="shared" si="0"/>
        <v>55194.439913639544</v>
      </c>
      <c r="J4" s="31">
        <f t="shared" si="0"/>
        <v>64608.12587084416</v>
      </c>
      <c r="K4" s="31">
        <f t="shared" si="0"/>
        <v>68828.785992298013</v>
      </c>
      <c r="M4" t="s">
        <v>69</v>
      </c>
      <c r="N4" t="s">
        <v>70</v>
      </c>
      <c r="O4" t="s">
        <v>18</v>
      </c>
      <c r="P4" t="s">
        <v>15</v>
      </c>
      <c r="Q4">
        <v>107964248.539</v>
      </c>
      <c r="R4">
        <v>24612.6</v>
      </c>
      <c r="S4">
        <v>4386.5438246670401</v>
      </c>
      <c r="AA4" s="200"/>
    </row>
    <row r="5" spans="2:27">
      <c r="C5" s="1"/>
      <c r="D5" s="1"/>
      <c r="E5" s="1"/>
      <c r="F5" s="1"/>
      <c r="G5" s="1"/>
      <c r="H5" s="1"/>
      <c r="I5" s="1"/>
      <c r="J5" s="1"/>
      <c r="K5" s="1"/>
      <c r="M5" t="s">
        <v>76</v>
      </c>
      <c r="N5" t="s">
        <v>75</v>
      </c>
      <c r="O5" t="s">
        <v>25</v>
      </c>
      <c r="P5" t="s">
        <v>15</v>
      </c>
      <c r="Q5">
        <v>987626.25370606501</v>
      </c>
      <c r="R5">
        <v>1543.5</v>
      </c>
      <c r="S5">
        <v>639.86151843606399</v>
      </c>
      <c r="AA5" s="200"/>
    </row>
    <row r="6" spans="2:27">
      <c r="B6" t="s">
        <v>80</v>
      </c>
      <c r="C6" s="1">
        <f>INDEX($R$2:$R$15,MATCH(B6,$N$2:$N$15,0))</f>
        <v>3842.2</v>
      </c>
      <c r="D6" s="31">
        <f t="shared" ref="D6:K7" si="1">INDEX($E$24:$L$46,MATCH($B6,$D$24:$D$46,0),MATCH(D$1,$E$23:$L$23,0))</f>
        <v>3987.949198804241</v>
      </c>
      <c r="E6" s="31">
        <f t="shared" si="1"/>
        <v>3989.0886340886436</v>
      </c>
      <c r="F6" s="31">
        <f t="shared" si="1"/>
        <v>4065.0182849597072</v>
      </c>
      <c r="G6" s="31">
        <f t="shared" si="1"/>
        <v>4178.7625229001178</v>
      </c>
      <c r="H6" s="31">
        <f t="shared" si="1"/>
        <v>4449.2872298199318</v>
      </c>
      <c r="I6" s="31">
        <f t="shared" si="1"/>
        <v>4678.204922959434</v>
      </c>
      <c r="J6" s="31">
        <f t="shared" si="1"/>
        <v>4958.7069275755712</v>
      </c>
      <c r="K6" s="31">
        <f t="shared" si="1"/>
        <v>5115.1834718011487</v>
      </c>
      <c r="M6" t="s">
        <v>82</v>
      </c>
      <c r="N6" t="s">
        <v>80</v>
      </c>
      <c r="O6" t="s">
        <v>26</v>
      </c>
      <c r="P6" t="s">
        <v>15</v>
      </c>
      <c r="Q6">
        <v>17989532.626293901</v>
      </c>
      <c r="R6">
        <v>3842.2</v>
      </c>
      <c r="S6">
        <v>4682.0916730763502</v>
      </c>
      <c r="AA6" s="200"/>
    </row>
    <row r="7" spans="2:27">
      <c r="B7" t="s">
        <v>75</v>
      </c>
      <c r="C7" s="1">
        <f>INDEX($R$2:$R$15,MATCH(B7,$N$2:$N$15,0))</f>
        <v>1543.5</v>
      </c>
      <c r="D7" s="31">
        <f t="shared" si="1"/>
        <v>1602.0508011957593</v>
      </c>
      <c r="E7" s="31">
        <f t="shared" si="1"/>
        <v>1602.5085385237162</v>
      </c>
      <c r="F7" s="31">
        <f t="shared" si="1"/>
        <v>1633.0112234749124</v>
      </c>
      <c r="G7" s="31">
        <f t="shared" si="1"/>
        <v>1678.7048966988525</v>
      </c>
      <c r="H7" s="31">
        <f t="shared" si="1"/>
        <v>1787.3808857495876</v>
      </c>
      <c r="I7" s="31">
        <f t="shared" si="1"/>
        <v>1879.3423816011366</v>
      </c>
      <c r="J7" s="31">
        <f t="shared" si="1"/>
        <v>1992.0264803271289</v>
      </c>
      <c r="K7" s="31">
        <f t="shared" si="1"/>
        <v>2054.8867025987906</v>
      </c>
      <c r="M7" t="s">
        <v>88</v>
      </c>
      <c r="N7" t="s">
        <v>85</v>
      </c>
      <c r="O7" t="s">
        <v>132</v>
      </c>
      <c r="P7" t="s">
        <v>15</v>
      </c>
      <c r="Q7">
        <v>5921000</v>
      </c>
      <c r="R7">
        <v>8149.2</v>
      </c>
      <c r="S7">
        <v>726.57438766995494</v>
      </c>
      <c r="AA7" s="200"/>
    </row>
    <row r="8" spans="2:27">
      <c r="B8" t="s">
        <v>85</v>
      </c>
      <c r="C8" s="1">
        <f>INDEX($R$2:$R$15,MATCH(B8,$N$2:$N$15,0))</f>
        <v>8149.2</v>
      </c>
      <c r="D8" s="30">
        <f t="shared" ref="D8:K8" si="2">C8</f>
        <v>8149.2</v>
      </c>
      <c r="E8" s="32">
        <f t="shared" si="2"/>
        <v>8149.2</v>
      </c>
      <c r="F8" s="32">
        <f t="shared" si="2"/>
        <v>8149.2</v>
      </c>
      <c r="G8" s="32">
        <f t="shared" si="2"/>
        <v>8149.2</v>
      </c>
      <c r="H8" s="32">
        <f t="shared" si="2"/>
        <v>8149.2</v>
      </c>
      <c r="I8" s="32">
        <f t="shared" si="2"/>
        <v>8149.2</v>
      </c>
      <c r="J8" s="32">
        <f t="shared" si="2"/>
        <v>8149.2</v>
      </c>
      <c r="K8" s="32">
        <f t="shared" si="2"/>
        <v>8149.2</v>
      </c>
      <c r="M8" t="s">
        <v>92</v>
      </c>
      <c r="N8" t="s">
        <v>91</v>
      </c>
      <c r="O8" t="s">
        <v>19</v>
      </c>
      <c r="P8" t="s">
        <v>15</v>
      </c>
      <c r="Q8">
        <v>143496528.32800001</v>
      </c>
      <c r="R8">
        <v>20679</v>
      </c>
      <c r="S8">
        <v>6939.2392440640297</v>
      </c>
      <c r="AA8" s="200"/>
    </row>
    <row r="9" spans="2:27">
      <c r="C9" s="1"/>
      <c r="D9" s="1"/>
      <c r="E9" s="1"/>
      <c r="F9" s="1"/>
      <c r="G9" s="1"/>
      <c r="H9" s="1"/>
      <c r="I9" s="1"/>
      <c r="J9" s="1"/>
      <c r="K9" s="1"/>
      <c r="M9" t="s">
        <v>94</v>
      </c>
      <c r="N9" t="s">
        <v>95</v>
      </c>
      <c r="O9" t="s">
        <v>22</v>
      </c>
      <c r="P9" t="s">
        <v>15</v>
      </c>
      <c r="Q9">
        <v>86738063.894999996</v>
      </c>
      <c r="R9">
        <v>10800</v>
      </c>
      <c r="S9">
        <v>8031.3022124999998</v>
      </c>
      <c r="AA9" s="200"/>
    </row>
    <row r="10" spans="2:27">
      <c r="B10" t="s">
        <v>60</v>
      </c>
      <c r="C10" s="1">
        <f t="shared" ref="C10:C16" si="3">INDEX($R$2:$R$15,MATCH(B10,$N$2:$N$15,0))</f>
        <v>24038.880000000001</v>
      </c>
      <c r="D10" s="31">
        <f t="shared" ref="D10:K12" si="4">INDEX($E$24:$L$46,MATCH($B10,$D$24:$D$46,0),MATCH(D$1,$E$23:$L$23,0))</f>
        <v>25177.76772</v>
      </c>
      <c r="E10" s="31">
        <f t="shared" si="4"/>
        <v>21891.232619999999</v>
      </c>
      <c r="F10" s="31">
        <f t="shared" si="4"/>
        <v>21891.232619999999</v>
      </c>
      <c r="G10" s="31">
        <f t="shared" si="4"/>
        <v>21891.232619999999</v>
      </c>
      <c r="H10" s="31">
        <f t="shared" si="4"/>
        <v>21891.232619999999</v>
      </c>
      <c r="I10" s="31">
        <f t="shared" si="4"/>
        <v>21891.232619999999</v>
      </c>
      <c r="J10" s="31">
        <f t="shared" si="4"/>
        <v>21891.232619999999</v>
      </c>
      <c r="K10" s="31">
        <f t="shared" si="4"/>
        <v>20023.9026197983</v>
      </c>
      <c r="M10" t="s">
        <v>99</v>
      </c>
      <c r="N10" t="s">
        <v>100</v>
      </c>
      <c r="O10" t="s">
        <v>20</v>
      </c>
      <c r="P10" t="s">
        <v>15</v>
      </c>
      <c r="Q10">
        <v>6208011</v>
      </c>
      <c r="R10">
        <v>4200</v>
      </c>
      <c r="S10">
        <v>1478.09785714286</v>
      </c>
      <c r="AA10" s="200"/>
    </row>
    <row r="11" spans="2:27">
      <c r="B11" t="s">
        <v>441</v>
      </c>
      <c r="C11" s="1" t="e">
        <f t="shared" si="3"/>
        <v>#N/A</v>
      </c>
      <c r="D11" s="31">
        <f t="shared" si="4"/>
        <v>0</v>
      </c>
      <c r="E11" s="31">
        <f t="shared" si="4"/>
        <v>0</v>
      </c>
      <c r="F11" s="31">
        <f t="shared" si="4"/>
        <v>1186.8420513037017</v>
      </c>
      <c r="G11" s="31">
        <f t="shared" si="4"/>
        <v>5086.7513160732015</v>
      </c>
      <c r="H11" s="31">
        <f t="shared" si="4"/>
        <v>17195.078435375002</v>
      </c>
      <c r="I11" s="31">
        <f t="shared" si="4"/>
        <v>20128.794255375</v>
      </c>
      <c r="J11" s="31">
        <f t="shared" si="4"/>
        <v>21402.099824999099</v>
      </c>
      <c r="K11" s="31">
        <f t="shared" si="4"/>
        <v>21402.099824999099</v>
      </c>
      <c r="M11" t="s">
        <v>106</v>
      </c>
      <c r="N11" t="s">
        <v>105</v>
      </c>
      <c r="O11" t="s">
        <v>131</v>
      </c>
      <c r="P11" t="s">
        <v>15</v>
      </c>
      <c r="Q11">
        <v>38726000</v>
      </c>
      <c r="R11">
        <v>39224</v>
      </c>
      <c r="S11">
        <v>987.30369161737701</v>
      </c>
      <c r="AA11" s="200"/>
    </row>
    <row r="12" spans="2:27">
      <c r="B12" t="s">
        <v>100</v>
      </c>
      <c r="C12" s="1">
        <f t="shared" si="3"/>
        <v>4200</v>
      </c>
      <c r="D12" s="31">
        <f t="shared" si="4"/>
        <v>5028.3810199999998</v>
      </c>
      <c r="E12" s="31">
        <f t="shared" si="4"/>
        <v>1673.8347000000001</v>
      </c>
      <c r="F12" s="31">
        <f t="shared" si="4"/>
        <v>1458.1605423920601</v>
      </c>
      <c r="G12" s="31">
        <f t="shared" si="4"/>
        <v>1248.1130423920599</v>
      </c>
      <c r="H12" s="31">
        <f t="shared" si="4"/>
        <v>1060.97281239206</v>
      </c>
      <c r="I12" s="31">
        <f t="shared" si="4"/>
        <v>862.853412392064</v>
      </c>
      <c r="J12" s="31">
        <f t="shared" si="4"/>
        <v>833.37662239206395</v>
      </c>
      <c r="K12" s="31">
        <f t="shared" si="4"/>
        <v>674.14537239206402</v>
      </c>
      <c r="M12" t="s">
        <v>137</v>
      </c>
      <c r="N12" t="s">
        <v>134</v>
      </c>
      <c r="O12" t="s">
        <v>135</v>
      </c>
      <c r="P12" t="s">
        <v>15</v>
      </c>
      <c r="Q12">
        <v>0</v>
      </c>
      <c r="R12">
        <v>1</v>
      </c>
      <c r="S12">
        <v>0</v>
      </c>
      <c r="AA12" s="200"/>
    </row>
    <row r="13" spans="2:27">
      <c r="B13" t="s">
        <v>55</v>
      </c>
      <c r="C13" s="1">
        <f t="shared" si="3"/>
        <v>7467</v>
      </c>
      <c r="D13" s="30">
        <f t="shared" ref="D13:K14" si="5">C13</f>
        <v>7467</v>
      </c>
      <c r="E13" s="32">
        <f t="shared" si="5"/>
        <v>7467</v>
      </c>
      <c r="F13" s="32">
        <f t="shared" si="5"/>
        <v>7467</v>
      </c>
      <c r="G13" s="32">
        <f t="shared" si="5"/>
        <v>7467</v>
      </c>
      <c r="H13" s="32">
        <f t="shared" si="5"/>
        <v>7467</v>
      </c>
      <c r="I13" s="32">
        <f t="shared" si="5"/>
        <v>7467</v>
      </c>
      <c r="J13" s="32">
        <f t="shared" si="5"/>
        <v>7467</v>
      </c>
      <c r="K13" s="32">
        <f t="shared" si="5"/>
        <v>7467</v>
      </c>
      <c r="M13" t="s">
        <v>112</v>
      </c>
      <c r="N13" t="s">
        <v>110</v>
      </c>
      <c r="O13" t="s">
        <v>24</v>
      </c>
      <c r="P13" t="s">
        <v>15</v>
      </c>
      <c r="Q13">
        <v>11536853</v>
      </c>
      <c r="R13">
        <v>1924</v>
      </c>
      <c r="S13">
        <v>5996.2853430353398</v>
      </c>
      <c r="AA13" s="200"/>
    </row>
    <row r="14" spans="2:27">
      <c r="B14" t="s">
        <v>110</v>
      </c>
      <c r="C14" s="1">
        <f t="shared" si="3"/>
        <v>1924</v>
      </c>
      <c r="D14" s="30">
        <f t="shared" si="5"/>
        <v>1924</v>
      </c>
      <c r="E14" s="32">
        <f t="shared" si="5"/>
        <v>1924</v>
      </c>
      <c r="F14" s="32">
        <f t="shared" si="5"/>
        <v>1924</v>
      </c>
      <c r="G14" s="32">
        <f t="shared" si="5"/>
        <v>1924</v>
      </c>
      <c r="H14" s="32">
        <f t="shared" si="5"/>
        <v>1924</v>
      </c>
      <c r="I14" s="32">
        <f t="shared" si="5"/>
        <v>1924</v>
      </c>
      <c r="J14" s="32">
        <f t="shared" si="5"/>
        <v>1924</v>
      </c>
      <c r="K14" s="32">
        <f t="shared" si="5"/>
        <v>1924</v>
      </c>
      <c r="M14" t="s">
        <v>116</v>
      </c>
      <c r="N14" t="s">
        <v>115</v>
      </c>
      <c r="O14" t="s">
        <v>140</v>
      </c>
      <c r="P14" t="s">
        <v>15</v>
      </c>
      <c r="Q14">
        <v>8284000</v>
      </c>
      <c r="R14">
        <v>3283</v>
      </c>
      <c r="S14">
        <v>2523.30185805666</v>
      </c>
      <c r="AA14" s="200"/>
    </row>
    <row r="15" spans="2:27">
      <c r="B15" t="s">
        <v>91</v>
      </c>
      <c r="C15" s="1">
        <f t="shared" si="3"/>
        <v>20679</v>
      </c>
      <c r="D15" s="31">
        <f t="shared" ref="D15:J18" si="6">INDEX($E$24:$L$46,MATCH($B15,$D$24:$D$46,0),MATCH(D$1,$E$23:$L$23,0))</f>
        <v>20679</v>
      </c>
      <c r="E15" s="31">
        <f t="shared" si="6"/>
        <v>19020.280999178278</v>
      </c>
      <c r="F15" s="31">
        <f t="shared" si="6"/>
        <v>16812.187431267441</v>
      </c>
      <c r="G15" s="31">
        <f t="shared" si="6"/>
        <v>13987.423020108299</v>
      </c>
      <c r="H15" s="31">
        <f t="shared" si="6"/>
        <v>11775.924582341577</v>
      </c>
      <c r="I15" s="31">
        <f t="shared" si="6"/>
        <v>10501.691860395493</v>
      </c>
      <c r="J15" s="31">
        <f t="shared" si="6"/>
        <v>9309.330063145042</v>
      </c>
      <c r="K15" s="33">
        <f>J15</f>
        <v>9309.330063145042</v>
      </c>
      <c r="M15" t="s">
        <v>121</v>
      </c>
      <c r="N15" t="s">
        <v>120</v>
      </c>
      <c r="O15" t="s">
        <v>141</v>
      </c>
      <c r="P15" t="s">
        <v>15</v>
      </c>
      <c r="Q15">
        <v>72340000</v>
      </c>
      <c r="R15">
        <v>41297</v>
      </c>
      <c r="S15">
        <v>1751.70109208901</v>
      </c>
      <c r="AA15" s="200"/>
    </row>
    <row r="16" spans="2:27">
      <c r="B16" t="s">
        <v>70</v>
      </c>
      <c r="C16" s="1">
        <f t="shared" si="3"/>
        <v>24612.6</v>
      </c>
      <c r="D16" s="31">
        <f t="shared" si="6"/>
        <v>24612.6</v>
      </c>
      <c r="E16" s="31">
        <f t="shared" si="6"/>
        <v>23397.811875606982</v>
      </c>
      <c r="F16" s="31">
        <f t="shared" si="6"/>
        <v>21563.676952016125</v>
      </c>
      <c r="G16" s="31">
        <f t="shared" si="6"/>
        <v>18742.41659256093</v>
      </c>
      <c r="H16" s="31">
        <f t="shared" si="6"/>
        <v>12593.859233645098</v>
      </c>
      <c r="I16" s="31">
        <f t="shared" si="6"/>
        <v>11362.487577206884</v>
      </c>
      <c r="J16" s="31">
        <f t="shared" si="6"/>
        <v>10210.232972481657</v>
      </c>
      <c r="K16" s="33">
        <f>J16</f>
        <v>10210.232972481657</v>
      </c>
      <c r="M16" t="e">
        <f>MATCH(N24,$N$4:$N$17,0)</f>
        <v>#N/A</v>
      </c>
      <c r="AA16" s="200"/>
    </row>
    <row r="17" spans="2:27">
      <c r="B17" t="s">
        <v>65</v>
      </c>
      <c r="C17" s="1"/>
      <c r="D17" s="1">
        <f t="shared" si="6"/>
        <v>24</v>
      </c>
      <c r="E17" s="1">
        <f t="shared" si="6"/>
        <v>170.262264109867</v>
      </c>
      <c r="F17" s="1">
        <f t="shared" si="6"/>
        <v>170.262264109867</v>
      </c>
      <c r="G17" s="1">
        <f t="shared" si="6"/>
        <v>170.262264109867</v>
      </c>
      <c r="H17" s="1">
        <f t="shared" si="6"/>
        <v>170.262264109867</v>
      </c>
      <c r="I17" s="1">
        <f t="shared" si="6"/>
        <v>170.262264109867</v>
      </c>
      <c r="J17" s="1">
        <f t="shared" si="6"/>
        <v>170.262264109867</v>
      </c>
      <c r="K17" s="1">
        <f>INDEX($E$24:$L$46,MATCH($B17,$D$24:$D$46,0),MATCH(K$1,$E$23:$L$23,0))</f>
        <v>170.262264109867</v>
      </c>
      <c r="AA17" s="200"/>
    </row>
    <row r="18" spans="2:27">
      <c r="B18" t="s">
        <v>115</v>
      </c>
      <c r="C18" s="1">
        <f>INDEX($R$2:$R$15,MATCH(B18,$N$2:$N$15,0))</f>
        <v>3283</v>
      </c>
      <c r="D18" s="31">
        <f t="shared" si="6"/>
        <v>3663.6067594433389</v>
      </c>
      <c r="E18" s="31">
        <f t="shared" si="6"/>
        <v>9893.1164723693928</v>
      </c>
      <c r="F18" s="31">
        <f t="shared" si="6"/>
        <v>9921.0811225293437</v>
      </c>
      <c r="G18" s="31">
        <f t="shared" si="6"/>
        <v>11931.470763108709</v>
      </c>
      <c r="H18" s="31">
        <f t="shared" si="6"/>
        <v>13761.477234318272</v>
      </c>
      <c r="I18" s="31">
        <f t="shared" si="6"/>
        <v>14209.950655273055</v>
      </c>
      <c r="J18" s="31">
        <f t="shared" si="6"/>
        <v>16633.528340732239</v>
      </c>
      <c r="K18" s="31">
        <f>INDEX($E$24:$L$46,MATCH($B18,$D$24:$D$46,0),MATCH(K$1,$E$23:$L$23,0))</f>
        <v>17720.148155198676</v>
      </c>
      <c r="AA18" s="200"/>
    </row>
    <row r="19" spans="2:27">
      <c r="AA19" s="200"/>
    </row>
    <row r="20" spans="2:27">
      <c r="AA20" s="200"/>
    </row>
    <row r="21" spans="2:27">
      <c r="AA21" s="200"/>
    </row>
    <row r="22" spans="2:27">
      <c r="AA22" s="200"/>
    </row>
    <row r="23" spans="2:27">
      <c r="E23" s="21">
        <v>2015</v>
      </c>
      <c r="F23" s="21">
        <v>2020</v>
      </c>
      <c r="G23" s="21">
        <v>2025</v>
      </c>
      <c r="H23" s="21">
        <v>2030</v>
      </c>
      <c r="I23" s="21">
        <v>2035</v>
      </c>
      <c r="J23" s="21">
        <v>2040</v>
      </c>
      <c r="K23" s="21">
        <v>2045</v>
      </c>
      <c r="L23" s="21">
        <v>2050</v>
      </c>
      <c r="AA23" s="200"/>
    </row>
    <row r="24" spans="2:27">
      <c r="C24" s="210" t="s">
        <v>144</v>
      </c>
      <c r="D24" t="s">
        <v>95</v>
      </c>
      <c r="E24" s="1">
        <f t="shared" ref="E24:L24" si="7">INDEX($E$86:$S$163,MATCH($D24,$C$86:$C$163,0),MATCH(E$23,$E$84:$S$84,0))</f>
        <v>12188.16</v>
      </c>
      <c r="F24" s="1">
        <f t="shared" si="7"/>
        <v>6907.2</v>
      </c>
      <c r="G24" s="1">
        <f t="shared" si="7"/>
        <v>0</v>
      </c>
      <c r="H24" s="1">
        <f t="shared" si="7"/>
        <v>0</v>
      </c>
      <c r="I24" s="1">
        <f t="shared" si="7"/>
        <v>0</v>
      </c>
      <c r="J24" s="1">
        <f t="shared" si="7"/>
        <v>0</v>
      </c>
      <c r="K24" s="1">
        <f t="shared" si="7"/>
        <v>0</v>
      </c>
      <c r="L24" s="1">
        <f t="shared" si="7"/>
        <v>0</v>
      </c>
      <c r="AA24" s="200"/>
    </row>
    <row r="25" spans="2:27">
      <c r="C25" s="210"/>
      <c r="E25" s="1"/>
      <c r="F25" s="1"/>
      <c r="G25" s="1"/>
      <c r="H25" s="1"/>
      <c r="I25" s="1"/>
      <c r="J25" s="1"/>
      <c r="K25" s="1"/>
      <c r="L25" s="1"/>
    </row>
    <row r="26" spans="2:27">
      <c r="C26" s="210"/>
      <c r="D26" t="s">
        <v>145</v>
      </c>
      <c r="E26" s="1">
        <f t="shared" ref="E26:L28" si="8">INDEX($E$86:$S$163,MATCH($D26,$C$86:$C$163,0),MATCH(E$23,$E$84:$S$84,0))</f>
        <v>5590</v>
      </c>
      <c r="F26" s="1">
        <f t="shared" si="8"/>
        <v>5591.5971726123598</v>
      </c>
      <c r="G26" s="1">
        <f t="shared" si="8"/>
        <v>5698.0295084346199</v>
      </c>
      <c r="H26" s="1">
        <f t="shared" si="8"/>
        <v>5857.4674195989701</v>
      </c>
      <c r="I26" s="1">
        <f t="shared" si="8"/>
        <v>6236.6681155695196</v>
      </c>
      <c r="J26" s="1">
        <f t="shared" si="8"/>
        <v>6557.5473045605704</v>
      </c>
      <c r="K26" s="1">
        <f t="shared" si="8"/>
        <v>6950.7334079026996</v>
      </c>
      <c r="L26" s="1">
        <f t="shared" si="8"/>
        <v>7170.0701743999398</v>
      </c>
    </row>
    <row r="27" spans="2:27">
      <c r="C27" s="210"/>
      <c r="D27" t="s">
        <v>146</v>
      </c>
      <c r="E27" s="1">
        <f t="shared" si="8"/>
        <v>44946.2</v>
      </c>
      <c r="F27" s="1">
        <f t="shared" si="8"/>
        <v>61831.977952308698</v>
      </c>
      <c r="G27" s="1">
        <f t="shared" si="8"/>
        <v>62006.757015808398</v>
      </c>
      <c r="H27" s="1">
        <f t="shared" si="8"/>
        <v>67213.951965512402</v>
      </c>
      <c r="I27" s="1">
        <f t="shared" si="8"/>
        <v>67213.951965512402</v>
      </c>
      <c r="J27" s="1">
        <f t="shared" si="8"/>
        <v>69404.390568912597</v>
      </c>
      <c r="K27" s="1">
        <f t="shared" si="8"/>
        <v>81241.654211576402</v>
      </c>
      <c r="L27" s="1">
        <f t="shared" si="8"/>
        <v>86548.934147496693</v>
      </c>
      <c r="AA27" t="s">
        <v>70</v>
      </c>
    </row>
    <row r="28" spans="2:27">
      <c r="C28" s="210"/>
      <c r="D28" t="s">
        <v>105</v>
      </c>
      <c r="E28" s="1">
        <f t="shared" si="8"/>
        <v>39756.639999999999</v>
      </c>
      <c r="F28" s="1">
        <f t="shared" si="8"/>
        <v>52802.867668028601</v>
      </c>
      <c r="G28" s="1">
        <f t="shared" si="8"/>
        <v>55900.764651489801</v>
      </c>
      <c r="H28" s="1">
        <f t="shared" si="8"/>
        <v>63959.325331165601</v>
      </c>
      <c r="I28" s="1">
        <f t="shared" si="8"/>
        <v>63959.325331165601</v>
      </c>
      <c r="J28" s="1">
        <f t="shared" si="8"/>
        <v>65956.280250018506</v>
      </c>
      <c r="K28" s="1">
        <f t="shared" si="8"/>
        <v>70530.792539669201</v>
      </c>
      <c r="L28" s="1">
        <f t="shared" si="8"/>
        <v>86140.792539669201</v>
      </c>
      <c r="AA28" t="s">
        <v>65</v>
      </c>
    </row>
    <row r="29" spans="2:27">
      <c r="C29" s="210"/>
      <c r="D29" t="s">
        <v>80</v>
      </c>
      <c r="E29" s="1">
        <f t="shared" ref="E29:L30" si="9">E$26*E71/SUM($E$71:$E$72)</f>
        <v>3987.949198804241</v>
      </c>
      <c r="F29" s="1">
        <f t="shared" si="9"/>
        <v>3989.0886340886436</v>
      </c>
      <c r="G29" s="1">
        <f t="shared" si="9"/>
        <v>4065.0182849597072</v>
      </c>
      <c r="H29" s="1">
        <f t="shared" si="9"/>
        <v>4178.7625229001178</v>
      </c>
      <c r="I29" s="1">
        <f t="shared" si="9"/>
        <v>4449.2872298199318</v>
      </c>
      <c r="J29" s="1">
        <f t="shared" si="9"/>
        <v>4678.204922959434</v>
      </c>
      <c r="K29" s="1">
        <f t="shared" si="9"/>
        <v>4958.7069275755712</v>
      </c>
      <c r="L29" s="1">
        <f t="shared" si="9"/>
        <v>5115.1834718011487</v>
      </c>
      <c r="AA29" t="s">
        <v>115</v>
      </c>
    </row>
    <row r="30" spans="2:27">
      <c r="C30" s="210"/>
      <c r="D30" t="s">
        <v>75</v>
      </c>
      <c r="E30" s="1">
        <f t="shared" si="9"/>
        <v>1602.0508011957593</v>
      </c>
      <c r="F30" s="1">
        <f t="shared" si="9"/>
        <v>1602.5085385237162</v>
      </c>
      <c r="G30" s="1">
        <f t="shared" si="9"/>
        <v>1633.0112234749124</v>
      </c>
      <c r="H30" s="1">
        <f t="shared" si="9"/>
        <v>1678.7048966988525</v>
      </c>
      <c r="I30" s="1">
        <f t="shared" si="9"/>
        <v>1787.3808857495876</v>
      </c>
      <c r="J30" s="1">
        <f t="shared" si="9"/>
        <v>1879.3423816011366</v>
      </c>
      <c r="K30" s="1">
        <f t="shared" si="9"/>
        <v>1992.0264803271289</v>
      </c>
      <c r="L30" s="1">
        <f t="shared" si="9"/>
        <v>2054.8867025987906</v>
      </c>
    </row>
    <row r="31" spans="2:27">
      <c r="C31" s="210"/>
      <c r="D31" t="s">
        <v>147</v>
      </c>
      <c r="E31" s="1">
        <f t="shared" ref="E31:L33" si="10">INDEX($E$86:$S$163,MATCH($D31,$C$86:$C$163,0),MATCH(E$23,$E$84:$S$84,0))</f>
        <v>17067.006106328699</v>
      </c>
      <c r="F31" s="1">
        <f t="shared" si="10"/>
        <v>6215.4376671414402</v>
      </c>
      <c r="G31" s="1">
        <f t="shared" si="10"/>
        <v>12472.541557279499</v>
      </c>
      <c r="H31" s="1">
        <f t="shared" si="10"/>
        <v>12492.8688298132</v>
      </c>
      <c r="I31" s="1">
        <f t="shared" si="10"/>
        <v>10975.0237445368</v>
      </c>
      <c r="J31" s="1">
        <f t="shared" si="10"/>
        <v>10926.6049221948</v>
      </c>
      <c r="K31" s="1">
        <f t="shared" si="10"/>
        <v>13942.244025325001</v>
      </c>
      <c r="L31" s="1">
        <f t="shared" si="10"/>
        <v>15542.214233719</v>
      </c>
    </row>
    <row r="32" spans="2:27">
      <c r="C32" s="210"/>
      <c r="D32" t="s">
        <v>148</v>
      </c>
      <c r="E32" s="1">
        <f t="shared" si="10"/>
        <v>52819.418830000002</v>
      </c>
      <c r="F32" s="1">
        <f t="shared" si="10"/>
        <v>49169.984185626803</v>
      </c>
      <c r="G32" s="1">
        <f t="shared" si="10"/>
        <v>44015.930185626799</v>
      </c>
      <c r="H32" s="1">
        <f t="shared" si="10"/>
        <v>36774.890185626697</v>
      </c>
      <c r="I32" s="1">
        <f t="shared" si="10"/>
        <v>25733.500335626701</v>
      </c>
      <c r="J32" s="1">
        <f t="shared" si="10"/>
        <v>22523.405535626702</v>
      </c>
      <c r="K32" s="1">
        <f t="shared" si="10"/>
        <v>19519.563035626699</v>
      </c>
      <c r="L32" s="1">
        <f t="shared" si="10"/>
        <v>24057.330678728798</v>
      </c>
    </row>
    <row r="33" spans="3:13">
      <c r="C33" s="210"/>
      <c r="D33" t="s">
        <v>149</v>
      </c>
      <c r="E33" s="1">
        <f t="shared" si="10"/>
        <v>25177.76772</v>
      </c>
      <c r="F33" s="1">
        <f t="shared" si="10"/>
        <v>21891.232619999999</v>
      </c>
      <c r="G33" s="1">
        <f t="shared" si="10"/>
        <v>23078.074671303701</v>
      </c>
      <c r="H33" s="1">
        <f t="shared" si="10"/>
        <v>26977.9839360732</v>
      </c>
      <c r="I33" s="1">
        <f t="shared" si="10"/>
        <v>39086.311055375001</v>
      </c>
      <c r="J33" s="1">
        <f t="shared" si="10"/>
        <v>42020.026875374999</v>
      </c>
      <c r="K33" s="1">
        <f t="shared" si="10"/>
        <v>43293.332444999098</v>
      </c>
      <c r="L33" s="1">
        <f t="shared" si="10"/>
        <v>41426.002444797399</v>
      </c>
    </row>
    <row r="34" spans="3:13">
      <c r="C34" s="210"/>
      <c r="D34" t="s">
        <v>60</v>
      </c>
      <c r="E34" s="1">
        <f t="shared" ref="E34:L34" si="11">E33-E35</f>
        <v>25177.76772</v>
      </c>
      <c r="F34" s="1">
        <f t="shared" si="11"/>
        <v>21891.232619999999</v>
      </c>
      <c r="G34" s="1">
        <f t="shared" si="11"/>
        <v>21891.232619999999</v>
      </c>
      <c r="H34" s="1">
        <f t="shared" si="11"/>
        <v>21891.232619999999</v>
      </c>
      <c r="I34" s="1">
        <f t="shared" si="11"/>
        <v>21891.232619999999</v>
      </c>
      <c r="J34" s="1">
        <f t="shared" si="11"/>
        <v>21891.232619999999</v>
      </c>
      <c r="K34" s="1">
        <f t="shared" si="11"/>
        <v>21891.232619999999</v>
      </c>
      <c r="L34" s="1">
        <f t="shared" si="11"/>
        <v>20023.9026197983</v>
      </c>
    </row>
    <row r="35" spans="3:13">
      <c r="C35" s="210"/>
      <c r="D35" t="s">
        <v>441</v>
      </c>
      <c r="E35">
        <f>0</f>
        <v>0</v>
      </c>
      <c r="F35">
        <v>0</v>
      </c>
      <c r="G35">
        <f>G33-MIN($E$33:$L$33)</f>
        <v>1186.8420513037017</v>
      </c>
      <c r="H35">
        <f>H33-MIN($E$33:$L$33)</f>
        <v>5086.7513160732015</v>
      </c>
      <c r="I35">
        <f>I33-MIN($E$33:$L$33)</f>
        <v>17195.078435375002</v>
      </c>
      <c r="J35">
        <f>J33-MIN($E$33:$L$33)</f>
        <v>20128.794255375</v>
      </c>
      <c r="K35">
        <f>K33-MIN($E$33:$L$33)</f>
        <v>21402.099824999099</v>
      </c>
      <c r="L35">
        <f>K35</f>
        <v>21402.099824999099</v>
      </c>
    </row>
    <row r="36" spans="3:13">
      <c r="C36" s="210"/>
      <c r="D36" t="s">
        <v>100</v>
      </c>
      <c r="E36" s="1">
        <f t="shared" ref="E36:L37" si="12">INDEX($E$86:$S$163,MATCH($D36,$C$86:$C$163,0),MATCH(E$23,$E$84:$S$84,0))</f>
        <v>5028.3810199999998</v>
      </c>
      <c r="F36" s="1">
        <f t="shared" si="12"/>
        <v>1673.8347000000001</v>
      </c>
      <c r="G36" s="1">
        <f t="shared" si="12"/>
        <v>1458.1605423920601</v>
      </c>
      <c r="H36" s="1">
        <f t="shared" si="12"/>
        <v>1248.1130423920599</v>
      </c>
      <c r="I36" s="1">
        <f t="shared" si="12"/>
        <v>1060.97281239206</v>
      </c>
      <c r="J36" s="1">
        <f t="shared" si="12"/>
        <v>862.853412392064</v>
      </c>
      <c r="K36" s="1">
        <f t="shared" si="12"/>
        <v>833.37662239206395</v>
      </c>
      <c r="L36" s="1">
        <f t="shared" si="12"/>
        <v>674.14537239206402</v>
      </c>
    </row>
    <row r="37" spans="3:13">
      <c r="C37" s="210"/>
      <c r="D37" t="s">
        <v>150</v>
      </c>
      <c r="E37" s="1">
        <f t="shared" si="12"/>
        <v>3500.5210299999999</v>
      </c>
      <c r="F37" s="1">
        <f t="shared" si="12"/>
        <v>7100.2005303410697</v>
      </c>
      <c r="G37" s="1">
        <f t="shared" si="12"/>
        <v>7095.1655303410698</v>
      </c>
      <c r="H37" s="1">
        <f t="shared" si="12"/>
        <v>6894.2927803410703</v>
      </c>
      <c r="I37" s="1">
        <f t="shared" si="12"/>
        <v>6749.0615303410696</v>
      </c>
      <c r="J37" s="1">
        <f t="shared" si="12"/>
        <v>7261.4793993421299</v>
      </c>
      <c r="K37" s="1">
        <f t="shared" si="12"/>
        <v>7326.3943117653798</v>
      </c>
      <c r="L37" s="1">
        <f t="shared" si="12"/>
        <v>6585.6729401993098</v>
      </c>
    </row>
    <row r="38" spans="3:13">
      <c r="C38" s="210"/>
      <c r="D38" t="s">
        <v>55</v>
      </c>
      <c r="E38" s="1">
        <f t="shared" ref="E38:L38" si="13">E37-E69</f>
        <v>1576.5210299999999</v>
      </c>
      <c r="F38" s="1">
        <f t="shared" si="13"/>
        <v>5176.2005303410697</v>
      </c>
      <c r="G38" s="1">
        <f t="shared" si="13"/>
        <v>5171.1655303410698</v>
      </c>
      <c r="H38" s="1">
        <f t="shared" si="13"/>
        <v>4970.2927803410703</v>
      </c>
      <c r="I38" s="1">
        <f t="shared" si="13"/>
        <v>4825.0615303410696</v>
      </c>
      <c r="J38" s="1">
        <f t="shared" si="13"/>
        <v>5337.4793993421299</v>
      </c>
      <c r="K38" s="1">
        <f t="shared" si="13"/>
        <v>5402.3943117653798</v>
      </c>
      <c r="L38" s="1">
        <f t="shared" si="13"/>
        <v>4661.6729401993098</v>
      </c>
    </row>
    <row r="39" spans="3:13">
      <c r="C39" s="210"/>
      <c r="D39" t="s">
        <v>110</v>
      </c>
      <c r="E39" s="1">
        <f t="shared" ref="E39:L39" si="14">E69</f>
        <v>1924</v>
      </c>
      <c r="F39" s="1">
        <f t="shared" si="14"/>
        <v>1924</v>
      </c>
      <c r="G39" s="1">
        <f t="shared" si="14"/>
        <v>1924</v>
      </c>
      <c r="H39" s="1">
        <f t="shared" si="14"/>
        <v>1924</v>
      </c>
      <c r="I39" s="1">
        <f t="shared" si="14"/>
        <v>1924</v>
      </c>
      <c r="J39" s="1">
        <f t="shared" si="14"/>
        <v>1924</v>
      </c>
      <c r="K39" s="1">
        <f t="shared" si="14"/>
        <v>1924</v>
      </c>
      <c r="L39" s="1">
        <f t="shared" si="14"/>
        <v>1924</v>
      </c>
    </row>
    <row r="40" spans="3:13">
      <c r="C40" s="210"/>
      <c r="D40" t="s">
        <v>120</v>
      </c>
      <c r="E40" s="1">
        <f t="shared" ref="E40:L40" si="15">E27*(1-E65)</f>
        <v>41282.593240556656</v>
      </c>
      <c r="F40" s="1">
        <f t="shared" si="15"/>
        <v>51938.861479939304</v>
      </c>
      <c r="G40" s="1">
        <f t="shared" si="15"/>
        <v>52085.675893279054</v>
      </c>
      <c r="H40" s="1">
        <f t="shared" si="15"/>
        <v>55282.481202403687</v>
      </c>
      <c r="I40" s="1">
        <f t="shared" si="15"/>
        <v>53452.474731194125</v>
      </c>
      <c r="J40" s="1">
        <f t="shared" si="15"/>
        <v>55194.439913639544</v>
      </c>
      <c r="K40" s="1">
        <f t="shared" si="15"/>
        <v>64608.12587084416</v>
      </c>
      <c r="L40" s="1">
        <f t="shared" si="15"/>
        <v>68828.785992298013</v>
      </c>
      <c r="M40" s="1"/>
    </row>
    <row r="41" spans="3:13">
      <c r="C41" s="210"/>
      <c r="D41" t="s">
        <v>115</v>
      </c>
      <c r="E41" s="1">
        <f t="shared" ref="E41:L41" si="16">E27*(E65)</f>
        <v>3663.6067594433389</v>
      </c>
      <c r="F41" s="1">
        <f t="shared" si="16"/>
        <v>9893.1164723693928</v>
      </c>
      <c r="G41" s="1">
        <f t="shared" si="16"/>
        <v>9921.0811225293437</v>
      </c>
      <c r="H41" s="1">
        <f t="shared" si="16"/>
        <v>11931.470763108709</v>
      </c>
      <c r="I41" s="1">
        <f t="shared" si="16"/>
        <v>13761.477234318272</v>
      </c>
      <c r="J41" s="1">
        <f t="shared" si="16"/>
        <v>14209.950655273055</v>
      </c>
      <c r="K41" s="1">
        <f t="shared" si="16"/>
        <v>16633.528340732239</v>
      </c>
      <c r="L41" s="1">
        <f t="shared" si="16"/>
        <v>17720.148155198676</v>
      </c>
      <c r="M41" s="1"/>
    </row>
    <row r="42" spans="3:13">
      <c r="C42" s="210"/>
      <c r="D42" t="s">
        <v>151</v>
      </c>
      <c r="E42" s="1">
        <f t="shared" ref="E42:L42" si="17">E32*E66</f>
        <v>22969.789281113448</v>
      </c>
      <c r="F42" s="1">
        <f t="shared" si="17"/>
        <v>20976.867464505089</v>
      </c>
      <c r="G42" s="1">
        <f t="shared" si="17"/>
        <v>18323.881731284404</v>
      </c>
      <c r="H42" s="1">
        <f t="shared" si="17"/>
        <v>14929.976784762976</v>
      </c>
      <c r="I42" s="1">
        <f t="shared" si="17"/>
        <v>12272.900160068119</v>
      </c>
      <c r="J42" s="1">
        <f t="shared" si="17"/>
        <v>10741.93187083735</v>
      </c>
      <c r="K42" s="1">
        <f t="shared" si="17"/>
        <v>9309.330063145042</v>
      </c>
      <c r="L42" s="1">
        <f t="shared" si="17"/>
        <v>11473.496169855274</v>
      </c>
      <c r="M42" s="1"/>
    </row>
    <row r="43" spans="3:13" ht="15">
      <c r="C43" s="210"/>
      <c r="D43" t="s">
        <v>91</v>
      </c>
      <c r="E43" s="34">
        <f>INDEX($R$4:$R$17,MATCH(D43,$N$4:$N$17,0))</f>
        <v>20679</v>
      </c>
      <c r="F43" s="1">
        <f>(F42-$K$42)/($E$42-$K$42)*($E$43-$K$43)+$K$43</f>
        <v>19020.280999178278</v>
      </c>
      <c r="G43" s="1">
        <f>(G42-$K$42)/($E$42-$K$42)*($E$43-$K$43)+$K$43</f>
        <v>16812.187431267441</v>
      </c>
      <c r="H43" s="1">
        <f>(H42-$K$42)/($E$42-$K$42)*($E$43-$K$43)+$K$43</f>
        <v>13987.423020108299</v>
      </c>
      <c r="I43" s="1">
        <f>(I42-$K$42)/($E$42-$K$42)*($E$43-$K$43)+$K$43</f>
        <v>11775.924582341577</v>
      </c>
      <c r="J43" s="1">
        <f>(J42-$K$42)/($E$42-$K$42)*($E$43-$K$43)+$K$43</f>
        <v>10501.691860395493</v>
      </c>
      <c r="K43" s="1">
        <f>K42</f>
        <v>9309.330063145042</v>
      </c>
      <c r="L43" s="1">
        <f>K43</f>
        <v>9309.330063145042</v>
      </c>
      <c r="M43" s="1"/>
    </row>
    <row r="44" spans="3:13">
      <c r="C44" s="210"/>
      <c r="D44" t="s">
        <v>152</v>
      </c>
      <c r="E44" s="1">
        <f t="shared" ref="E44:L44" si="18">E32*(1-E66)</f>
        <v>29849.629548886554</v>
      </c>
      <c r="F44" s="1">
        <f t="shared" si="18"/>
        <v>28193.116721121714</v>
      </c>
      <c r="G44" s="1">
        <f t="shared" si="18"/>
        <v>25692.048454342392</v>
      </c>
      <c r="H44" s="1">
        <f t="shared" si="18"/>
        <v>21844.913400863723</v>
      </c>
      <c r="I44" s="1">
        <f t="shared" si="18"/>
        <v>13460.60017555858</v>
      </c>
      <c r="J44" s="1">
        <f t="shared" si="18"/>
        <v>11781.47366478935</v>
      </c>
      <c r="K44" s="1">
        <f t="shared" si="18"/>
        <v>10210.232972481657</v>
      </c>
      <c r="L44" s="1">
        <f t="shared" si="18"/>
        <v>12583.834508873524</v>
      </c>
      <c r="M44" s="1"/>
    </row>
    <row r="45" spans="3:13" ht="15">
      <c r="C45" s="210"/>
      <c r="D45" t="s">
        <v>70</v>
      </c>
      <c r="E45" s="34">
        <f>INDEX($R$4:$R$17,MATCH(D45,$N$4:$N$17,0))</f>
        <v>24612.6</v>
      </c>
      <c r="F45" s="1">
        <f>(F44-$K$44)/($E$44-$K$44)*($E$45-$K$45)+$K$45</f>
        <v>23397.811875606982</v>
      </c>
      <c r="G45" s="1">
        <f>(G44-$K$44)/($E$44-$K$44)*($E$45-$K$45)+$K$45</f>
        <v>21563.676952016125</v>
      </c>
      <c r="H45" s="1">
        <f>(H44-$K$44)/($E$44-$K$44)*($E$45-$K$45)+$K$45</f>
        <v>18742.41659256093</v>
      </c>
      <c r="I45" s="1">
        <f>(I44-$K$44)/($E$44-$K$44)*($E$45-$K$45)+$K$45</f>
        <v>12593.859233645098</v>
      </c>
      <c r="J45" s="1">
        <f>(J44-$K$44)/($E$44-$K$44)*($E$45-$K$45)+$K$45</f>
        <v>11362.487577206884</v>
      </c>
      <c r="K45" s="1">
        <f>K44</f>
        <v>10210.232972481657</v>
      </c>
      <c r="L45" s="1">
        <f>K45</f>
        <v>10210.232972481657</v>
      </c>
      <c r="M45" s="1"/>
    </row>
    <row r="46" spans="3:13">
      <c r="C46" s="210"/>
      <c r="D46" t="s">
        <v>65</v>
      </c>
      <c r="E46" s="1">
        <f t="shared" ref="E46:L46" si="19">INDEX($E$86:$S$163,MATCH($D46,$C$86:$C$163,0),MATCH(E$23,$E$84:$S$84,0))</f>
        <v>24</v>
      </c>
      <c r="F46" s="1">
        <f t="shared" si="19"/>
        <v>170.262264109867</v>
      </c>
      <c r="G46" s="1">
        <f t="shared" si="19"/>
        <v>170.262264109867</v>
      </c>
      <c r="H46" s="1">
        <f t="shared" si="19"/>
        <v>170.262264109867</v>
      </c>
      <c r="I46" s="1">
        <f t="shared" si="19"/>
        <v>170.262264109867</v>
      </c>
      <c r="J46" s="1">
        <f t="shared" si="19"/>
        <v>170.262264109867</v>
      </c>
      <c r="K46" s="1">
        <f t="shared" si="19"/>
        <v>170.262264109867</v>
      </c>
      <c r="L46" s="1">
        <f t="shared" si="19"/>
        <v>170.262264109867</v>
      </c>
    </row>
    <row r="53" spans="3:9" ht="11.85" customHeight="1">
      <c r="C53" s="210" t="s">
        <v>40</v>
      </c>
      <c r="D53" t="s">
        <v>95</v>
      </c>
      <c r="E53" s="26">
        <f t="shared" ref="E53:E58" si="20">INDEX($W$87:$AE$106,MATCH($D53,$U$87:$U$106,0),MATCH(E$23,$W$83:$AE$83,0))*1000</f>
        <v>10800</v>
      </c>
      <c r="H53" s="26">
        <f t="shared" ref="H53:I58" si="21">INDEX($W$87:$AE$106,MATCH($D53,$U$87:$U$106,0),MATCH(H$23,$W$83:$AE$83,0))*1000</f>
        <v>0</v>
      </c>
      <c r="I53" s="26">
        <f t="shared" si="21"/>
        <v>0</v>
      </c>
    </row>
    <row r="54" spans="3:9">
      <c r="C54" s="210"/>
      <c r="D54" t="s">
        <v>91</v>
      </c>
      <c r="E54" s="26">
        <f t="shared" si="20"/>
        <v>20700</v>
      </c>
      <c r="H54" s="26">
        <f t="shared" si="21"/>
        <v>9500</v>
      </c>
      <c r="I54" s="26">
        <f t="shared" si="21"/>
        <v>9300</v>
      </c>
    </row>
    <row r="55" spans="3:9">
      <c r="C55" s="210"/>
      <c r="D55" t="s">
        <v>70</v>
      </c>
      <c r="E55" s="26">
        <f t="shared" si="20"/>
        <v>26900</v>
      </c>
      <c r="H55" s="26">
        <f t="shared" si="21"/>
        <v>13900</v>
      </c>
      <c r="I55" s="26">
        <f t="shared" si="21"/>
        <v>10200</v>
      </c>
    </row>
    <row r="56" spans="3:9">
      <c r="C56" s="210"/>
      <c r="D56" t="s">
        <v>60</v>
      </c>
      <c r="E56" s="26">
        <f t="shared" si="20"/>
        <v>26200</v>
      </c>
      <c r="H56" s="26">
        <f t="shared" si="21"/>
        <v>34500</v>
      </c>
      <c r="I56" s="26">
        <f t="shared" si="21"/>
        <v>38700</v>
      </c>
    </row>
    <row r="57" spans="3:9">
      <c r="C57" s="210"/>
      <c r="D57" t="s">
        <v>100</v>
      </c>
      <c r="E57" s="26">
        <f t="shared" si="20"/>
        <v>2700</v>
      </c>
      <c r="H57" s="26">
        <f t="shared" si="21"/>
        <v>1600</v>
      </c>
      <c r="I57" s="26">
        <f t="shared" si="21"/>
        <v>1300</v>
      </c>
    </row>
    <row r="58" spans="3:9">
      <c r="C58" s="210"/>
      <c r="D58" t="s">
        <v>85</v>
      </c>
      <c r="E58" s="26">
        <f t="shared" si="20"/>
        <v>8900</v>
      </c>
      <c r="H58" s="26">
        <f t="shared" si="21"/>
        <v>9600</v>
      </c>
      <c r="I58" s="26">
        <f t="shared" si="21"/>
        <v>11300</v>
      </c>
    </row>
    <row r="59" spans="3:9">
      <c r="C59" s="210"/>
    </row>
    <row r="60" spans="3:9">
      <c r="C60" s="210"/>
      <c r="D60" t="s">
        <v>120</v>
      </c>
      <c r="E60" s="26">
        <f>INDEX($W$87:$AE$106,MATCH($D60,$U$87:$U$106,0),MATCH(E$23,$W$83:$AE$83,0))*1000</f>
        <v>46200</v>
      </c>
      <c r="H60" s="26">
        <f t="shared" ref="H60:I64" si="22">INDEX($W$87:$AE$106,MATCH($D60,$U$87:$U$106,0),MATCH(H$23,$W$83:$AE$83,0))*1000</f>
        <v>69500</v>
      </c>
      <c r="I60" s="26">
        <f t="shared" si="22"/>
        <v>73800</v>
      </c>
    </row>
    <row r="61" spans="3:9">
      <c r="C61" s="210"/>
      <c r="D61" t="s">
        <v>115</v>
      </c>
      <c r="E61" s="26">
        <f>INDEX($W$87:$AE$106,MATCH($D61,$U$87:$U$106,0),MATCH(E$23,$W$83:$AE$83,0))*1000</f>
        <v>4100</v>
      </c>
      <c r="H61" s="26">
        <f t="shared" si="22"/>
        <v>15000</v>
      </c>
      <c r="I61" s="26">
        <f t="shared" si="22"/>
        <v>19000</v>
      </c>
    </row>
    <row r="62" spans="3:9">
      <c r="C62" s="210"/>
      <c r="D62" t="s">
        <v>105</v>
      </c>
      <c r="E62" s="26">
        <f>INDEX($W$87:$AE$106,MATCH($D62,$U$87:$U$106,0),MATCH(E$23,$W$83:$AE$83,0))*1000</f>
        <v>40500</v>
      </c>
      <c r="H62" s="26">
        <f t="shared" si="22"/>
        <v>68300</v>
      </c>
      <c r="I62" s="26">
        <f t="shared" si="22"/>
        <v>71300</v>
      </c>
    </row>
    <row r="63" spans="3:9">
      <c r="C63" s="210"/>
      <c r="D63" t="s">
        <v>55</v>
      </c>
      <c r="E63" s="26">
        <f>INDEX($W$87:$AE$106,MATCH($D63,$U$87:$U$106,0),MATCH(E$23,$W$83:$AE$83,0))*1000</f>
        <v>7300</v>
      </c>
      <c r="H63" s="26">
        <f t="shared" si="22"/>
        <v>6200</v>
      </c>
      <c r="I63" s="26">
        <f t="shared" si="22"/>
        <v>5500</v>
      </c>
    </row>
    <row r="64" spans="3:9">
      <c r="C64" s="210"/>
      <c r="D64" t="s">
        <v>145</v>
      </c>
      <c r="E64" s="26">
        <f>INDEX($W$87:$AE$106,MATCH($D64,$U$87:$U$106,0),MATCH(E$23,$W$83:$AE$83,0))*1000</f>
        <v>5600</v>
      </c>
      <c r="H64" s="26">
        <f t="shared" si="22"/>
        <v>5100</v>
      </c>
      <c r="I64" s="26">
        <f t="shared" si="22"/>
        <v>5100</v>
      </c>
    </row>
    <row r="65" spans="3:12">
      <c r="C65" s="210"/>
      <c r="D65" t="s">
        <v>153</v>
      </c>
      <c r="E65" s="35">
        <f>INDEX($W$87:$AE$106,MATCH($D65,$U$87:$U$106,0),MATCH(E$23,$W$83:$AE$83,0))</f>
        <v>8.1510934393638157E-2</v>
      </c>
      <c r="F65" s="29">
        <v>0.16</v>
      </c>
      <c r="G65" s="29">
        <v>0.16</v>
      </c>
      <c r="H65" s="35">
        <f>INDEX($W$87:$AE$106,MATCH($D65,$U$87:$U$106,0),MATCH(H$23,$W$83:$AE$83,0))</f>
        <v>0.17751479289940827</v>
      </c>
      <c r="I65" s="35">
        <f>INDEX($W$87:$AE$106,MATCH($D65,$U$87:$U$106,0),MATCH(I$23,$W$83:$AE$83,0))</f>
        <v>0.20474137931034483</v>
      </c>
      <c r="J65" s="29">
        <f t="shared" ref="J65:L66" si="23">I65</f>
        <v>0.20474137931034483</v>
      </c>
      <c r="K65" s="29">
        <f t="shared" si="23"/>
        <v>0.20474137931034483</v>
      </c>
      <c r="L65" s="29">
        <f t="shared" si="23"/>
        <v>0.20474137931034483</v>
      </c>
    </row>
    <row r="66" spans="3:12">
      <c r="C66" s="210"/>
      <c r="D66" t="s">
        <v>154</v>
      </c>
      <c r="E66" s="35">
        <f>INDEX($W$87:$AE$106,MATCH($D66,$U$87:$U$106,0),MATCH(E$23,$W$83:$AE$83,0))</f>
        <v>0.43487394957983194</v>
      </c>
      <c r="F66" s="29">
        <f>$E66+($H$66-$E$66)/($H$23-2016)*(F$23-2016)</f>
        <v>0.42661936569499598</v>
      </c>
      <c r="G66" s="29">
        <f>$E66+($H$66-$E$66)/($H$23-2016)*(G$23-2016)</f>
        <v>0.41630113583895095</v>
      </c>
      <c r="H66" s="35">
        <f>INDEX($W$87:$AE$106,MATCH($D66,$U$87:$U$106,0),MATCH(H$23,$W$83:$AE$83,0))</f>
        <v>0.40598290598290598</v>
      </c>
      <c r="I66" s="35">
        <f>INDEX($W$87:$AE$106,MATCH($D66,$U$87:$U$106,0),MATCH(I$23,$W$83:$AE$83,0))</f>
        <v>0.47692307692307695</v>
      </c>
      <c r="J66" s="29">
        <f t="shared" si="23"/>
        <v>0.47692307692307695</v>
      </c>
      <c r="K66" s="29">
        <f t="shared" si="23"/>
        <v>0.47692307692307695</v>
      </c>
      <c r="L66" s="29">
        <f t="shared" si="23"/>
        <v>0.47692307692307695</v>
      </c>
    </row>
    <row r="67" spans="3:12">
      <c r="C67" s="210"/>
    </row>
    <row r="69" spans="3:12">
      <c r="C69" s="211" t="s">
        <v>155</v>
      </c>
      <c r="D69" t="s">
        <v>156</v>
      </c>
      <c r="E69">
        <v>1924</v>
      </c>
      <c r="F69">
        <v>1924</v>
      </c>
      <c r="G69">
        <v>1924</v>
      </c>
      <c r="H69">
        <v>1924</v>
      </c>
      <c r="I69">
        <v>1924</v>
      </c>
      <c r="J69">
        <v>1924</v>
      </c>
      <c r="K69">
        <v>1924</v>
      </c>
      <c r="L69">
        <v>1924</v>
      </c>
    </row>
    <row r="70" spans="3:12">
      <c r="C70" s="211"/>
    </row>
    <row r="71" spans="3:12">
      <c r="C71" s="211"/>
      <c r="D71" t="s">
        <v>157</v>
      </c>
      <c r="E71">
        <v>3842.2</v>
      </c>
      <c r="F71">
        <v>3842.2</v>
      </c>
      <c r="G71">
        <v>3842.2</v>
      </c>
      <c r="H71">
        <v>3842.2</v>
      </c>
      <c r="I71">
        <v>3842.2</v>
      </c>
      <c r="J71">
        <v>3842.2</v>
      </c>
      <c r="K71">
        <v>3842.2</v>
      </c>
      <c r="L71">
        <v>3842.2</v>
      </c>
    </row>
    <row r="72" spans="3:12">
      <c r="C72" s="211"/>
      <c r="D72" t="s">
        <v>158</v>
      </c>
      <c r="E72">
        <v>1543.5</v>
      </c>
      <c r="F72">
        <v>1543.5</v>
      </c>
      <c r="G72">
        <v>1543.5</v>
      </c>
      <c r="H72">
        <v>1543.5</v>
      </c>
      <c r="I72">
        <v>1543.5</v>
      </c>
      <c r="J72">
        <v>1543.5</v>
      </c>
      <c r="K72">
        <v>1543.5</v>
      </c>
      <c r="L72">
        <v>1543.5</v>
      </c>
    </row>
    <row r="73" spans="3:12">
      <c r="C73" s="211"/>
      <c r="D73" t="s">
        <v>159</v>
      </c>
      <c r="E73">
        <v>8149.2</v>
      </c>
      <c r="F73">
        <v>8149.2</v>
      </c>
      <c r="G73">
        <v>8149.2</v>
      </c>
      <c r="H73">
        <v>8149.2</v>
      </c>
      <c r="I73">
        <v>8149.2</v>
      </c>
      <c r="J73">
        <v>8149.2</v>
      </c>
      <c r="K73">
        <v>8149.2</v>
      </c>
      <c r="L73">
        <v>8149.2</v>
      </c>
    </row>
    <row r="74" spans="3:12">
      <c r="E74">
        <f>SUM(E71:E72)</f>
        <v>5385.7</v>
      </c>
    </row>
    <row r="81" spans="4:36" ht="20.25">
      <c r="D81" t="s">
        <v>160</v>
      </c>
      <c r="V81" s="37" t="s">
        <v>161</v>
      </c>
      <c r="W81" s="38"/>
      <c r="X81" s="38"/>
      <c r="Y81" s="38"/>
      <c r="Z81" s="39"/>
      <c r="AA81" s="39"/>
      <c r="AB81" s="39"/>
      <c r="AC81" s="39"/>
      <c r="AD81" s="39"/>
      <c r="AE81" s="39"/>
    </row>
    <row r="82" spans="4:36">
      <c r="V82" s="39" t="s">
        <v>162</v>
      </c>
      <c r="W82" s="40">
        <v>43110</v>
      </c>
      <c r="X82" s="39" t="s">
        <v>163</v>
      </c>
      <c r="Y82" s="39"/>
      <c r="Z82" s="39"/>
      <c r="AA82" s="39"/>
      <c r="AB82" s="39"/>
      <c r="AC82" s="39"/>
      <c r="AD82" s="39"/>
      <c r="AE82" s="39"/>
    </row>
    <row r="83" spans="4:36">
      <c r="D83" s="41" t="s">
        <v>164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2" t="s">
        <v>165</v>
      </c>
      <c r="V83" s="39"/>
      <c r="W83" s="39">
        <v>2015</v>
      </c>
      <c r="X83" s="39"/>
      <c r="Y83" s="39"/>
      <c r="Z83" s="39"/>
      <c r="AA83" s="39"/>
      <c r="AB83" s="39"/>
      <c r="AC83" s="39">
        <v>2030</v>
      </c>
      <c r="AD83" s="39"/>
      <c r="AE83" s="39">
        <v>2035</v>
      </c>
    </row>
    <row r="84" spans="4:36" ht="23.25">
      <c r="D84" s="21"/>
      <c r="E84" s="21">
        <v>2000</v>
      </c>
      <c r="F84" s="21">
        <v>2005</v>
      </c>
      <c r="G84" s="21">
        <v>2010</v>
      </c>
      <c r="H84" s="21">
        <v>2015</v>
      </c>
      <c r="I84" s="21">
        <v>2020</v>
      </c>
      <c r="J84" s="21">
        <v>2025</v>
      </c>
      <c r="K84" s="21">
        <v>2030</v>
      </c>
      <c r="L84" s="21">
        <v>2035</v>
      </c>
      <c r="M84" s="21">
        <v>2040</v>
      </c>
      <c r="N84" s="21">
        <v>2045</v>
      </c>
      <c r="O84" s="21">
        <v>2050</v>
      </c>
      <c r="P84" s="22" t="s">
        <v>44</v>
      </c>
      <c r="Q84" s="22" t="s">
        <v>45</v>
      </c>
      <c r="R84" s="22" t="s">
        <v>46</v>
      </c>
      <c r="S84" s="22" t="s">
        <v>47</v>
      </c>
      <c r="V84" s="43"/>
      <c r="W84" s="44"/>
      <c r="X84" s="201" t="s">
        <v>166</v>
      </c>
      <c r="Y84" s="201"/>
      <c r="Z84" s="201"/>
      <c r="AA84" s="201"/>
      <c r="AB84" s="202" t="s">
        <v>167</v>
      </c>
      <c r="AC84" s="202"/>
      <c r="AD84" s="202"/>
      <c r="AE84" s="202"/>
    </row>
    <row r="85" spans="4:36" ht="15">
      <c r="D85" s="45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207" t="s">
        <v>168</v>
      </c>
      <c r="Q85" s="207"/>
      <c r="R85" s="207"/>
      <c r="S85" s="207"/>
      <c r="V85" s="208" t="s">
        <v>169</v>
      </c>
      <c r="W85" s="209" t="s">
        <v>170</v>
      </c>
      <c r="X85" s="47" t="s">
        <v>171</v>
      </c>
      <c r="Y85" s="47" t="s">
        <v>171</v>
      </c>
      <c r="Z85" s="47" t="s">
        <v>171</v>
      </c>
      <c r="AA85" s="47" t="s">
        <v>171</v>
      </c>
      <c r="AB85" s="48" t="s">
        <v>171</v>
      </c>
      <c r="AC85" s="48" t="s">
        <v>171</v>
      </c>
      <c r="AD85" s="48" t="s">
        <v>171</v>
      </c>
      <c r="AE85" s="48" t="s">
        <v>171</v>
      </c>
    </row>
    <row r="86" spans="4:36" ht="15">
      <c r="D86" s="49" t="s">
        <v>172</v>
      </c>
      <c r="E86" s="50">
        <v>82.163475000000005</v>
      </c>
      <c r="F86" s="50">
        <v>82.500849000000002</v>
      </c>
      <c r="G86" s="50">
        <v>81.802256999999997</v>
      </c>
      <c r="H86" s="50">
        <v>80.713387999999995</v>
      </c>
      <c r="I86" s="50">
        <v>80.617265500000002</v>
      </c>
      <c r="J86" s="50">
        <v>80.278253000000007</v>
      </c>
      <c r="K86" s="50">
        <v>79.686222999999998</v>
      </c>
      <c r="L86" s="50">
        <v>78.845603499999996</v>
      </c>
      <c r="M86" s="50">
        <v>77.678316499999994</v>
      </c>
      <c r="N86" s="50">
        <v>76.232709999999997</v>
      </c>
      <c r="O86" s="50">
        <v>74.538826</v>
      </c>
      <c r="P86" s="25">
        <v>-4.40505482128817E-2</v>
      </c>
      <c r="Q86" s="25">
        <v>-0.145813550427043</v>
      </c>
      <c r="R86" s="25">
        <v>-0.116093844943532</v>
      </c>
      <c r="S86" s="25">
        <v>-0.333326061761963</v>
      </c>
      <c r="V86" s="208"/>
      <c r="W86" s="209"/>
      <c r="X86" s="51" t="s">
        <v>173</v>
      </c>
      <c r="Y86" s="51" t="s">
        <v>174</v>
      </c>
      <c r="Z86" s="51" t="s">
        <v>175</v>
      </c>
      <c r="AA86" s="51" t="s">
        <v>176</v>
      </c>
      <c r="AB86" s="52" t="s">
        <v>173</v>
      </c>
      <c r="AC86" s="52" t="s">
        <v>174</v>
      </c>
      <c r="AD86" s="52" t="s">
        <v>175</v>
      </c>
      <c r="AE86" s="52" t="s">
        <v>176</v>
      </c>
    </row>
    <row r="87" spans="4:36" ht="31.5">
      <c r="D87" s="49" t="s">
        <v>177</v>
      </c>
      <c r="E87" s="50">
        <v>2370.1931135271402</v>
      </c>
      <c r="F87" s="50">
        <v>2441.73595505618</v>
      </c>
      <c r="G87" s="50">
        <v>2607.7739999999999</v>
      </c>
      <c r="H87" s="50">
        <v>2789.7349919199901</v>
      </c>
      <c r="I87" s="50">
        <v>2973.4346681509301</v>
      </c>
      <c r="J87" s="50">
        <v>3126.2870123883799</v>
      </c>
      <c r="K87" s="50">
        <v>3251.16751798415</v>
      </c>
      <c r="L87" s="50">
        <v>3371.3965943309599</v>
      </c>
      <c r="M87" s="50">
        <v>3531.3186494320298</v>
      </c>
      <c r="N87" s="50">
        <v>3720.1072224855402</v>
      </c>
      <c r="O87" s="50">
        <v>3901.3917448321599</v>
      </c>
      <c r="P87" s="25">
        <v>0.95983262351451204</v>
      </c>
      <c r="Q87" s="25">
        <v>1.32085477193402</v>
      </c>
      <c r="R87" s="25">
        <v>0.89696311573126397</v>
      </c>
      <c r="S87" s="25">
        <v>0.91576358487446297</v>
      </c>
      <c r="U87" t="s">
        <v>95</v>
      </c>
      <c r="V87" s="53" t="s">
        <v>178</v>
      </c>
      <c r="W87" s="54">
        <v>10.8</v>
      </c>
      <c r="X87" s="55">
        <v>0</v>
      </c>
      <c r="Y87" s="55">
        <v>0</v>
      </c>
      <c r="Z87" s="55">
        <v>0</v>
      </c>
      <c r="AA87" s="55">
        <v>0</v>
      </c>
      <c r="AB87" s="56">
        <v>0</v>
      </c>
      <c r="AC87" s="56">
        <v>0</v>
      </c>
      <c r="AD87" s="56">
        <v>0</v>
      </c>
      <c r="AE87" s="56">
        <v>0</v>
      </c>
    </row>
    <row r="88" spans="4:36" ht="15.75">
      <c r="D88" s="57" t="s">
        <v>179</v>
      </c>
      <c r="E88" s="58">
        <v>342336.8</v>
      </c>
      <c r="F88" s="59">
        <v>341915.8</v>
      </c>
      <c r="G88" s="59">
        <v>332974.2</v>
      </c>
      <c r="H88" s="59">
        <v>322609.22935097502</v>
      </c>
      <c r="I88" s="59">
        <v>308312.95873113303</v>
      </c>
      <c r="J88" s="59">
        <v>294937.17352178402</v>
      </c>
      <c r="K88" s="59">
        <v>278438.72923399502</v>
      </c>
      <c r="L88" s="59">
        <v>264663.01275578502</v>
      </c>
      <c r="M88" s="59">
        <v>260722.18472590501</v>
      </c>
      <c r="N88" s="59">
        <v>254714.87582831399</v>
      </c>
      <c r="O88" s="59">
        <v>255815.44645794699</v>
      </c>
      <c r="P88" s="25">
        <v>-0.276916260528071</v>
      </c>
      <c r="Q88" s="25">
        <v>-0.76654338194174199</v>
      </c>
      <c r="R88" s="25">
        <v>-1.0139973720101101</v>
      </c>
      <c r="S88" s="25">
        <v>-0.422812421664576</v>
      </c>
      <c r="U88" t="s">
        <v>91</v>
      </c>
      <c r="V88" s="53" t="s">
        <v>180</v>
      </c>
      <c r="W88" s="54">
        <v>20.7</v>
      </c>
      <c r="X88" s="60">
        <v>11.5</v>
      </c>
      <c r="Y88" s="60">
        <v>9.5</v>
      </c>
      <c r="Z88" s="60">
        <v>9.3000000000000007</v>
      </c>
      <c r="AA88" s="60">
        <v>9.3000000000000007</v>
      </c>
      <c r="AB88" s="61">
        <v>11.5</v>
      </c>
      <c r="AC88" s="61">
        <v>9.5</v>
      </c>
      <c r="AD88" s="61">
        <v>9.3000000000000007</v>
      </c>
      <c r="AE88" s="61">
        <v>9.3000000000000007</v>
      </c>
    </row>
    <row r="89" spans="4:36" ht="15.75">
      <c r="D89" s="23" t="s">
        <v>181</v>
      </c>
      <c r="E89" s="24">
        <v>84801.600000000006</v>
      </c>
      <c r="F89" s="24">
        <v>81951.7</v>
      </c>
      <c r="G89" s="24">
        <v>78823.5</v>
      </c>
      <c r="H89" s="24">
        <v>78035.548444100001</v>
      </c>
      <c r="I89" s="24">
        <v>77911.534898685597</v>
      </c>
      <c r="J89" s="24">
        <v>75943.558691647602</v>
      </c>
      <c r="K89" s="24">
        <v>65562.792047215</v>
      </c>
      <c r="L89" s="24">
        <v>51296.819593806002</v>
      </c>
      <c r="M89" s="24">
        <v>43788.754346937902</v>
      </c>
      <c r="N89" s="24">
        <v>32781.561614987797</v>
      </c>
      <c r="O89" s="24">
        <v>37209.276210619799</v>
      </c>
      <c r="P89" s="25">
        <v>-0.72836680571226597</v>
      </c>
      <c r="Q89" s="25">
        <v>-0.116303921358996</v>
      </c>
      <c r="R89" s="25">
        <v>-1.7108525671145001</v>
      </c>
      <c r="S89" s="25">
        <v>-2.79251900331586</v>
      </c>
      <c r="U89" t="s">
        <v>70</v>
      </c>
      <c r="V89" s="53" t="s">
        <v>182</v>
      </c>
      <c r="W89" s="54">
        <v>26.9</v>
      </c>
      <c r="X89" s="60">
        <v>21.7</v>
      </c>
      <c r="Y89" s="60">
        <v>14.8</v>
      </c>
      <c r="Z89" s="60">
        <v>10.8</v>
      </c>
      <c r="AA89" s="60">
        <v>10.8</v>
      </c>
      <c r="AB89" s="62">
        <v>19.2</v>
      </c>
      <c r="AC89" s="62">
        <v>13.9</v>
      </c>
      <c r="AD89" s="62">
        <v>10.199999999999999</v>
      </c>
      <c r="AE89" s="62">
        <v>10.199999999999999</v>
      </c>
      <c r="AG89" s="29"/>
      <c r="AH89" s="29"/>
      <c r="AI89" s="29"/>
      <c r="AJ89" s="29"/>
    </row>
    <row r="90" spans="4:36">
      <c r="D90" s="23" t="s">
        <v>183</v>
      </c>
      <c r="E90" s="24">
        <v>130979.7</v>
      </c>
      <c r="F90" s="24">
        <v>121459.6</v>
      </c>
      <c r="G90" s="24">
        <v>111798</v>
      </c>
      <c r="H90" s="24">
        <v>111688.02794793301</v>
      </c>
      <c r="I90" s="24">
        <v>102566.249882472</v>
      </c>
      <c r="J90" s="24">
        <v>98508.010570945597</v>
      </c>
      <c r="K90" s="24">
        <v>92355.264810793393</v>
      </c>
      <c r="L90" s="24">
        <v>88735.338344829797</v>
      </c>
      <c r="M90" s="24">
        <v>85553.292711253205</v>
      </c>
      <c r="N90" s="24">
        <v>83856.487069213006</v>
      </c>
      <c r="O90" s="24">
        <v>80456.999999214706</v>
      </c>
      <c r="P90" s="25">
        <v>-1.57101554055965</v>
      </c>
      <c r="Q90" s="25">
        <v>-0.85814415528657795</v>
      </c>
      <c r="R90" s="25">
        <v>-1.04318286586836</v>
      </c>
      <c r="S90" s="25">
        <v>-0.687226891784531</v>
      </c>
      <c r="U90" t="s">
        <v>154</v>
      </c>
      <c r="W90" s="29">
        <f t="shared" ref="W90:AE90" si="24">W88/SUM(W88:W89)</f>
        <v>0.43487394957983194</v>
      </c>
      <c r="X90" s="29">
        <f t="shared" si="24"/>
        <v>0.34638554216867468</v>
      </c>
      <c r="Y90" s="29">
        <f t="shared" si="24"/>
        <v>0.39094650205761317</v>
      </c>
      <c r="Z90" s="29">
        <f t="shared" si="24"/>
        <v>0.46268656716417911</v>
      </c>
      <c r="AA90" s="29">
        <f t="shared" si="24"/>
        <v>0.46268656716417911</v>
      </c>
      <c r="AB90" s="29">
        <f t="shared" si="24"/>
        <v>0.3745928338762215</v>
      </c>
      <c r="AC90" s="29">
        <f t="shared" si="24"/>
        <v>0.40598290598290598</v>
      </c>
      <c r="AD90" s="29">
        <f t="shared" si="24"/>
        <v>0.47692307692307695</v>
      </c>
      <c r="AE90" s="29">
        <f t="shared" si="24"/>
        <v>0.47692307692307695</v>
      </c>
      <c r="AG90" s="29"/>
      <c r="AH90" s="29"/>
      <c r="AI90" s="29"/>
      <c r="AJ90" s="29"/>
    </row>
    <row r="91" spans="4:36" ht="15.75">
      <c r="D91" s="23" t="s">
        <v>184</v>
      </c>
      <c r="E91" s="24">
        <v>71877.600000000006</v>
      </c>
      <c r="F91" s="24">
        <v>77782.100000000006</v>
      </c>
      <c r="G91" s="24">
        <v>75905</v>
      </c>
      <c r="H91" s="24">
        <v>74010.622052933293</v>
      </c>
      <c r="I91" s="24">
        <v>68952.512127045993</v>
      </c>
      <c r="J91" s="24">
        <v>69747.605335298605</v>
      </c>
      <c r="K91" s="24">
        <v>67744.784601281906</v>
      </c>
      <c r="L91" s="24">
        <v>71256.746577915997</v>
      </c>
      <c r="M91" s="24">
        <v>71496.227103237194</v>
      </c>
      <c r="N91" s="24">
        <v>71129.806416312902</v>
      </c>
      <c r="O91" s="24">
        <v>67919.183182427296</v>
      </c>
      <c r="P91" s="25">
        <v>0.54666766435031999</v>
      </c>
      <c r="Q91" s="25">
        <v>-0.95604575155168203</v>
      </c>
      <c r="R91" s="25">
        <v>-0.17654957629497101</v>
      </c>
      <c r="S91" s="25">
        <v>1.2856021402596301E-2</v>
      </c>
      <c r="V91" s="53" t="s">
        <v>185</v>
      </c>
      <c r="W91" s="54">
        <v>24.2</v>
      </c>
      <c r="X91" s="60">
        <v>28.4</v>
      </c>
      <c r="Y91" s="60">
        <v>35.700000000000003</v>
      </c>
      <c r="Z91" s="60">
        <v>35.700000000000003</v>
      </c>
      <c r="AA91" s="60">
        <v>39.4</v>
      </c>
      <c r="AB91" s="62">
        <v>30.4</v>
      </c>
      <c r="AC91" s="62">
        <v>32.4</v>
      </c>
      <c r="AD91" s="62">
        <v>32.4</v>
      </c>
      <c r="AE91" s="62">
        <v>36.6</v>
      </c>
      <c r="AG91" s="29"/>
      <c r="AH91" s="29"/>
      <c r="AI91" s="29"/>
      <c r="AJ91" s="29"/>
    </row>
    <row r="92" spans="4:36" ht="15.75">
      <c r="D92" s="23" t="s">
        <v>186</v>
      </c>
      <c r="E92" s="24">
        <v>43750.5</v>
      </c>
      <c r="F92" s="24">
        <v>42060.6</v>
      </c>
      <c r="G92" s="24">
        <v>36256.9</v>
      </c>
      <c r="H92" s="24">
        <v>23824.94435202</v>
      </c>
      <c r="I92" s="24">
        <v>8473.5826492916804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5">
        <v>-1.8611951419510699</v>
      </c>
      <c r="Q92" s="25">
        <v>-13.529565725804501</v>
      </c>
      <c r="R92" s="25">
        <v>-100</v>
      </c>
      <c r="S92" s="25">
        <v>0</v>
      </c>
      <c r="V92" s="53" t="s">
        <v>187</v>
      </c>
      <c r="W92" s="54">
        <v>2</v>
      </c>
      <c r="X92" s="60">
        <v>2.1</v>
      </c>
      <c r="Y92" s="60">
        <v>2.1</v>
      </c>
      <c r="Z92" s="60">
        <v>2.1</v>
      </c>
      <c r="AA92" s="60">
        <v>2.1</v>
      </c>
      <c r="AB92" s="62">
        <v>2.1</v>
      </c>
      <c r="AC92" s="62">
        <v>2.1</v>
      </c>
      <c r="AD92" s="62">
        <v>2.1</v>
      </c>
      <c r="AE92" s="62">
        <v>2.1</v>
      </c>
      <c r="AG92" s="29"/>
      <c r="AH92" s="29"/>
      <c r="AI92" s="29"/>
      <c r="AJ92" s="29"/>
    </row>
    <row r="93" spans="4:36" ht="15.75">
      <c r="D93" s="23" t="s">
        <v>48</v>
      </c>
      <c r="E93" s="24">
        <v>262.80000000000098</v>
      </c>
      <c r="F93" s="24">
        <v>-392.6</v>
      </c>
      <c r="G93" s="24">
        <v>-1285.9000000000001</v>
      </c>
      <c r="H93" s="24">
        <v>-4144.6746093854499</v>
      </c>
      <c r="I93" s="24">
        <v>166.976964039801</v>
      </c>
      <c r="J93" s="24">
        <v>1000.52047651893</v>
      </c>
      <c r="K93" s="24">
        <v>1361.3708429993601</v>
      </c>
      <c r="L93" s="24">
        <v>1335.59130261255</v>
      </c>
      <c r="M93" s="24">
        <v>1331.2534402152701</v>
      </c>
      <c r="N93" s="24">
        <v>1273.5908327945399</v>
      </c>
      <c r="O93" s="24">
        <v>1287.4221096752899</v>
      </c>
      <c r="P93" s="25">
        <v>0</v>
      </c>
      <c r="Q93" s="25">
        <v>0</v>
      </c>
      <c r="R93" s="25">
        <v>23.347964877064101</v>
      </c>
      <c r="S93" s="25">
        <v>-0.27886200799962502</v>
      </c>
      <c r="U93" t="s">
        <v>60</v>
      </c>
      <c r="V93" s="53"/>
      <c r="W93" s="54">
        <f t="shared" ref="W93:AE93" si="25">SUM(W91:W92)</f>
        <v>26.2</v>
      </c>
      <c r="X93" s="54">
        <f t="shared" si="25"/>
        <v>30.5</v>
      </c>
      <c r="Y93" s="54">
        <f t="shared" si="25"/>
        <v>37.800000000000004</v>
      </c>
      <c r="Z93" s="54">
        <f t="shared" si="25"/>
        <v>37.800000000000004</v>
      </c>
      <c r="AA93" s="54">
        <f t="shared" si="25"/>
        <v>41.5</v>
      </c>
      <c r="AB93" s="54">
        <f t="shared" si="25"/>
        <v>32.5</v>
      </c>
      <c r="AC93" s="54">
        <f t="shared" si="25"/>
        <v>34.5</v>
      </c>
      <c r="AD93" s="54">
        <f t="shared" si="25"/>
        <v>34.5</v>
      </c>
      <c r="AE93" s="54">
        <f t="shared" si="25"/>
        <v>38.700000000000003</v>
      </c>
      <c r="AG93" s="29"/>
      <c r="AH93" s="29"/>
      <c r="AI93" s="29"/>
      <c r="AJ93" s="29"/>
    </row>
    <row r="94" spans="4:36" ht="15.75">
      <c r="D94" s="63" t="s">
        <v>188</v>
      </c>
      <c r="E94" s="64">
        <v>10664.6</v>
      </c>
      <c r="F94" s="64">
        <v>19054.400000000001</v>
      </c>
      <c r="G94" s="64">
        <v>31476.7</v>
      </c>
      <c r="H94" s="64">
        <v>39194.7611633739</v>
      </c>
      <c r="I94" s="64">
        <v>50242.102209598197</v>
      </c>
      <c r="J94" s="64">
        <v>49737.478447373003</v>
      </c>
      <c r="K94" s="64">
        <v>51414.516931705097</v>
      </c>
      <c r="L94" s="64">
        <v>52038.516936620901</v>
      </c>
      <c r="M94" s="64">
        <v>58552.657124261503</v>
      </c>
      <c r="N94" s="64">
        <v>65673.429895005494</v>
      </c>
      <c r="O94" s="64">
        <v>68942.564956009403</v>
      </c>
      <c r="P94" s="25">
        <v>11.4305983085378</v>
      </c>
      <c r="Q94" s="25">
        <v>4.7871095130198604</v>
      </c>
      <c r="R94" s="25">
        <v>0.23093823785391701</v>
      </c>
      <c r="S94" s="25">
        <v>1.4775758138374699</v>
      </c>
      <c r="U94" t="s">
        <v>100</v>
      </c>
      <c r="V94" s="53" t="s">
        <v>189</v>
      </c>
      <c r="W94" s="54">
        <v>2.7</v>
      </c>
      <c r="X94" s="60">
        <v>1.2</v>
      </c>
      <c r="Y94" s="60">
        <v>1.2</v>
      </c>
      <c r="Z94" s="60">
        <v>0.9</v>
      </c>
      <c r="AA94" s="60">
        <v>0.9</v>
      </c>
      <c r="AB94" s="62">
        <v>1.6</v>
      </c>
      <c r="AC94" s="62">
        <v>1.6</v>
      </c>
      <c r="AD94" s="62">
        <v>1.3</v>
      </c>
      <c r="AE94" s="62">
        <v>1.3</v>
      </c>
      <c r="AG94" s="29"/>
      <c r="AH94" s="29"/>
      <c r="AI94" s="29"/>
      <c r="AJ94" s="29"/>
    </row>
    <row r="95" spans="4:36" ht="31.5">
      <c r="D95" s="57" t="s">
        <v>190</v>
      </c>
      <c r="E95" s="50">
        <v>14566.3</v>
      </c>
      <c r="F95" s="50">
        <v>14384.2</v>
      </c>
      <c r="G95" s="50">
        <v>13378</v>
      </c>
      <c r="H95" s="50">
        <v>13631.1479431236</v>
      </c>
      <c r="I95" s="50">
        <v>12230.013008973399</v>
      </c>
      <c r="J95" s="50">
        <v>11774.543194825699</v>
      </c>
      <c r="K95" s="50">
        <v>10780.037575402401</v>
      </c>
      <c r="L95" s="50">
        <v>10206.750898447999</v>
      </c>
      <c r="M95" s="50">
        <v>9910.2301080936795</v>
      </c>
      <c r="N95" s="50">
        <v>9356.6111918087008</v>
      </c>
      <c r="O95" s="50">
        <v>10560.7174223001</v>
      </c>
      <c r="P95" s="25">
        <v>-0.847380071125858</v>
      </c>
      <c r="Q95" s="25">
        <v>-0.893172833058409</v>
      </c>
      <c r="R95" s="25">
        <v>-1.2540401767252001</v>
      </c>
      <c r="S95" s="25">
        <v>-0.10272139264691001</v>
      </c>
      <c r="U95" t="s">
        <v>85</v>
      </c>
      <c r="V95" s="53" t="s">
        <v>191</v>
      </c>
      <c r="W95" s="54">
        <v>8.9</v>
      </c>
      <c r="X95" s="65">
        <v>11.9</v>
      </c>
      <c r="Y95" s="65">
        <v>11.9</v>
      </c>
      <c r="Z95" s="65">
        <v>11.9</v>
      </c>
      <c r="AA95" s="65">
        <v>13</v>
      </c>
      <c r="AB95" s="66">
        <v>9.3000000000000007</v>
      </c>
      <c r="AC95" s="66">
        <v>9.6</v>
      </c>
      <c r="AD95" s="66">
        <v>11</v>
      </c>
      <c r="AE95" s="66">
        <v>11.3</v>
      </c>
      <c r="AG95" s="29"/>
      <c r="AH95" s="29"/>
      <c r="AI95" s="29"/>
      <c r="AJ95" s="29"/>
    </row>
    <row r="96" spans="4:36" ht="63">
      <c r="D96" s="57" t="s">
        <v>192</v>
      </c>
      <c r="E96" s="50">
        <v>25063.8</v>
      </c>
      <c r="F96" s="50">
        <v>24661.5</v>
      </c>
      <c r="G96" s="50">
        <v>22581.7</v>
      </c>
      <c r="H96" s="50">
        <v>24684.798033365001</v>
      </c>
      <c r="I96" s="50">
        <v>25861.1012253849</v>
      </c>
      <c r="J96" s="50">
        <v>26549.342462926001</v>
      </c>
      <c r="K96" s="50">
        <v>26751.3263774189</v>
      </c>
      <c r="L96" s="50">
        <v>26850.467161397501</v>
      </c>
      <c r="M96" s="50">
        <v>26966.723638857398</v>
      </c>
      <c r="N96" s="50">
        <v>27127.072394895698</v>
      </c>
      <c r="O96" s="50">
        <v>26240.5524043158</v>
      </c>
      <c r="P96" s="25">
        <v>-1.03742850340244</v>
      </c>
      <c r="Q96" s="25">
        <v>1.36523652014759</v>
      </c>
      <c r="R96" s="25">
        <v>0.33901435575498501</v>
      </c>
      <c r="S96" s="25">
        <v>-9.6343761903494599E-2</v>
      </c>
      <c r="V96" s="53" t="s">
        <v>193</v>
      </c>
      <c r="W96" s="54">
        <v>3</v>
      </c>
      <c r="X96" s="65">
        <v>1.8</v>
      </c>
      <c r="Y96" s="65">
        <v>1.8</v>
      </c>
      <c r="Z96" s="65">
        <v>1.8</v>
      </c>
      <c r="AA96" s="65">
        <v>1.8</v>
      </c>
      <c r="AB96" s="66">
        <v>2.7</v>
      </c>
      <c r="AC96" s="66">
        <v>2.6</v>
      </c>
      <c r="AD96" s="66">
        <v>2.6</v>
      </c>
      <c r="AE96" s="66">
        <v>2.6</v>
      </c>
    </row>
    <row r="97" spans="4:36" ht="31.5"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25"/>
      <c r="Q97" s="25"/>
      <c r="R97" s="25"/>
      <c r="S97" s="25"/>
      <c r="V97" s="53" t="s">
        <v>194</v>
      </c>
      <c r="W97" s="54">
        <v>0.1</v>
      </c>
      <c r="X97" s="60" t="s">
        <v>195</v>
      </c>
      <c r="Y97" s="60" t="s">
        <v>195</v>
      </c>
      <c r="Z97" s="60" t="s">
        <v>195</v>
      </c>
      <c r="AA97" s="60" t="s">
        <v>195</v>
      </c>
      <c r="AB97" s="66">
        <v>0.1</v>
      </c>
      <c r="AC97" s="66">
        <v>0.1</v>
      </c>
      <c r="AD97" s="66">
        <v>0.1</v>
      </c>
      <c r="AE97" s="66">
        <v>0.1</v>
      </c>
    </row>
    <row r="98" spans="4:36" ht="31.5">
      <c r="D98" s="68" t="s">
        <v>196</v>
      </c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25"/>
      <c r="Q98" s="25"/>
      <c r="R98" s="25"/>
      <c r="S98" s="25"/>
      <c r="V98" s="53" t="s">
        <v>197</v>
      </c>
      <c r="W98" s="54">
        <v>0</v>
      </c>
      <c r="X98" s="65">
        <v>2</v>
      </c>
      <c r="Y98" s="65">
        <v>2</v>
      </c>
      <c r="Z98" s="65">
        <v>2</v>
      </c>
      <c r="AA98" s="65">
        <v>2</v>
      </c>
      <c r="AB98" s="66">
        <v>2</v>
      </c>
      <c r="AC98" s="66">
        <v>2</v>
      </c>
      <c r="AD98" s="66">
        <v>2</v>
      </c>
      <c r="AE98" s="66">
        <v>2</v>
      </c>
    </row>
    <row r="99" spans="4:36" ht="15.75">
      <c r="D99" s="49" t="s">
        <v>198</v>
      </c>
      <c r="E99" s="69">
        <v>135549</v>
      </c>
      <c r="F99" s="69">
        <v>137355.70000000001</v>
      </c>
      <c r="G99" s="69">
        <v>129648.1</v>
      </c>
      <c r="H99" s="69">
        <v>120921.23677894899</v>
      </c>
      <c r="I99" s="69">
        <v>109452.10052550401</v>
      </c>
      <c r="J99" s="69">
        <v>96326.7820046056</v>
      </c>
      <c r="K99" s="69">
        <v>88300.867460354799</v>
      </c>
      <c r="L99" s="69">
        <v>82976.949915346195</v>
      </c>
      <c r="M99" s="69">
        <v>87394.435772734694</v>
      </c>
      <c r="N99" s="69">
        <v>88147.616762206802</v>
      </c>
      <c r="O99" s="69">
        <v>99233.883358802093</v>
      </c>
      <c r="P99" s="25">
        <v>-0.44410434252100101</v>
      </c>
      <c r="Q99" s="25">
        <v>-1.67911152047118</v>
      </c>
      <c r="R99" s="25">
        <v>-2.1244789814415999</v>
      </c>
      <c r="S99" s="25">
        <v>0.58535449567831399</v>
      </c>
      <c r="V99" s="70"/>
      <c r="W99" s="71"/>
      <c r="X99" s="71"/>
      <c r="Y99" s="71"/>
      <c r="Z99" s="71"/>
      <c r="AA99" s="71"/>
      <c r="AB99" s="71"/>
      <c r="AC99" s="71"/>
      <c r="AD99" s="72"/>
      <c r="AE99" s="71"/>
    </row>
    <row r="100" spans="4:36" ht="31.5">
      <c r="D100" s="23" t="s">
        <v>181</v>
      </c>
      <c r="E100" s="73">
        <v>60628.6</v>
      </c>
      <c r="F100" s="73">
        <v>56483.9</v>
      </c>
      <c r="G100" s="73">
        <v>45905.9</v>
      </c>
      <c r="H100" s="73">
        <v>42340.162598232397</v>
      </c>
      <c r="I100" s="73">
        <v>37233.480368235199</v>
      </c>
      <c r="J100" s="73">
        <v>35592.930537149201</v>
      </c>
      <c r="K100" s="73">
        <v>28667.5868702896</v>
      </c>
      <c r="L100" s="73">
        <v>25008.735630352701</v>
      </c>
      <c r="M100" s="73">
        <v>24917.001858303502</v>
      </c>
      <c r="N100" s="73">
        <v>19008.205427636301</v>
      </c>
      <c r="O100" s="73">
        <v>28080.818491376998</v>
      </c>
      <c r="P100" s="25">
        <v>-2.7433969378038801</v>
      </c>
      <c r="Q100" s="25">
        <v>-2.0720839296488398</v>
      </c>
      <c r="R100" s="25">
        <v>-2.58053272148195</v>
      </c>
      <c r="S100" s="25">
        <v>-0.103348458209562</v>
      </c>
      <c r="U100" t="s">
        <v>120</v>
      </c>
      <c r="V100" s="53" t="s">
        <v>199</v>
      </c>
      <c r="W100" s="54">
        <v>46.2</v>
      </c>
      <c r="X100" s="65">
        <v>54.2</v>
      </c>
      <c r="Y100" s="65">
        <v>58.5</v>
      </c>
      <c r="Z100" s="65">
        <v>62.1</v>
      </c>
      <c r="AA100" s="65">
        <v>61.6</v>
      </c>
      <c r="AB100" s="66">
        <v>60.2</v>
      </c>
      <c r="AC100" s="66">
        <v>69.5</v>
      </c>
      <c r="AD100" s="66">
        <v>70.400000000000006</v>
      </c>
      <c r="AE100" s="66">
        <v>73.8</v>
      </c>
      <c r="AG100" s="29">
        <f t="shared" ref="AG100:AJ105" si="26">X100/AB100</f>
        <v>0.90033222591362128</v>
      </c>
      <c r="AH100" s="29">
        <f t="shared" si="26"/>
        <v>0.84172661870503596</v>
      </c>
      <c r="AI100" s="29">
        <f t="shared" si="26"/>
        <v>0.88210227272727271</v>
      </c>
      <c r="AJ100" s="29">
        <f t="shared" si="26"/>
        <v>0.83468834688346893</v>
      </c>
    </row>
    <row r="101" spans="4:36" ht="31.5">
      <c r="D101" s="23" t="s">
        <v>183</v>
      </c>
      <c r="E101" s="73">
        <v>4680.4000000000096</v>
      </c>
      <c r="F101" s="73">
        <v>5781.99999999998</v>
      </c>
      <c r="G101" s="73">
        <v>4753.9000000000096</v>
      </c>
      <c r="H101" s="73">
        <v>4963.9374347153898</v>
      </c>
      <c r="I101" s="73">
        <v>3809.1273806509498</v>
      </c>
      <c r="J101" s="73">
        <v>2935.72532393765</v>
      </c>
      <c r="K101" s="73">
        <v>2257.4456659823099</v>
      </c>
      <c r="L101" s="73">
        <v>1739.8752608914599</v>
      </c>
      <c r="M101" s="73">
        <v>1341.6377244636999</v>
      </c>
      <c r="N101" s="73">
        <v>1036.19617752767</v>
      </c>
      <c r="O101" s="73">
        <v>0</v>
      </c>
      <c r="P101" s="25">
        <v>0.15593903302020301</v>
      </c>
      <c r="Q101" s="25">
        <v>-2.19128676019157</v>
      </c>
      <c r="R101" s="25">
        <v>-5.0971661244932003</v>
      </c>
      <c r="S101" s="25">
        <v>-100</v>
      </c>
      <c r="U101" t="s">
        <v>115</v>
      </c>
      <c r="V101" s="53" t="s">
        <v>200</v>
      </c>
      <c r="W101" s="54">
        <v>4.0999999999999996</v>
      </c>
      <c r="X101" s="65">
        <v>14.3</v>
      </c>
      <c r="Y101" s="65">
        <v>15</v>
      </c>
      <c r="Z101" s="65">
        <v>15</v>
      </c>
      <c r="AA101" s="65">
        <v>19</v>
      </c>
      <c r="AB101" s="66">
        <v>14.3</v>
      </c>
      <c r="AC101" s="66">
        <v>15</v>
      </c>
      <c r="AD101" s="66">
        <v>17.3</v>
      </c>
      <c r="AE101" s="66">
        <v>19</v>
      </c>
      <c r="AG101" s="29">
        <f t="shared" si="26"/>
        <v>1</v>
      </c>
      <c r="AH101" s="29">
        <f t="shared" si="26"/>
        <v>1</v>
      </c>
      <c r="AI101" s="29">
        <f t="shared" si="26"/>
        <v>0.86705202312138729</v>
      </c>
      <c r="AJ101" s="29">
        <f t="shared" si="26"/>
        <v>1</v>
      </c>
    </row>
    <row r="102" spans="4:36" ht="31.5">
      <c r="D102" s="23" t="s">
        <v>184</v>
      </c>
      <c r="E102" s="73">
        <v>15824.9</v>
      </c>
      <c r="F102" s="73">
        <v>14333.8</v>
      </c>
      <c r="G102" s="73">
        <v>11113.3</v>
      </c>
      <c r="H102" s="73">
        <v>10748.6455423141</v>
      </c>
      <c r="I102" s="73">
        <v>9894.9010282211493</v>
      </c>
      <c r="J102" s="73">
        <v>8268.5739746239906</v>
      </c>
      <c r="K102" s="73">
        <v>6209.8913859389804</v>
      </c>
      <c r="L102" s="73">
        <v>4398.7840285306202</v>
      </c>
      <c r="M102" s="73">
        <v>2758.1203596507098</v>
      </c>
      <c r="N102" s="73">
        <v>2556.5840954947898</v>
      </c>
      <c r="O102" s="73">
        <v>2359.89266946934</v>
      </c>
      <c r="P102" s="25">
        <v>-3.4726893691251601</v>
      </c>
      <c r="Q102" s="25">
        <v>-1.15451386964995</v>
      </c>
      <c r="R102" s="25">
        <v>-4.55190719636194</v>
      </c>
      <c r="S102" s="25">
        <v>-4.7224870033542601</v>
      </c>
      <c r="U102" t="s">
        <v>105</v>
      </c>
      <c r="V102" s="53" t="s">
        <v>201</v>
      </c>
      <c r="W102" s="54">
        <v>40.5</v>
      </c>
      <c r="X102" s="65">
        <v>58.7</v>
      </c>
      <c r="Y102" s="65">
        <v>66.3</v>
      </c>
      <c r="Z102" s="65">
        <v>76.8</v>
      </c>
      <c r="AA102" s="65">
        <v>75.3</v>
      </c>
      <c r="AB102" s="66">
        <v>57.3</v>
      </c>
      <c r="AC102" s="66">
        <v>68.3</v>
      </c>
      <c r="AD102" s="66">
        <v>72.8</v>
      </c>
      <c r="AE102" s="66">
        <v>71.3</v>
      </c>
      <c r="AG102" s="29">
        <f t="shared" si="26"/>
        <v>1.0244328097731241</v>
      </c>
      <c r="AH102" s="29">
        <f t="shared" si="26"/>
        <v>0.97071742313323572</v>
      </c>
      <c r="AI102" s="29">
        <f t="shared" si="26"/>
        <v>1.054945054945055</v>
      </c>
      <c r="AJ102" s="29">
        <f t="shared" si="26"/>
        <v>1.0561009817671809</v>
      </c>
    </row>
    <row r="103" spans="4:36" ht="15.75">
      <c r="D103" s="23" t="s">
        <v>186</v>
      </c>
      <c r="E103" s="73">
        <v>43750.5</v>
      </c>
      <c r="F103" s="73">
        <v>42060.6</v>
      </c>
      <c r="G103" s="73">
        <v>36256.9</v>
      </c>
      <c r="H103" s="73">
        <v>23824.94435202</v>
      </c>
      <c r="I103" s="73">
        <v>8473.5826492916804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25">
        <v>-1.8611951419510699</v>
      </c>
      <c r="Q103" s="25">
        <v>-13.529565725804501</v>
      </c>
      <c r="R103" s="25">
        <v>-100</v>
      </c>
      <c r="S103" s="25">
        <v>0</v>
      </c>
      <c r="U103" t="s">
        <v>55</v>
      </c>
      <c r="V103" s="53" t="s">
        <v>202</v>
      </c>
      <c r="W103" s="54">
        <v>7.3</v>
      </c>
      <c r="X103" s="65">
        <v>5.5</v>
      </c>
      <c r="Y103" s="65">
        <v>6.2</v>
      </c>
      <c r="Z103" s="65">
        <v>7</v>
      </c>
      <c r="AA103" s="65">
        <v>6</v>
      </c>
      <c r="AB103" s="66">
        <v>6.2</v>
      </c>
      <c r="AC103" s="66">
        <v>6.2</v>
      </c>
      <c r="AD103" s="66">
        <v>6.2</v>
      </c>
      <c r="AE103" s="66">
        <v>5.5</v>
      </c>
      <c r="AG103" s="29">
        <f t="shared" si="26"/>
        <v>0.88709677419354838</v>
      </c>
      <c r="AH103" s="29">
        <f t="shared" si="26"/>
        <v>1</v>
      </c>
      <c r="AI103" s="29">
        <f t="shared" si="26"/>
        <v>1.129032258064516</v>
      </c>
      <c r="AJ103" s="29">
        <f t="shared" si="26"/>
        <v>1.0909090909090908</v>
      </c>
    </row>
    <row r="104" spans="4:36" ht="31.5">
      <c r="D104" s="23" t="s">
        <v>203</v>
      </c>
      <c r="E104" s="73">
        <v>10664.6</v>
      </c>
      <c r="F104" s="73">
        <v>18695.400000000001</v>
      </c>
      <c r="G104" s="73">
        <v>31618.1</v>
      </c>
      <c r="H104" s="73">
        <v>39043.546851667197</v>
      </c>
      <c r="I104" s="73">
        <v>50041.009099105002</v>
      </c>
      <c r="J104" s="73">
        <v>49529.552168894697</v>
      </c>
      <c r="K104" s="73">
        <v>51165.943538143903</v>
      </c>
      <c r="L104" s="73">
        <v>51829.554995571401</v>
      </c>
      <c r="M104" s="73">
        <v>58377.675830316897</v>
      </c>
      <c r="N104" s="73">
        <v>65546.631061548003</v>
      </c>
      <c r="O104" s="73">
        <v>68793.172197955704</v>
      </c>
      <c r="P104" s="25">
        <v>11.4805543892799</v>
      </c>
      <c r="Q104" s="25">
        <v>4.6981551073586703</v>
      </c>
      <c r="R104" s="25">
        <v>0.222560240540637</v>
      </c>
      <c r="S104" s="25">
        <v>1.49116025958911</v>
      </c>
      <c r="U104" t="s">
        <v>145</v>
      </c>
      <c r="V104" s="53" t="s">
        <v>204</v>
      </c>
      <c r="W104" s="54">
        <v>5.6</v>
      </c>
      <c r="X104" s="65">
        <v>4.8</v>
      </c>
      <c r="Y104" s="65">
        <v>5.6</v>
      </c>
      <c r="Z104" s="65">
        <v>6.2</v>
      </c>
      <c r="AA104" s="65">
        <v>5.6</v>
      </c>
      <c r="AB104" s="66">
        <v>5.0999999999999996</v>
      </c>
      <c r="AC104" s="66">
        <v>5.0999999999999996</v>
      </c>
      <c r="AD104" s="66">
        <v>5.0999999999999996</v>
      </c>
      <c r="AE104" s="66">
        <v>5.0999999999999996</v>
      </c>
      <c r="AG104" s="29">
        <f t="shared" si="26"/>
        <v>0.94117647058823528</v>
      </c>
      <c r="AH104" s="29">
        <f t="shared" si="26"/>
        <v>1.0980392156862746</v>
      </c>
      <c r="AI104" s="29">
        <f t="shared" si="26"/>
        <v>1.215686274509804</v>
      </c>
      <c r="AJ104" s="29">
        <f t="shared" si="26"/>
        <v>1.0980392156862746</v>
      </c>
    </row>
    <row r="105" spans="4:36">
      <c r="D105" s="74" t="s">
        <v>205</v>
      </c>
      <c r="E105" s="73">
        <v>1868.6</v>
      </c>
      <c r="F105" s="73">
        <v>1688.6</v>
      </c>
      <c r="G105" s="73">
        <v>1801.6</v>
      </c>
      <c r="H105" s="73">
        <v>1924.7316063128301</v>
      </c>
      <c r="I105" s="73">
        <v>1935.40491710321</v>
      </c>
      <c r="J105" s="73">
        <v>1978.6834485112399</v>
      </c>
      <c r="K105" s="73">
        <v>2048.4930308268799</v>
      </c>
      <c r="L105" s="73">
        <v>2214.16287269437</v>
      </c>
      <c r="M105" s="73">
        <v>2354.2582157950301</v>
      </c>
      <c r="N105" s="73">
        <v>2525.9550111751601</v>
      </c>
      <c r="O105" s="73">
        <v>2637.2024975833001</v>
      </c>
      <c r="P105" s="25">
        <v>-0.36447744671184201</v>
      </c>
      <c r="Q105" s="25">
        <v>0.71898643588590405</v>
      </c>
      <c r="R105" s="25">
        <v>0.56949400499228797</v>
      </c>
      <c r="S105" s="25">
        <v>1.27108183409932</v>
      </c>
      <c r="U105" t="s">
        <v>153</v>
      </c>
      <c r="W105" s="29">
        <f t="shared" ref="W105:AE105" si="27">W101/SUM(W100:W101)</f>
        <v>8.1510934393638157E-2</v>
      </c>
      <c r="X105" s="29">
        <f t="shared" si="27"/>
        <v>0.20875912408759126</v>
      </c>
      <c r="Y105" s="29">
        <f t="shared" si="27"/>
        <v>0.20408163265306123</v>
      </c>
      <c r="Z105" s="29">
        <f t="shared" si="27"/>
        <v>0.19455252918287938</v>
      </c>
      <c r="AA105" s="29">
        <f t="shared" si="27"/>
        <v>0.23573200992555832</v>
      </c>
      <c r="AB105" s="29">
        <f t="shared" si="27"/>
        <v>0.19194630872483223</v>
      </c>
      <c r="AC105" s="29">
        <f t="shared" si="27"/>
        <v>0.17751479289940827</v>
      </c>
      <c r="AD105" s="29">
        <f t="shared" si="27"/>
        <v>0.19726339794754846</v>
      </c>
      <c r="AE105" s="29">
        <f t="shared" si="27"/>
        <v>0.20474137931034483</v>
      </c>
      <c r="AG105" s="29">
        <f t="shared" si="26"/>
        <v>1.0875912408759123</v>
      </c>
      <c r="AH105" s="29">
        <f t="shared" si="26"/>
        <v>1.1496598639455784</v>
      </c>
      <c r="AI105" s="29">
        <f t="shared" si="26"/>
        <v>0.98625761903690878</v>
      </c>
      <c r="AJ105" s="29">
        <f t="shared" si="26"/>
        <v>1.1513647642679901</v>
      </c>
    </row>
    <row r="106" spans="4:36">
      <c r="D106" s="74" t="s">
        <v>206</v>
      </c>
      <c r="E106" s="73">
        <v>7875.8</v>
      </c>
      <c r="F106" s="73">
        <v>14248.6</v>
      </c>
      <c r="G106" s="73">
        <v>24988.1</v>
      </c>
      <c r="H106" s="73">
        <v>27662.215280325101</v>
      </c>
      <c r="I106" s="73">
        <v>32135.127551336202</v>
      </c>
      <c r="J106" s="73">
        <v>30452.777871726899</v>
      </c>
      <c r="K106" s="73">
        <v>29184.893036721802</v>
      </c>
      <c r="L106" s="73">
        <v>29100.5476631893</v>
      </c>
      <c r="M106" s="73">
        <v>31405.141191017501</v>
      </c>
      <c r="N106" s="73">
        <v>32321.631564498599</v>
      </c>
      <c r="O106" s="73">
        <v>32746.338163604902</v>
      </c>
      <c r="P106" s="25">
        <v>12.239017305270901</v>
      </c>
      <c r="Q106" s="25">
        <v>2.54740604288564</v>
      </c>
      <c r="R106" s="25">
        <v>-0.958363488056024</v>
      </c>
      <c r="S106" s="25">
        <v>0.57735998705412706</v>
      </c>
      <c r="U106" t="s">
        <v>146</v>
      </c>
      <c r="X106">
        <f t="shared" ref="X106:AE106" si="28">SUM(X100:X101)</f>
        <v>68.5</v>
      </c>
      <c r="Y106">
        <f t="shared" si="28"/>
        <v>73.5</v>
      </c>
      <c r="Z106">
        <f t="shared" si="28"/>
        <v>77.099999999999994</v>
      </c>
      <c r="AA106">
        <f t="shared" si="28"/>
        <v>80.599999999999994</v>
      </c>
      <c r="AB106">
        <f t="shared" si="28"/>
        <v>74.5</v>
      </c>
      <c r="AC106">
        <f t="shared" si="28"/>
        <v>84.5</v>
      </c>
      <c r="AD106">
        <f t="shared" si="28"/>
        <v>87.7</v>
      </c>
      <c r="AE106">
        <f t="shared" si="28"/>
        <v>92.8</v>
      </c>
    </row>
    <row r="107" spans="4:36" ht="47.25">
      <c r="D107" s="74" t="s">
        <v>207</v>
      </c>
      <c r="E107" s="73">
        <v>804.1</v>
      </c>
      <c r="F107" s="73">
        <v>2341.3000000000002</v>
      </c>
      <c r="G107" s="73">
        <v>3249.6</v>
      </c>
      <c r="H107" s="73">
        <v>5689.1855604541797</v>
      </c>
      <c r="I107" s="73">
        <v>9412.6779672999801</v>
      </c>
      <c r="J107" s="73">
        <v>9737.6650758923497</v>
      </c>
      <c r="K107" s="73">
        <v>11035.8789778552</v>
      </c>
      <c r="L107" s="73">
        <v>11184.8930550568</v>
      </c>
      <c r="M107" s="73">
        <v>11956.8764641038</v>
      </c>
      <c r="N107" s="73">
        <v>15413.3178605182</v>
      </c>
      <c r="O107" s="73">
        <v>16826.6779509919</v>
      </c>
      <c r="P107" s="25">
        <v>14.9878581075107</v>
      </c>
      <c r="Q107" s="25">
        <v>11.2213928272191</v>
      </c>
      <c r="R107" s="25">
        <v>1.60366475891354</v>
      </c>
      <c r="S107" s="25">
        <v>2.1314676083140398</v>
      </c>
      <c r="V107" s="53" t="s">
        <v>208</v>
      </c>
      <c r="W107" s="54">
        <v>0.5</v>
      </c>
      <c r="X107" s="65">
        <v>1.3</v>
      </c>
      <c r="Y107" s="65">
        <v>1.3</v>
      </c>
      <c r="Z107" s="65">
        <v>1.3</v>
      </c>
      <c r="AA107" s="65">
        <v>1.3</v>
      </c>
      <c r="AB107" s="66">
        <v>0.5</v>
      </c>
      <c r="AC107" s="66">
        <v>0.5</v>
      </c>
      <c r="AD107" s="66">
        <v>0.5</v>
      </c>
      <c r="AE107" s="66">
        <v>0.5</v>
      </c>
    </row>
    <row r="108" spans="4:36" ht="47.25">
      <c r="D108" s="74" t="s">
        <v>209</v>
      </c>
      <c r="E108" s="73">
        <v>116.1</v>
      </c>
      <c r="F108" s="73">
        <v>370.8</v>
      </c>
      <c r="G108" s="73">
        <v>1492.6</v>
      </c>
      <c r="H108" s="73">
        <v>3575.2041613332799</v>
      </c>
      <c r="I108" s="73">
        <v>5529.7791930500598</v>
      </c>
      <c r="J108" s="73">
        <v>6269.5257674147597</v>
      </c>
      <c r="K108" s="73">
        <v>7382.9440075120401</v>
      </c>
      <c r="L108" s="73">
        <v>7224.8987740499397</v>
      </c>
      <c r="M108" s="73">
        <v>7700.3184605199804</v>
      </c>
      <c r="N108" s="73">
        <v>8197.9704868645094</v>
      </c>
      <c r="O108" s="73">
        <v>9483.6172113637203</v>
      </c>
      <c r="P108" s="25">
        <v>29.095505298412501</v>
      </c>
      <c r="Q108" s="25">
        <v>13.992541178805199</v>
      </c>
      <c r="R108" s="25">
        <v>2.9324188294482099</v>
      </c>
      <c r="S108" s="25">
        <v>1.2598365600316399</v>
      </c>
      <c r="V108" s="70" t="s">
        <v>210</v>
      </c>
      <c r="W108" s="72">
        <f t="shared" ref="W108:AE108" si="29">SUM(W100:W105)</f>
        <v>103.78151093439364</v>
      </c>
      <c r="X108" s="72">
        <f t="shared" si="29"/>
        <v>137.70875912408758</v>
      </c>
      <c r="Y108" s="72">
        <f t="shared" si="29"/>
        <v>151.80408163265307</v>
      </c>
      <c r="Z108" s="72">
        <f t="shared" si="29"/>
        <v>167.29455252918285</v>
      </c>
      <c r="AA108" s="72">
        <f t="shared" si="29"/>
        <v>167.73573200992553</v>
      </c>
      <c r="AB108" s="72">
        <f t="shared" si="29"/>
        <v>143.29194630872482</v>
      </c>
      <c r="AC108" s="72">
        <f t="shared" si="29"/>
        <v>164.27751479289941</v>
      </c>
      <c r="AD108" s="72">
        <f t="shared" si="29"/>
        <v>171.99726339794753</v>
      </c>
      <c r="AE108" s="72">
        <f t="shared" si="29"/>
        <v>174.90474137931034</v>
      </c>
    </row>
    <row r="109" spans="4:36" ht="31.5">
      <c r="D109" s="74" t="s">
        <v>211</v>
      </c>
      <c r="E109" s="75">
        <v>0</v>
      </c>
      <c r="F109" s="75">
        <v>46.1</v>
      </c>
      <c r="G109" s="75">
        <v>86.2</v>
      </c>
      <c r="H109" s="75">
        <v>192.210243241802</v>
      </c>
      <c r="I109" s="75">
        <v>1028.01947031554</v>
      </c>
      <c r="J109" s="75">
        <v>1090.9000053494699</v>
      </c>
      <c r="K109" s="75">
        <v>1513.7344852280501</v>
      </c>
      <c r="L109" s="75">
        <v>2105.0526305809499</v>
      </c>
      <c r="M109" s="75">
        <v>4961.0814988805696</v>
      </c>
      <c r="N109" s="75">
        <v>7087.7561384915298</v>
      </c>
      <c r="O109" s="75">
        <v>7099.3363744118697</v>
      </c>
      <c r="P109" s="25">
        <v>0</v>
      </c>
      <c r="Q109" s="25">
        <v>28.129581436206699</v>
      </c>
      <c r="R109" s="25">
        <v>3.9452950861734699</v>
      </c>
      <c r="S109" s="25">
        <v>8.0334890897342497</v>
      </c>
      <c r="V109" s="70" t="s">
        <v>212</v>
      </c>
      <c r="W109" s="72">
        <f t="shared" ref="W109:AE109" si="30">W108+W99</f>
        <v>103.78151093439364</v>
      </c>
      <c r="X109" s="72">
        <f t="shared" si="30"/>
        <v>137.70875912408758</v>
      </c>
      <c r="Y109" s="72">
        <f t="shared" si="30"/>
        <v>151.80408163265307</v>
      </c>
      <c r="Z109" s="72">
        <f t="shared" si="30"/>
        <v>167.29455252918285</v>
      </c>
      <c r="AA109" s="72">
        <f t="shared" si="30"/>
        <v>167.73573200992553</v>
      </c>
      <c r="AB109" s="72">
        <f t="shared" si="30"/>
        <v>143.29194630872482</v>
      </c>
      <c r="AC109" s="72">
        <f t="shared" si="30"/>
        <v>164.27751479289941</v>
      </c>
      <c r="AD109" s="72">
        <f t="shared" si="30"/>
        <v>171.99726339794753</v>
      </c>
      <c r="AE109" s="72">
        <f t="shared" si="30"/>
        <v>174.90474137931034</v>
      </c>
    </row>
    <row r="110" spans="4:36" ht="15.75">
      <c r="D110" s="57" t="s">
        <v>213</v>
      </c>
      <c r="E110" s="69">
        <v>204708.9</v>
      </c>
      <c r="F110" s="69">
        <v>208117.7</v>
      </c>
      <c r="G110" s="69">
        <v>201695.8</v>
      </c>
      <c r="H110" s="69">
        <v>204464.66850834101</v>
      </c>
      <c r="I110" s="69">
        <v>201949.29179498801</v>
      </c>
      <c r="J110" s="69">
        <v>201809.178623496</v>
      </c>
      <c r="K110" s="69">
        <v>193426.51587611501</v>
      </c>
      <c r="L110" s="69">
        <v>185043.14040668</v>
      </c>
      <c r="M110" s="69">
        <v>176822.296504711</v>
      </c>
      <c r="N110" s="69">
        <v>170209.499220967</v>
      </c>
      <c r="O110" s="69">
        <v>160382.72671846699</v>
      </c>
      <c r="P110" s="25">
        <v>-0.148173596805556</v>
      </c>
      <c r="Q110" s="25">
        <v>1.2560923127247201E-2</v>
      </c>
      <c r="R110" s="25">
        <v>-0.43026128987062601</v>
      </c>
      <c r="S110" s="25">
        <v>-0.93230026237960395</v>
      </c>
      <c r="V110" s="204" t="s">
        <v>214</v>
      </c>
      <c r="W110" s="204"/>
      <c r="X110" s="204"/>
      <c r="Y110" s="204"/>
      <c r="Z110" s="204"/>
      <c r="AA110" s="204"/>
      <c r="AB110" s="204"/>
      <c r="AC110" s="204"/>
      <c r="AD110" s="204"/>
      <c r="AE110" s="204"/>
    </row>
    <row r="111" spans="4:36" ht="31.5">
      <c r="D111" s="23" t="s">
        <v>181</v>
      </c>
      <c r="E111" s="73">
        <v>21662.6</v>
      </c>
      <c r="F111" s="73">
        <v>25972.2</v>
      </c>
      <c r="G111" s="73">
        <v>31644.3</v>
      </c>
      <c r="H111" s="73">
        <v>35695.385845867597</v>
      </c>
      <c r="I111" s="73">
        <v>40678.054530450398</v>
      </c>
      <c r="J111" s="73">
        <v>40350.628154498401</v>
      </c>
      <c r="K111" s="73">
        <v>36895.205176925403</v>
      </c>
      <c r="L111" s="73">
        <v>26288.0839634533</v>
      </c>
      <c r="M111" s="73">
        <v>18871.7524886344</v>
      </c>
      <c r="N111" s="73">
        <v>13773.356187351599</v>
      </c>
      <c r="O111" s="73">
        <v>9128.4577192428005</v>
      </c>
      <c r="P111" s="25">
        <v>3.8624328659079099</v>
      </c>
      <c r="Q111" s="25">
        <v>2.54310603534678</v>
      </c>
      <c r="R111" s="25">
        <v>-0.97132333057360298</v>
      </c>
      <c r="S111" s="25">
        <v>-6.7451615818447603</v>
      </c>
      <c r="V111" s="53" t="s">
        <v>215</v>
      </c>
      <c r="W111" s="76">
        <v>530.4</v>
      </c>
      <c r="X111" s="65">
        <v>517</v>
      </c>
      <c r="Y111" s="65">
        <v>547</v>
      </c>
      <c r="Z111" s="65">
        <v>577</v>
      </c>
      <c r="AA111" s="65">
        <v>547</v>
      </c>
      <c r="AB111" s="66">
        <v>536</v>
      </c>
      <c r="AC111" s="66">
        <v>552</v>
      </c>
      <c r="AD111" s="66">
        <v>576</v>
      </c>
      <c r="AE111" s="66">
        <v>556</v>
      </c>
    </row>
    <row r="112" spans="4:36" ht="15.75">
      <c r="D112" s="23" t="s">
        <v>183</v>
      </c>
      <c r="E112" s="73">
        <v>125918.2</v>
      </c>
      <c r="F112" s="73">
        <v>120239.3</v>
      </c>
      <c r="G112" s="73">
        <v>109833.8</v>
      </c>
      <c r="H112" s="73">
        <v>109500.766449533</v>
      </c>
      <c r="I112" s="73">
        <v>101784.574806933</v>
      </c>
      <c r="J112" s="73">
        <v>98650.8217722954</v>
      </c>
      <c r="K112" s="73">
        <v>93222.628824588202</v>
      </c>
      <c r="L112" s="73">
        <v>90079.125623314598</v>
      </c>
      <c r="M112" s="73">
        <v>87325.298736330806</v>
      </c>
      <c r="N112" s="73">
        <v>85978.781367448406</v>
      </c>
      <c r="O112" s="73">
        <v>83709.730085756106</v>
      </c>
      <c r="P112" s="25">
        <v>-1.35734560458922</v>
      </c>
      <c r="Q112" s="25">
        <v>-0.75820844714792301</v>
      </c>
      <c r="R112" s="25">
        <v>-0.874831656334918</v>
      </c>
      <c r="S112" s="25">
        <v>-0.53673077796605495</v>
      </c>
      <c r="V112" s="204" t="s">
        <v>216</v>
      </c>
      <c r="W112" s="204"/>
      <c r="X112" s="204"/>
      <c r="Y112" s="204"/>
      <c r="Z112" s="204"/>
      <c r="AA112" s="204"/>
      <c r="AB112" s="204"/>
      <c r="AC112" s="204"/>
      <c r="AD112" s="204"/>
      <c r="AE112" s="204"/>
    </row>
    <row r="113" spans="4:31" ht="31.5">
      <c r="D113" s="74" t="s">
        <v>217</v>
      </c>
      <c r="E113" s="73">
        <v>101441.2</v>
      </c>
      <c r="F113" s="73">
        <v>111039.1</v>
      </c>
      <c r="G113" s="73">
        <v>91612.2</v>
      </c>
      <c r="H113" s="73">
        <v>87783.166849569199</v>
      </c>
      <c r="I113" s="73">
        <v>82353.7333985515</v>
      </c>
      <c r="J113" s="73">
        <v>80482.954000648606</v>
      </c>
      <c r="K113" s="73">
        <v>77129.273125573498</v>
      </c>
      <c r="L113" s="73">
        <v>75447.078990277907</v>
      </c>
      <c r="M113" s="73">
        <v>73832.030145310404</v>
      </c>
      <c r="N113" s="73">
        <v>73059.734221830498</v>
      </c>
      <c r="O113" s="73">
        <v>71880.504827840501</v>
      </c>
      <c r="P113" s="25">
        <v>-1.01397297423731</v>
      </c>
      <c r="Q113" s="25">
        <v>-1.0597512383932699</v>
      </c>
      <c r="R113" s="25">
        <v>-0.65326593403931499</v>
      </c>
      <c r="S113" s="25">
        <v>-0.35176884257721602</v>
      </c>
      <c r="V113" s="53" t="s">
        <v>218</v>
      </c>
      <c r="W113" s="54">
        <v>0.7</v>
      </c>
      <c r="X113" s="65">
        <v>1.1000000000000001</v>
      </c>
      <c r="Y113" s="65">
        <v>2.6</v>
      </c>
      <c r="Z113" s="65">
        <v>4.0999999999999996</v>
      </c>
      <c r="AA113" s="65">
        <v>2.9</v>
      </c>
      <c r="AB113" s="66">
        <v>1.25</v>
      </c>
      <c r="AC113" s="66">
        <v>2.5</v>
      </c>
      <c r="AD113" s="66">
        <v>5</v>
      </c>
      <c r="AE113" s="66">
        <v>3.2</v>
      </c>
    </row>
    <row r="114" spans="4:31" ht="31.5">
      <c r="D114" s="74" t="s">
        <v>219</v>
      </c>
      <c r="E114" s="73">
        <v>24477</v>
      </c>
      <c r="F114" s="73">
        <v>9200.2000000000007</v>
      </c>
      <c r="G114" s="73">
        <v>18221.599999999999</v>
      </c>
      <c r="H114" s="73">
        <v>21717.599599963702</v>
      </c>
      <c r="I114" s="73">
        <v>19430.8414083813</v>
      </c>
      <c r="J114" s="73">
        <v>18167.867771646699</v>
      </c>
      <c r="K114" s="73">
        <v>16093.355699014701</v>
      </c>
      <c r="L114" s="73">
        <v>14632.0466330366</v>
      </c>
      <c r="M114" s="73">
        <v>13493.2685910204</v>
      </c>
      <c r="N114" s="73">
        <v>12919.0471456179</v>
      </c>
      <c r="O114" s="73">
        <v>11829.225257915599</v>
      </c>
      <c r="P114" s="25">
        <v>-2.90813751914115</v>
      </c>
      <c r="Q114" s="25">
        <v>0.64460734274609499</v>
      </c>
      <c r="R114" s="25">
        <v>-1.8669040678764299</v>
      </c>
      <c r="S114" s="25">
        <v>-1.5273819260986901</v>
      </c>
      <c r="V114" s="53" t="s">
        <v>220</v>
      </c>
      <c r="W114" s="54">
        <v>0.2</v>
      </c>
      <c r="X114" s="65">
        <v>1</v>
      </c>
      <c r="Y114" s="65">
        <v>3</v>
      </c>
      <c r="Z114" s="65">
        <v>6</v>
      </c>
      <c r="AA114" s="65">
        <v>4.5</v>
      </c>
      <c r="AB114" s="66">
        <v>1</v>
      </c>
      <c r="AC114" s="66">
        <v>6</v>
      </c>
      <c r="AD114" s="66">
        <v>10</v>
      </c>
      <c r="AE114" s="66">
        <v>8</v>
      </c>
    </row>
    <row r="115" spans="4:31" ht="31.5">
      <c r="D115" s="23" t="s">
        <v>184</v>
      </c>
      <c r="E115" s="73">
        <v>56865.3</v>
      </c>
      <c r="F115" s="73">
        <v>61939.8</v>
      </c>
      <c r="G115" s="73">
        <v>61645</v>
      </c>
      <c r="H115" s="73">
        <v>63261.976510619199</v>
      </c>
      <c r="I115" s="73">
        <v>59118.592383071598</v>
      </c>
      <c r="J115" s="73">
        <v>61599.281941705303</v>
      </c>
      <c r="K115" s="73">
        <v>61698.7376380407</v>
      </c>
      <c r="L115" s="73">
        <v>67131.377576249899</v>
      </c>
      <c r="M115" s="73">
        <v>69119.010545586396</v>
      </c>
      <c r="N115" s="73">
        <v>69056.9719999152</v>
      </c>
      <c r="O115" s="73">
        <v>66107.724045739495</v>
      </c>
      <c r="P115" s="25">
        <v>0.81033367426863701</v>
      </c>
      <c r="Q115" s="25">
        <v>-0.41759221323951501</v>
      </c>
      <c r="R115" s="25">
        <v>0.42809375612822298</v>
      </c>
      <c r="S115" s="25">
        <v>0.34570680706837997</v>
      </c>
      <c r="V115" s="77" t="s">
        <v>221</v>
      </c>
      <c r="W115" s="205" t="s">
        <v>222</v>
      </c>
      <c r="X115" s="205"/>
      <c r="Y115" s="205"/>
      <c r="Z115" s="205"/>
      <c r="AA115" s="205"/>
      <c r="AB115" s="205" t="s">
        <v>223</v>
      </c>
      <c r="AC115" s="205"/>
      <c r="AD115" s="205"/>
      <c r="AE115" s="205"/>
    </row>
    <row r="116" spans="4:31" ht="63">
      <c r="D116" s="23" t="s">
        <v>48</v>
      </c>
      <c r="E116" s="73">
        <v>262.80000000000098</v>
      </c>
      <c r="F116" s="73">
        <v>-392.6</v>
      </c>
      <c r="G116" s="73">
        <v>-1285.9000000000001</v>
      </c>
      <c r="H116" s="73">
        <v>-4144.6746093854499</v>
      </c>
      <c r="I116" s="73">
        <v>166.97696403979401</v>
      </c>
      <c r="J116" s="73">
        <v>1000.52047651894</v>
      </c>
      <c r="K116" s="73">
        <v>1361.3708429993601</v>
      </c>
      <c r="L116" s="73">
        <v>1335.5913026125399</v>
      </c>
      <c r="M116" s="73">
        <v>1331.2534402152701</v>
      </c>
      <c r="N116" s="73">
        <v>1273.5908327945399</v>
      </c>
      <c r="O116" s="73">
        <v>1287.4221096752899</v>
      </c>
      <c r="P116" s="25">
        <v>0</v>
      </c>
      <c r="Q116" s="25">
        <v>0</v>
      </c>
      <c r="R116" s="25">
        <v>23.347964877064602</v>
      </c>
      <c r="S116" s="25">
        <v>-0.27886200799963601</v>
      </c>
      <c r="V116" s="53" t="s">
        <v>224</v>
      </c>
      <c r="W116" s="54" t="s">
        <v>225</v>
      </c>
      <c r="X116" s="65">
        <v>84</v>
      </c>
      <c r="Y116" s="65">
        <v>84</v>
      </c>
      <c r="Z116" s="65">
        <v>84</v>
      </c>
      <c r="AA116" s="65">
        <v>84</v>
      </c>
      <c r="AB116" s="66">
        <v>90</v>
      </c>
      <c r="AC116" s="66">
        <v>95</v>
      </c>
      <c r="AD116" s="66">
        <v>98</v>
      </c>
      <c r="AE116" s="66">
        <v>97</v>
      </c>
    </row>
    <row r="117" spans="4:31" ht="15.75">
      <c r="D117" s="49" t="s">
        <v>226</v>
      </c>
      <c r="E117" s="78">
        <v>59.418565128710902</v>
      </c>
      <c r="F117" s="78">
        <v>60.431661987797398</v>
      </c>
      <c r="G117" s="78">
        <v>60.076948944848702</v>
      </c>
      <c r="H117" s="78">
        <v>62.837592282251698</v>
      </c>
      <c r="I117" s="78">
        <v>64.851762636675502</v>
      </c>
      <c r="J117" s="78">
        <v>67.690317598163006</v>
      </c>
      <c r="K117" s="78">
        <v>68.657335891663706</v>
      </c>
      <c r="L117" s="78">
        <v>69.040772348203703</v>
      </c>
      <c r="M117" s="78">
        <v>66.923201638507706</v>
      </c>
      <c r="N117" s="78">
        <v>65.8814829129972</v>
      </c>
      <c r="O117" s="78">
        <v>61.776758686870103</v>
      </c>
      <c r="P117" s="25"/>
      <c r="Q117" s="25"/>
      <c r="R117" s="25"/>
      <c r="S117" s="25"/>
      <c r="V117" s="204" t="s">
        <v>227</v>
      </c>
      <c r="W117" s="204"/>
      <c r="X117" s="204"/>
      <c r="Y117" s="204"/>
      <c r="Z117" s="204"/>
      <c r="AA117" s="204"/>
      <c r="AB117" s="204"/>
      <c r="AC117" s="204"/>
      <c r="AD117" s="204"/>
      <c r="AE117" s="204"/>
    </row>
    <row r="118" spans="4:31" ht="31.5">
      <c r="D118" s="4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25"/>
      <c r="Q118" s="25"/>
      <c r="R118" s="25"/>
      <c r="S118" s="25"/>
      <c r="V118" s="53" t="s">
        <v>228</v>
      </c>
      <c r="W118" s="54"/>
      <c r="X118" s="65">
        <v>1</v>
      </c>
      <c r="Y118" s="65">
        <v>1.5</v>
      </c>
      <c r="Z118" s="65">
        <v>2</v>
      </c>
      <c r="AA118" s="65">
        <v>2</v>
      </c>
      <c r="AB118" s="66">
        <v>1</v>
      </c>
      <c r="AC118" s="66">
        <v>2</v>
      </c>
      <c r="AD118" s="66">
        <v>3</v>
      </c>
      <c r="AE118" s="66">
        <v>3</v>
      </c>
    </row>
    <row r="119" spans="4:31" ht="33">
      <c r="D119" s="68" t="s">
        <v>229</v>
      </c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25"/>
      <c r="Q119" s="25"/>
      <c r="R119" s="25"/>
      <c r="S119" s="25"/>
      <c r="V119" s="81" t="s">
        <v>230</v>
      </c>
      <c r="W119" s="82"/>
      <c r="X119" s="65"/>
      <c r="Y119" s="65"/>
      <c r="Z119" s="65"/>
      <c r="AA119" s="65"/>
      <c r="AB119" s="66">
        <v>3.3</v>
      </c>
      <c r="AC119" s="66">
        <v>3.3</v>
      </c>
      <c r="AD119" s="66">
        <v>3.3</v>
      </c>
      <c r="AE119" s="66">
        <v>3.3</v>
      </c>
    </row>
    <row r="120" spans="4:31" ht="23.25">
      <c r="D120" s="49" t="s">
        <v>231</v>
      </c>
      <c r="E120" s="50">
        <v>572313</v>
      </c>
      <c r="F120" s="50">
        <v>615800</v>
      </c>
      <c r="G120" s="50">
        <v>626583</v>
      </c>
      <c r="H120" s="50">
        <v>645694.18850004894</v>
      </c>
      <c r="I120" s="50">
        <v>599220.42808016797</v>
      </c>
      <c r="J120" s="50">
        <v>603814.508393856</v>
      </c>
      <c r="K120" s="50">
        <v>610832.02121444198</v>
      </c>
      <c r="L120" s="50">
        <v>611628.85561283201</v>
      </c>
      <c r="M120" s="50">
        <v>617685.57124143594</v>
      </c>
      <c r="N120" s="50">
        <v>623183.70759602997</v>
      </c>
      <c r="O120" s="50">
        <v>647216.40025216097</v>
      </c>
      <c r="P120" s="25">
        <v>0.91006819706611597</v>
      </c>
      <c r="Q120" s="25">
        <v>-0.44552183114600102</v>
      </c>
      <c r="R120" s="25">
        <v>0.19210902471358299</v>
      </c>
      <c r="S120" s="25">
        <v>0.28971240122550601</v>
      </c>
      <c r="V120" s="53" t="s">
        <v>232</v>
      </c>
      <c r="W120" s="83"/>
      <c r="X120" s="65">
        <v>3</v>
      </c>
      <c r="Y120" s="65">
        <v>4.5</v>
      </c>
      <c r="Z120" s="65">
        <v>6</v>
      </c>
      <c r="AA120" s="65">
        <v>5</v>
      </c>
      <c r="AB120" s="66">
        <v>2.7</v>
      </c>
      <c r="AC120" s="66">
        <v>4.7</v>
      </c>
      <c r="AD120" s="66">
        <v>6.1</v>
      </c>
      <c r="AE120" s="66">
        <v>6</v>
      </c>
    </row>
    <row r="121" spans="4:31" ht="48.75">
      <c r="D121" s="23" t="s">
        <v>233</v>
      </c>
      <c r="E121" s="24">
        <v>169606</v>
      </c>
      <c r="F121" s="24">
        <v>163055</v>
      </c>
      <c r="G121" s="24">
        <v>140556</v>
      </c>
      <c r="H121" s="24">
        <v>96915.889928257806</v>
      </c>
      <c r="I121" s="24">
        <v>34469.117375592999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5">
        <v>-1.8611831780452801</v>
      </c>
      <c r="Q121" s="25">
        <v>-13.112344780919001</v>
      </c>
      <c r="R121" s="25">
        <v>-100</v>
      </c>
      <c r="S121" s="25">
        <v>0</v>
      </c>
      <c r="V121" s="53" t="s">
        <v>234</v>
      </c>
      <c r="W121" s="83"/>
      <c r="X121" s="65">
        <v>2</v>
      </c>
      <c r="Y121" s="65">
        <v>4</v>
      </c>
      <c r="Z121" s="65">
        <v>6</v>
      </c>
      <c r="AA121" s="65">
        <v>5</v>
      </c>
      <c r="AB121" s="66">
        <v>2</v>
      </c>
      <c r="AC121" s="66">
        <v>4</v>
      </c>
      <c r="AD121" s="66">
        <v>6</v>
      </c>
      <c r="AE121" s="66">
        <v>5</v>
      </c>
    </row>
    <row r="122" spans="4:31" ht="15.75">
      <c r="D122" s="23" t="s">
        <v>181</v>
      </c>
      <c r="E122" s="24">
        <v>296687</v>
      </c>
      <c r="F122" s="24">
        <v>288142</v>
      </c>
      <c r="G122" s="24">
        <v>262896</v>
      </c>
      <c r="H122" s="24">
        <v>272894.90182842402</v>
      </c>
      <c r="I122" s="24">
        <v>273819.94652970397</v>
      </c>
      <c r="J122" s="24">
        <v>267176.18036108703</v>
      </c>
      <c r="K122" s="24">
        <v>231938.84803359301</v>
      </c>
      <c r="L122" s="24">
        <v>182946.66010443101</v>
      </c>
      <c r="M122" s="24">
        <v>160405.561627641</v>
      </c>
      <c r="N122" s="24">
        <v>114515.837929696</v>
      </c>
      <c r="O122" s="24">
        <v>136854.400709726</v>
      </c>
      <c r="P122" s="25">
        <v>-1.20191059551863</v>
      </c>
      <c r="Q122" s="25">
        <v>0.40795231143486699</v>
      </c>
      <c r="R122" s="25">
        <v>-1.64626851586184</v>
      </c>
      <c r="S122" s="25">
        <v>-2.6032952391078701</v>
      </c>
      <c r="V122" s="206" t="s">
        <v>235</v>
      </c>
      <c r="W122" s="206"/>
      <c r="X122" s="206"/>
      <c r="Y122" s="206"/>
      <c r="Z122" s="206"/>
      <c r="AA122" s="206"/>
      <c r="AB122" s="206"/>
      <c r="AC122" s="206"/>
      <c r="AD122" s="206"/>
      <c r="AE122" s="206"/>
    </row>
    <row r="123" spans="4:31" ht="48.75">
      <c r="D123" s="23" t="s">
        <v>236</v>
      </c>
      <c r="E123" s="24">
        <v>4785</v>
      </c>
      <c r="F123" s="24">
        <v>11997</v>
      </c>
      <c r="G123" s="24">
        <v>8741</v>
      </c>
      <c r="H123" s="24">
        <v>1078.8698144792299</v>
      </c>
      <c r="I123" s="24">
        <v>941.08521130463396</v>
      </c>
      <c r="J123" s="24">
        <v>1997.4666099261699</v>
      </c>
      <c r="K123" s="24">
        <v>3056.1603480066201</v>
      </c>
      <c r="L123" s="24">
        <v>3356.9465201070102</v>
      </c>
      <c r="M123" s="24">
        <v>3620.5877530863399</v>
      </c>
      <c r="N123" s="24">
        <v>3536.0774859586199</v>
      </c>
      <c r="O123" s="24">
        <v>552.36317860096995</v>
      </c>
      <c r="P123" s="25">
        <v>6.2106135901109898</v>
      </c>
      <c r="Q123" s="25">
        <v>-19.978482514456999</v>
      </c>
      <c r="R123" s="25">
        <v>12.5005689450772</v>
      </c>
      <c r="S123" s="25">
        <v>-8.1979394771834109</v>
      </c>
      <c r="V123" s="53" t="s">
        <v>237</v>
      </c>
      <c r="W123" s="83"/>
      <c r="X123" s="60" t="s">
        <v>195</v>
      </c>
      <c r="Y123" s="65">
        <v>165</v>
      </c>
      <c r="Z123" s="65">
        <v>165</v>
      </c>
      <c r="AA123" s="65">
        <v>137</v>
      </c>
      <c r="AB123" s="203" t="s">
        <v>238</v>
      </c>
      <c r="AC123" s="203"/>
      <c r="AD123" s="203"/>
      <c r="AE123" s="203"/>
    </row>
    <row r="124" spans="4:31">
      <c r="D124" s="23" t="s">
        <v>239</v>
      </c>
      <c r="E124" s="24">
        <v>59970</v>
      </c>
      <c r="F124" s="24">
        <v>83608</v>
      </c>
      <c r="G124" s="24">
        <v>100912</v>
      </c>
      <c r="H124" s="24">
        <v>92807.723337183299</v>
      </c>
      <c r="I124" s="24">
        <v>74716.593978035293</v>
      </c>
      <c r="J124" s="24">
        <v>102227.870333542</v>
      </c>
      <c r="K124" s="24">
        <v>108810.332939459</v>
      </c>
      <c r="L124" s="24">
        <v>150109.98108222199</v>
      </c>
      <c r="M124" s="24">
        <v>154615.823066724</v>
      </c>
      <c r="N124" s="24">
        <v>152777.89601358899</v>
      </c>
      <c r="O124" s="24">
        <v>124671.201813726</v>
      </c>
      <c r="P124" s="25">
        <v>5.34183432318929</v>
      </c>
      <c r="Q124" s="25">
        <v>-2.9607513518283199</v>
      </c>
      <c r="R124" s="25">
        <v>3.8305865314471701</v>
      </c>
      <c r="S124" s="25">
        <v>0.68268768297101701</v>
      </c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</row>
    <row r="125" spans="4:31">
      <c r="D125" s="23" t="s">
        <v>240</v>
      </c>
      <c r="E125" s="24">
        <v>10121</v>
      </c>
      <c r="F125" s="24">
        <v>20849</v>
      </c>
      <c r="G125" s="24">
        <v>42975</v>
      </c>
      <c r="H125" s="24">
        <v>58714.632148678102</v>
      </c>
      <c r="I125" s="24">
        <v>33884.396520401497</v>
      </c>
      <c r="J125" s="24">
        <v>43429.409695041802</v>
      </c>
      <c r="K125" s="24">
        <v>53399.955020007998</v>
      </c>
      <c r="L125" s="24">
        <v>57464.285754116798</v>
      </c>
      <c r="M125" s="24">
        <v>67808.481030889103</v>
      </c>
      <c r="N125" s="24">
        <v>73975.4613661068</v>
      </c>
      <c r="O125" s="24">
        <v>74800.909672725305</v>
      </c>
      <c r="P125" s="25">
        <v>15.5577949277996</v>
      </c>
      <c r="Q125" s="25">
        <v>-2.3486195690625999</v>
      </c>
      <c r="R125" s="25">
        <v>4.6535858498731004</v>
      </c>
      <c r="S125" s="25">
        <v>1.6993786216829501</v>
      </c>
      <c r="V125" t="s">
        <v>241</v>
      </c>
    </row>
    <row r="126" spans="4:31">
      <c r="D126" s="23" t="s">
        <v>242</v>
      </c>
      <c r="E126" s="24">
        <v>21732</v>
      </c>
      <c r="F126" s="24">
        <v>19638</v>
      </c>
      <c r="G126" s="24">
        <v>20953</v>
      </c>
      <c r="H126" s="24">
        <v>22380.600073404901</v>
      </c>
      <c r="I126" s="24">
        <v>22504.7083384094</v>
      </c>
      <c r="J126" s="24">
        <v>23007.947075712102</v>
      </c>
      <c r="K126" s="24">
        <v>23819.686404963701</v>
      </c>
      <c r="L126" s="24">
        <v>25746.079915050799</v>
      </c>
      <c r="M126" s="24">
        <v>27375.0955325004</v>
      </c>
      <c r="N126" s="24">
        <v>29371.569897385602</v>
      </c>
      <c r="O126" s="24">
        <v>30665.145320735999</v>
      </c>
      <c r="P126" s="25">
        <v>-0.364374483995344</v>
      </c>
      <c r="Q126" s="25">
        <v>0.71698524489367499</v>
      </c>
      <c r="R126" s="25">
        <v>0.56949400499228797</v>
      </c>
      <c r="S126" s="25">
        <v>1.27108183409932</v>
      </c>
      <c r="V126" t="s">
        <v>243</v>
      </c>
    </row>
    <row r="127" spans="4:31">
      <c r="D127" s="23" t="s">
        <v>207</v>
      </c>
      <c r="E127" s="24">
        <v>9352</v>
      </c>
      <c r="F127" s="24">
        <v>27229</v>
      </c>
      <c r="G127" s="24">
        <v>37793</v>
      </c>
      <c r="H127" s="24">
        <v>66153.320470397506</v>
      </c>
      <c r="I127" s="24">
        <v>109449.743805814</v>
      </c>
      <c r="J127" s="24">
        <v>113228.663673167</v>
      </c>
      <c r="K127" s="24">
        <v>128324.174161107</v>
      </c>
      <c r="L127" s="24">
        <v>130056.895989032</v>
      </c>
      <c r="M127" s="24">
        <v>139033.44725702101</v>
      </c>
      <c r="N127" s="24">
        <v>179224.626285095</v>
      </c>
      <c r="O127" s="24">
        <v>195659.045941766</v>
      </c>
      <c r="P127" s="25">
        <v>14.9875145800693</v>
      </c>
      <c r="Q127" s="25">
        <v>11.2193463088139</v>
      </c>
      <c r="R127" s="25">
        <v>1.60366475891354</v>
      </c>
      <c r="S127" s="25">
        <v>2.1314676083140398</v>
      </c>
      <c r="V127" t="s">
        <v>244</v>
      </c>
    </row>
    <row r="128" spans="4:31">
      <c r="D128" s="23" t="s">
        <v>245</v>
      </c>
      <c r="E128" s="24">
        <v>60.465116279069797</v>
      </c>
      <c r="F128" s="24">
        <v>1282.55813953488</v>
      </c>
      <c r="G128" s="24">
        <v>11726.744186046501</v>
      </c>
      <c r="H128" s="24">
        <v>34611.594899224197</v>
      </c>
      <c r="I128" s="24">
        <v>48465.362989064997</v>
      </c>
      <c r="J128" s="24">
        <v>51777.497313538297</v>
      </c>
      <c r="K128" s="24">
        <v>60513.390975464201</v>
      </c>
      <c r="L128" s="24">
        <v>60978.532916030599</v>
      </c>
      <c r="M128" s="24">
        <v>63857.101641731802</v>
      </c>
      <c r="N128" s="24">
        <v>68812.765286356094</v>
      </c>
      <c r="O128" s="24">
        <v>83043.860283039394</v>
      </c>
      <c r="P128" s="25">
        <v>69.3430025864795</v>
      </c>
      <c r="Q128" s="25">
        <v>15.2458782451</v>
      </c>
      <c r="R128" s="25">
        <v>2.2449818158666499</v>
      </c>
      <c r="S128" s="25">
        <v>1.59510931347338</v>
      </c>
    </row>
    <row r="129" spans="3:19">
      <c r="D129" s="23" t="s">
        <v>246</v>
      </c>
      <c r="E129" s="24">
        <v>-0.46511627906977498</v>
      </c>
      <c r="F129" s="24">
        <v>-0.55813953488382095</v>
      </c>
      <c r="G129" s="24">
        <v>30.255813953486701</v>
      </c>
      <c r="H129" s="24">
        <v>136.65600000000299</v>
      </c>
      <c r="I129" s="24">
        <v>969.47333184156696</v>
      </c>
      <c r="J129" s="24">
        <v>969.47333184158197</v>
      </c>
      <c r="K129" s="24">
        <v>969.47333184157503</v>
      </c>
      <c r="L129" s="24">
        <v>969.47333184158197</v>
      </c>
      <c r="M129" s="24">
        <v>969.47333184158902</v>
      </c>
      <c r="N129" s="24">
        <v>969.47333184158197</v>
      </c>
      <c r="O129" s="24">
        <v>969.47333184158197</v>
      </c>
      <c r="P129" s="25">
        <v>0</v>
      </c>
      <c r="Q129" s="25">
        <v>41.4401481633899</v>
      </c>
      <c r="R129" s="25">
        <v>6.6613381477509405E-14</v>
      </c>
      <c r="S129" s="25">
        <v>4.4408920985006299E-14</v>
      </c>
    </row>
    <row r="130" spans="3:19">
      <c r="D130" s="63" t="s">
        <v>247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25">
        <v>0</v>
      </c>
      <c r="Q130" s="25">
        <v>0</v>
      </c>
      <c r="R130" s="25">
        <v>0</v>
      </c>
      <c r="S130" s="25">
        <v>0</v>
      </c>
    </row>
    <row r="131" spans="3:19">
      <c r="D131" s="57" t="s">
        <v>248</v>
      </c>
      <c r="E131" s="50">
        <v>114373.14088000001</v>
      </c>
      <c r="F131" s="50">
        <v>123972.88434999999</v>
      </c>
      <c r="G131" s="50">
        <v>154603.3376</v>
      </c>
      <c r="H131" s="50">
        <v>189031.8806</v>
      </c>
      <c r="I131" s="50">
        <v>207139.94909302701</v>
      </c>
      <c r="J131" s="50">
        <v>199423.936369506</v>
      </c>
      <c r="K131" s="50">
        <v>209097.07892482</v>
      </c>
      <c r="L131" s="50">
        <v>210210.84541009201</v>
      </c>
      <c r="M131" s="50">
        <v>214757.03761033699</v>
      </c>
      <c r="N131" s="50">
        <v>229866.90083804101</v>
      </c>
      <c r="O131" s="50">
        <v>252774.00256179299</v>
      </c>
      <c r="P131" s="25">
        <v>3.0598442409403499</v>
      </c>
      <c r="Q131" s="25">
        <v>2.9685269840927999</v>
      </c>
      <c r="R131" s="25">
        <v>9.4084123223447905E-2</v>
      </c>
      <c r="S131" s="25">
        <v>0.95299829494324095</v>
      </c>
    </row>
    <row r="132" spans="3:19">
      <c r="C132" t="s">
        <v>95</v>
      </c>
      <c r="D132" s="23" t="s">
        <v>233</v>
      </c>
      <c r="E132" s="24">
        <v>21644.16</v>
      </c>
      <c r="F132" s="24">
        <v>20656.32</v>
      </c>
      <c r="G132" s="24">
        <v>20656.32</v>
      </c>
      <c r="H132" s="24">
        <v>12188.16</v>
      </c>
      <c r="I132" s="24">
        <v>6907.2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5">
        <v>-0.46605404447930299</v>
      </c>
      <c r="Q132" s="25">
        <v>-10.3758793007263</v>
      </c>
      <c r="R132" s="25">
        <v>-100</v>
      </c>
      <c r="S132" s="25">
        <v>0</v>
      </c>
    </row>
    <row r="133" spans="3:19">
      <c r="D133" s="23" t="s">
        <v>249</v>
      </c>
      <c r="E133" s="24">
        <v>11040</v>
      </c>
      <c r="F133" s="24">
        <v>25641</v>
      </c>
      <c r="G133" s="24">
        <v>50141</v>
      </c>
      <c r="H133" s="24">
        <v>90292.84</v>
      </c>
      <c r="I133" s="24">
        <v>120226.44279294999</v>
      </c>
      <c r="J133" s="24">
        <v>123605.551175733</v>
      </c>
      <c r="K133" s="24">
        <v>137030.744716277</v>
      </c>
      <c r="L133" s="24">
        <v>137409.94541224799</v>
      </c>
      <c r="M133" s="24">
        <v>141918.218123492</v>
      </c>
      <c r="N133" s="24">
        <v>158723.180159148</v>
      </c>
      <c r="O133" s="24">
        <v>179859.79686156599</v>
      </c>
      <c r="P133" s="25">
        <v>16.338213856085499</v>
      </c>
      <c r="Q133" s="25">
        <v>9.1391835646647195</v>
      </c>
      <c r="R133" s="25">
        <v>1.31687873673818</v>
      </c>
      <c r="S133" s="25">
        <v>1.3691498047467201</v>
      </c>
    </row>
    <row r="134" spans="3:19">
      <c r="C134" t="s">
        <v>145</v>
      </c>
      <c r="D134" s="74" t="s">
        <v>242</v>
      </c>
      <c r="E134" s="24">
        <v>4831</v>
      </c>
      <c r="F134" s="24">
        <v>5210</v>
      </c>
      <c r="G134" s="24">
        <v>5407</v>
      </c>
      <c r="H134" s="24">
        <v>5590</v>
      </c>
      <c r="I134" s="24">
        <v>5591.5971726123598</v>
      </c>
      <c r="J134" s="24">
        <v>5698.0295084346199</v>
      </c>
      <c r="K134" s="24">
        <v>5857.4674195989701</v>
      </c>
      <c r="L134" s="24">
        <v>6236.6681155695196</v>
      </c>
      <c r="M134" s="24">
        <v>6557.5473045605704</v>
      </c>
      <c r="N134" s="24">
        <v>6950.7334079026996</v>
      </c>
      <c r="O134" s="24">
        <v>7170.0701743999398</v>
      </c>
      <c r="P134" s="25">
        <v>1.13277712423687</v>
      </c>
      <c r="Q134" s="25">
        <v>0.33626967784419198</v>
      </c>
      <c r="R134" s="25">
        <v>0.46560421607080299</v>
      </c>
      <c r="S134" s="25">
        <v>1.01611833832536</v>
      </c>
    </row>
    <row r="135" spans="3:19">
      <c r="C135" t="s">
        <v>146</v>
      </c>
      <c r="D135" s="74" t="s">
        <v>207</v>
      </c>
      <c r="E135" s="24">
        <v>6095</v>
      </c>
      <c r="F135" s="24">
        <v>18375</v>
      </c>
      <c r="G135" s="24">
        <v>27180</v>
      </c>
      <c r="H135" s="24">
        <v>44946.2</v>
      </c>
      <c r="I135" s="24">
        <v>61831.977952308698</v>
      </c>
      <c r="J135" s="24">
        <v>62006.757015808398</v>
      </c>
      <c r="K135" s="24">
        <v>67213.951965512402</v>
      </c>
      <c r="L135" s="24">
        <v>67213.951965512402</v>
      </c>
      <c r="M135" s="24">
        <v>69404.390568912597</v>
      </c>
      <c r="N135" s="24">
        <v>81241.654211576402</v>
      </c>
      <c r="O135" s="24">
        <v>86548.934147496693</v>
      </c>
      <c r="P135" s="25">
        <v>16.125493930965099</v>
      </c>
      <c r="Q135" s="25">
        <v>8.5666328834124599</v>
      </c>
      <c r="R135" s="25">
        <v>0.83809422234923903</v>
      </c>
      <c r="S135" s="25">
        <v>1.2721697078510701</v>
      </c>
    </row>
    <row r="136" spans="3:19">
      <c r="C136" t="s">
        <v>105</v>
      </c>
      <c r="D136" s="74" t="s">
        <v>245</v>
      </c>
      <c r="E136" s="24">
        <v>114</v>
      </c>
      <c r="F136" s="24">
        <v>2056</v>
      </c>
      <c r="G136" s="24">
        <v>17554</v>
      </c>
      <c r="H136" s="24">
        <v>39756.639999999999</v>
      </c>
      <c r="I136" s="24">
        <v>52802.867668028601</v>
      </c>
      <c r="J136" s="24">
        <v>55900.764651489801</v>
      </c>
      <c r="K136" s="24">
        <v>63959.325331165601</v>
      </c>
      <c r="L136" s="24">
        <v>63959.325331165601</v>
      </c>
      <c r="M136" s="24">
        <v>65956.280250018506</v>
      </c>
      <c r="N136" s="24">
        <v>70530.792539669201</v>
      </c>
      <c r="O136" s="24">
        <v>86140.792539669201</v>
      </c>
      <c r="P136" s="25">
        <v>65.4806142414931</v>
      </c>
      <c r="Q136" s="25">
        <v>11.642137146780099</v>
      </c>
      <c r="R136" s="25">
        <v>1.93530729243929</v>
      </c>
      <c r="S136" s="25">
        <v>1.49981471542875</v>
      </c>
    </row>
    <row r="137" spans="3:19">
      <c r="D137" s="74" t="s">
        <v>250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5">
        <v>0</v>
      </c>
      <c r="Q137" s="25">
        <v>0</v>
      </c>
      <c r="R137" s="25">
        <v>0</v>
      </c>
      <c r="S137" s="25">
        <v>0</v>
      </c>
    </row>
    <row r="138" spans="3:19">
      <c r="D138" s="23" t="s">
        <v>251</v>
      </c>
      <c r="E138" s="24">
        <v>81688.980880000003</v>
      </c>
      <c r="F138" s="24">
        <v>77675.564350000001</v>
      </c>
      <c r="G138" s="24">
        <v>83806.017600000006</v>
      </c>
      <c r="H138" s="24">
        <v>86550.880600000004</v>
      </c>
      <c r="I138" s="24">
        <v>80006.306300077704</v>
      </c>
      <c r="J138" s="24">
        <v>75818.3851937734</v>
      </c>
      <c r="K138" s="24">
        <v>72066.334208542903</v>
      </c>
      <c r="L138" s="24">
        <v>72800.899997844695</v>
      </c>
      <c r="M138" s="24">
        <v>72838.819486845794</v>
      </c>
      <c r="N138" s="24">
        <v>71143.720678893194</v>
      </c>
      <c r="O138" s="24">
        <v>72914.205700227394</v>
      </c>
      <c r="P138" s="25">
        <v>0.25618453479456799</v>
      </c>
      <c r="Q138" s="25">
        <v>-0.46291874955734003</v>
      </c>
      <c r="R138" s="25">
        <v>-1.0397414959104001</v>
      </c>
      <c r="S138" s="25">
        <v>5.8499515692766998E-2</v>
      </c>
    </row>
    <row r="139" spans="3:19">
      <c r="C139" t="s">
        <v>147</v>
      </c>
      <c r="D139" s="74" t="s">
        <v>252</v>
      </c>
      <c r="E139" s="24">
        <v>14369.0068415201</v>
      </c>
      <c r="F139" s="24">
        <v>20840</v>
      </c>
      <c r="G139" s="24">
        <v>24553.5</v>
      </c>
      <c r="H139" s="24">
        <v>17067.006106328699</v>
      </c>
      <c r="I139" s="24">
        <v>6215.4376671414402</v>
      </c>
      <c r="J139" s="24">
        <v>12472.541557279499</v>
      </c>
      <c r="K139" s="24">
        <v>12492.8688298132</v>
      </c>
      <c r="L139" s="24">
        <v>10975.0237445368</v>
      </c>
      <c r="M139" s="24">
        <v>10926.6049221948</v>
      </c>
      <c r="N139" s="24">
        <v>13942.244025325001</v>
      </c>
      <c r="O139" s="24">
        <v>15542.214233719</v>
      </c>
      <c r="P139" s="25">
        <v>5.5039368757156204</v>
      </c>
      <c r="Q139" s="25">
        <v>-12.8362651799604</v>
      </c>
      <c r="R139" s="25">
        <v>7.23067664355401</v>
      </c>
      <c r="S139" s="25">
        <v>1.0979933477109001</v>
      </c>
    </row>
    <row r="140" spans="3:19">
      <c r="D140" s="74" t="s">
        <v>253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7920</v>
      </c>
      <c r="P140" s="25">
        <v>0</v>
      </c>
      <c r="Q140" s="25">
        <v>0</v>
      </c>
      <c r="R140" s="25">
        <v>0</v>
      </c>
      <c r="S140" s="25">
        <v>0</v>
      </c>
    </row>
    <row r="141" spans="3:19">
      <c r="C141" t="s">
        <v>148</v>
      </c>
      <c r="D141" s="23" t="s">
        <v>254</v>
      </c>
      <c r="E141" s="24">
        <v>50924.330580000002</v>
      </c>
      <c r="F141" s="24">
        <v>48086.878380000002</v>
      </c>
      <c r="G141" s="24">
        <v>47788.75058</v>
      </c>
      <c r="H141" s="24">
        <v>52819.418830000002</v>
      </c>
      <c r="I141" s="24">
        <v>49169.984185626803</v>
      </c>
      <c r="J141" s="24">
        <v>44015.930185626799</v>
      </c>
      <c r="K141" s="24">
        <v>36774.890185626697</v>
      </c>
      <c r="L141" s="24">
        <v>25733.500335626701</v>
      </c>
      <c r="M141" s="24">
        <v>22523.405535626702</v>
      </c>
      <c r="N141" s="24">
        <v>19519.563035626699</v>
      </c>
      <c r="O141" s="24">
        <v>24057.330678728798</v>
      </c>
      <c r="P141" s="25">
        <v>-0.63349042004511302</v>
      </c>
      <c r="Q141" s="25">
        <v>0.28533722906696202</v>
      </c>
      <c r="R141" s="25">
        <v>-2.86290044756465</v>
      </c>
      <c r="S141" s="25">
        <v>-2.09952416227011</v>
      </c>
    </row>
    <row r="142" spans="3:19">
      <c r="C142" t="s">
        <v>149</v>
      </c>
      <c r="D142" s="23" t="s">
        <v>255</v>
      </c>
      <c r="E142" s="24">
        <v>21335.539919999999</v>
      </c>
      <c r="F142" s="24">
        <v>21671.303520000001</v>
      </c>
      <c r="G142" s="24">
        <v>26889.897679999998</v>
      </c>
      <c r="H142" s="24">
        <v>25177.76772</v>
      </c>
      <c r="I142" s="24">
        <v>21891.232619999999</v>
      </c>
      <c r="J142" s="24">
        <v>23078.074671303701</v>
      </c>
      <c r="K142" s="24">
        <v>26977.9839360732</v>
      </c>
      <c r="L142" s="24">
        <v>39086.311055375001</v>
      </c>
      <c r="M142" s="24">
        <v>42020.026875374999</v>
      </c>
      <c r="N142" s="24">
        <v>43293.332444999098</v>
      </c>
      <c r="O142" s="24">
        <v>41426.002444797399</v>
      </c>
      <c r="P142" s="25">
        <v>2.3407395950250498</v>
      </c>
      <c r="Q142" s="25">
        <v>-2.03563976625898</v>
      </c>
      <c r="R142" s="25">
        <v>2.1113287469646198</v>
      </c>
      <c r="S142" s="25">
        <v>2.1675965104004802</v>
      </c>
    </row>
    <row r="143" spans="3:19">
      <c r="C143" t="s">
        <v>100</v>
      </c>
      <c r="D143" s="23" t="s">
        <v>256</v>
      </c>
      <c r="E143" s="24">
        <v>8065.6573699999999</v>
      </c>
      <c r="F143" s="24">
        <v>5685.6276200000002</v>
      </c>
      <c r="G143" s="24">
        <v>5687.8133200000002</v>
      </c>
      <c r="H143" s="24">
        <v>5028.3810199999998</v>
      </c>
      <c r="I143" s="24">
        <v>1673.8347000000001</v>
      </c>
      <c r="J143" s="24">
        <v>1458.1605423920601</v>
      </c>
      <c r="K143" s="24">
        <v>1248.1130423920599</v>
      </c>
      <c r="L143" s="24">
        <v>1060.97281239206</v>
      </c>
      <c r="M143" s="24">
        <v>862.853412392064</v>
      </c>
      <c r="N143" s="24">
        <v>833.37662239206395</v>
      </c>
      <c r="O143" s="24">
        <v>674.14537239206402</v>
      </c>
      <c r="P143" s="25">
        <v>-3.4325960096939401</v>
      </c>
      <c r="Q143" s="25">
        <v>-11.5135599096758</v>
      </c>
      <c r="R143" s="25">
        <v>-2.8921954688323401</v>
      </c>
      <c r="S143" s="25">
        <v>-3.0327717340778499</v>
      </c>
    </row>
    <row r="144" spans="3:19">
      <c r="C144" t="s">
        <v>150</v>
      </c>
      <c r="D144" s="23" t="s">
        <v>257</v>
      </c>
      <c r="E144" s="24">
        <v>1363.4530099999999</v>
      </c>
      <c r="F144" s="24">
        <v>2231.7548299999999</v>
      </c>
      <c r="G144" s="24">
        <v>3431.55602</v>
      </c>
      <c r="H144" s="24">
        <v>3500.5210299999999</v>
      </c>
      <c r="I144" s="24">
        <v>7100.2005303410697</v>
      </c>
      <c r="J144" s="24">
        <v>7095.1655303410698</v>
      </c>
      <c r="K144" s="24">
        <v>6894.2927803410703</v>
      </c>
      <c r="L144" s="24">
        <v>6749.0615303410696</v>
      </c>
      <c r="M144" s="24">
        <v>7261.4793993421299</v>
      </c>
      <c r="N144" s="24">
        <v>7326.3943117653798</v>
      </c>
      <c r="O144" s="24">
        <v>6585.6729401993098</v>
      </c>
      <c r="P144" s="25">
        <v>9.6693051405959203</v>
      </c>
      <c r="Q144" s="25">
        <v>7.5419611707538996</v>
      </c>
      <c r="R144" s="25">
        <v>-0.29385830180114197</v>
      </c>
      <c r="S144" s="25">
        <v>-0.22872509056500701</v>
      </c>
    </row>
    <row r="145" spans="3:19">
      <c r="D145" s="23" t="s">
        <v>258</v>
      </c>
      <c r="E145" s="24">
        <v>0</v>
      </c>
      <c r="F145" s="24">
        <v>0</v>
      </c>
      <c r="G145" s="24">
        <v>0</v>
      </c>
      <c r="H145" s="24">
        <v>0.79200000000000004</v>
      </c>
      <c r="I145" s="24">
        <v>0.79200000000000004</v>
      </c>
      <c r="J145" s="24">
        <v>0.79200000000000004</v>
      </c>
      <c r="K145" s="24">
        <v>0.79200000000000004</v>
      </c>
      <c r="L145" s="24">
        <v>0.79200000000000004</v>
      </c>
      <c r="M145" s="24">
        <v>0.79200000000000004</v>
      </c>
      <c r="N145" s="24">
        <v>0.79200000000000004</v>
      </c>
      <c r="O145" s="24">
        <v>0.79200000000000004</v>
      </c>
      <c r="P145" s="25">
        <v>0</v>
      </c>
      <c r="Q145" s="25">
        <v>0</v>
      </c>
      <c r="R145" s="25">
        <v>0</v>
      </c>
      <c r="S145" s="25">
        <v>0</v>
      </c>
    </row>
    <row r="146" spans="3:19">
      <c r="C146" t="s">
        <v>65</v>
      </c>
      <c r="D146" s="23" t="s">
        <v>259</v>
      </c>
      <c r="E146" s="24">
        <v>0</v>
      </c>
      <c r="F146" s="24">
        <v>0</v>
      </c>
      <c r="G146" s="24">
        <v>8</v>
      </c>
      <c r="H146" s="24">
        <v>24</v>
      </c>
      <c r="I146" s="24">
        <v>170.262264109867</v>
      </c>
      <c r="J146" s="24">
        <v>170.262264109867</v>
      </c>
      <c r="K146" s="24">
        <v>170.262264109867</v>
      </c>
      <c r="L146" s="24">
        <v>170.262264109867</v>
      </c>
      <c r="M146" s="24">
        <v>170.262264109867</v>
      </c>
      <c r="N146" s="24">
        <v>170.262264109867</v>
      </c>
      <c r="O146" s="24">
        <v>170.262264109867</v>
      </c>
      <c r="P146" s="25">
        <v>0</v>
      </c>
      <c r="Q146" s="25">
        <v>35.769694794840497</v>
      </c>
      <c r="R146" s="25">
        <v>0</v>
      </c>
      <c r="S146" s="25">
        <v>0</v>
      </c>
    </row>
    <row r="147" spans="3:19">
      <c r="D147" s="84" t="s">
        <v>260</v>
      </c>
      <c r="E147" s="85">
        <v>53.329925036255503</v>
      </c>
      <c r="F147" s="85">
        <v>53.0448492052316</v>
      </c>
      <c r="G147" s="85">
        <v>43.455561239539598</v>
      </c>
      <c r="H147" s="85">
        <v>36.778522659016502</v>
      </c>
      <c r="I147" s="85">
        <v>31.220572784032399</v>
      </c>
      <c r="J147" s="85">
        <v>32.754881617217002</v>
      </c>
      <c r="K147" s="85">
        <v>31.8064063758804</v>
      </c>
      <c r="L147" s="85">
        <v>31.867741511152101</v>
      </c>
      <c r="M147" s="85">
        <v>31.596485893567799</v>
      </c>
      <c r="N147" s="85">
        <v>29.9937182188864</v>
      </c>
      <c r="O147" s="85">
        <v>27.731161125728999</v>
      </c>
      <c r="P147" s="25"/>
      <c r="Q147" s="25"/>
      <c r="R147" s="25"/>
      <c r="S147" s="25"/>
    </row>
    <row r="148" spans="3:19">
      <c r="D148" s="84" t="s">
        <v>261</v>
      </c>
      <c r="E148" s="78">
        <v>37.781525205855601</v>
      </c>
      <c r="F148" s="78">
        <v>38.622259228420802</v>
      </c>
      <c r="G148" s="78">
        <v>39.444023729778998</v>
      </c>
      <c r="H148" s="78">
        <v>40.542843755748301</v>
      </c>
      <c r="I148" s="78">
        <v>37.582116760361302</v>
      </c>
      <c r="J148" s="78">
        <v>39.509193602546098</v>
      </c>
      <c r="K148" s="78">
        <v>42.029191471642299</v>
      </c>
      <c r="L148" s="78">
        <v>45.595265549930303</v>
      </c>
      <c r="M148" s="78">
        <v>46.730756617485099</v>
      </c>
      <c r="N148" s="78">
        <v>48.3577850543994</v>
      </c>
      <c r="O148" s="78">
        <v>46.871583155519801</v>
      </c>
      <c r="P148" s="25"/>
      <c r="Q148" s="25"/>
      <c r="R148" s="25"/>
      <c r="S148" s="25"/>
    </row>
    <row r="149" spans="3:19">
      <c r="D149" s="84" t="s">
        <v>262</v>
      </c>
      <c r="E149" s="78">
        <v>10.6</v>
      </c>
      <c r="F149" s="78">
        <v>12.550540061260699</v>
      </c>
      <c r="G149" s="78">
        <v>13.2499785003774</v>
      </c>
      <c r="H149" s="78">
        <v>12.771521098781299</v>
      </c>
      <c r="I149" s="78">
        <v>5.8659268734707899</v>
      </c>
      <c r="J149" s="78">
        <v>13.0895021753321</v>
      </c>
      <c r="K149" s="78">
        <v>14.4051718384352</v>
      </c>
      <c r="L149" s="78">
        <v>14.3831705134138</v>
      </c>
      <c r="M149" s="78">
        <v>14.752289937406999</v>
      </c>
      <c r="N149" s="78">
        <v>15.9446188283708</v>
      </c>
      <c r="O149" s="78">
        <v>14.8430257504008</v>
      </c>
      <c r="P149" s="25"/>
      <c r="Q149" s="25"/>
      <c r="R149" s="25"/>
      <c r="S149" s="25"/>
    </row>
    <row r="150" spans="3:19">
      <c r="D150" s="84" t="s">
        <v>263</v>
      </c>
      <c r="E150" s="78">
        <v>0</v>
      </c>
      <c r="F150" s="78">
        <v>0</v>
      </c>
      <c r="G150" s="78">
        <v>0</v>
      </c>
      <c r="H150" s="78">
        <v>0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12.9663787519334</v>
      </c>
      <c r="P150" s="25"/>
      <c r="Q150" s="25"/>
      <c r="R150" s="25"/>
      <c r="S150" s="25"/>
    </row>
    <row r="151" spans="3:19">
      <c r="D151" s="84" t="s">
        <v>264</v>
      </c>
      <c r="E151" s="85">
        <v>36.845397535963698</v>
      </c>
      <c r="F151" s="85">
        <v>37.683176355959702</v>
      </c>
      <c r="G151" s="85">
        <v>40.542753314405303</v>
      </c>
      <c r="H151" s="85">
        <v>43.195788112616903</v>
      </c>
      <c r="I151" s="85">
        <v>41.677951995273403</v>
      </c>
      <c r="J151" s="85">
        <v>38.490792761425702</v>
      </c>
      <c r="K151" s="85">
        <v>43.7152393161196</v>
      </c>
      <c r="L151" s="85">
        <v>44.997103289104203</v>
      </c>
      <c r="M151" s="85">
        <v>48.413563909702603</v>
      </c>
      <c r="N151" s="85">
        <v>56.540935180416199</v>
      </c>
      <c r="O151" s="85">
        <v>59.506902853520899</v>
      </c>
      <c r="P151" s="25"/>
      <c r="Q151" s="25"/>
      <c r="R151" s="25"/>
      <c r="S151" s="25"/>
    </row>
    <row r="152" spans="3:19">
      <c r="D152" s="57" t="s">
        <v>265</v>
      </c>
      <c r="E152" s="50">
        <v>84561.7</v>
      </c>
      <c r="F152" s="50">
        <v>90075</v>
      </c>
      <c r="G152" s="50">
        <v>90586.6</v>
      </c>
      <c r="H152" s="50">
        <v>90285.771687842804</v>
      </c>
      <c r="I152" s="50">
        <v>87947.437420533795</v>
      </c>
      <c r="J152" s="50">
        <v>90507.629156468902</v>
      </c>
      <c r="K152" s="50">
        <v>81474.3967058571</v>
      </c>
      <c r="L152" s="50">
        <v>74474.556545763204</v>
      </c>
      <c r="M152" s="50">
        <v>71298.040342897293</v>
      </c>
      <c r="N152" s="50">
        <v>61492.949136290699</v>
      </c>
      <c r="O152" s="50">
        <v>61988.428878890103</v>
      </c>
      <c r="P152" s="25">
        <v>0.69062241129986801</v>
      </c>
      <c r="Q152" s="25">
        <v>-0.29523298033363699</v>
      </c>
      <c r="R152" s="25">
        <v>-0.76159023179695995</v>
      </c>
      <c r="S152" s="25">
        <v>-1.35740840098868</v>
      </c>
    </row>
    <row r="153" spans="3:19">
      <c r="D153" s="23" t="s">
        <v>181</v>
      </c>
      <c r="E153" s="24">
        <v>67100.899999999994</v>
      </c>
      <c r="F153" s="24">
        <v>65740</v>
      </c>
      <c r="G153" s="24">
        <v>59686.6</v>
      </c>
      <c r="H153" s="24">
        <v>61356.333522063498</v>
      </c>
      <c r="I153" s="24">
        <v>60916.110173843699</v>
      </c>
      <c r="J153" s="24">
        <v>59241.846280406899</v>
      </c>
      <c r="K153" s="24">
        <v>50468.754096790202</v>
      </c>
      <c r="L153" s="24">
        <v>38487.9173321946</v>
      </c>
      <c r="M153" s="24">
        <v>33752.8098296268</v>
      </c>
      <c r="N153" s="24">
        <v>24145.494174957501</v>
      </c>
      <c r="O153" s="24">
        <v>29176.2738046788</v>
      </c>
      <c r="P153" s="25">
        <v>-1.1640708237720701</v>
      </c>
      <c r="Q153" s="25">
        <v>0.20410937030137499</v>
      </c>
      <c r="R153" s="25">
        <v>-1.8638441402685699</v>
      </c>
      <c r="S153" s="25">
        <v>-2.7027955837347801</v>
      </c>
    </row>
    <row r="154" spans="3:19">
      <c r="D154" s="23" t="s">
        <v>236</v>
      </c>
      <c r="E154" s="24">
        <v>1411.4</v>
      </c>
      <c r="F154" s="24">
        <v>1426.9</v>
      </c>
      <c r="G154" s="24">
        <v>855.4</v>
      </c>
      <c r="H154" s="24">
        <v>236.047329107206</v>
      </c>
      <c r="I154" s="24">
        <v>311.04291515142103</v>
      </c>
      <c r="J154" s="24">
        <v>646.92374722348802</v>
      </c>
      <c r="K154" s="24">
        <v>990.44300786274698</v>
      </c>
      <c r="L154" s="24">
        <v>1088.27309126159</v>
      </c>
      <c r="M154" s="24">
        <v>1180.0824925019101</v>
      </c>
      <c r="N154" s="24">
        <v>1157.73184045365</v>
      </c>
      <c r="O154" s="24">
        <v>170.63900485936901</v>
      </c>
      <c r="P154" s="25">
        <v>-4.8843646400840299</v>
      </c>
      <c r="Q154" s="25">
        <v>-9.6215046539897706</v>
      </c>
      <c r="R154" s="25">
        <v>12.2796157467436</v>
      </c>
      <c r="S154" s="25">
        <v>-8.4175113172892804</v>
      </c>
    </row>
    <row r="155" spans="3:19">
      <c r="D155" s="23" t="s">
        <v>239</v>
      </c>
      <c r="E155" s="24">
        <v>12891.1</v>
      </c>
      <c r="F155" s="24">
        <v>17807.8</v>
      </c>
      <c r="G155" s="24">
        <v>19954.5</v>
      </c>
      <c r="H155" s="24">
        <v>16545.688651265598</v>
      </c>
      <c r="I155" s="24">
        <v>12825.972405979999</v>
      </c>
      <c r="J155" s="24">
        <v>17713.689044705501</v>
      </c>
      <c r="K155" s="24">
        <v>17934.253656637</v>
      </c>
      <c r="L155" s="24">
        <v>22708.961300838</v>
      </c>
      <c r="M155" s="24">
        <v>22882.0074971992</v>
      </c>
      <c r="N155" s="24">
        <v>22122.635487585201</v>
      </c>
      <c r="O155" s="24">
        <v>18294.874853650799</v>
      </c>
      <c r="P155" s="25">
        <v>4.4660291960020801</v>
      </c>
      <c r="Q155" s="25">
        <v>-4.3235737213393</v>
      </c>
      <c r="R155" s="25">
        <v>3.4092291322697101</v>
      </c>
      <c r="S155" s="25">
        <v>9.9591868070136896E-2</v>
      </c>
    </row>
    <row r="156" spans="3:19">
      <c r="D156" s="23" t="s">
        <v>206</v>
      </c>
      <c r="E156" s="24">
        <v>3158.3</v>
      </c>
      <c r="F156" s="24">
        <v>5100.2</v>
      </c>
      <c r="G156" s="24">
        <v>10066.299999999999</v>
      </c>
      <c r="H156" s="24">
        <v>12030.1780254066</v>
      </c>
      <c r="I156" s="24">
        <v>13060.5648601749</v>
      </c>
      <c r="J156" s="24">
        <v>12071.423018749199</v>
      </c>
      <c r="K156" s="24">
        <v>11247.198879183399</v>
      </c>
      <c r="L156" s="24">
        <v>11355.6577560853</v>
      </c>
      <c r="M156" s="24">
        <v>12649.393458185599</v>
      </c>
      <c r="N156" s="24">
        <v>13233.3405679105</v>
      </c>
      <c r="O156" s="24">
        <v>13512.894150317399</v>
      </c>
      <c r="P156" s="25">
        <v>12.2901466181566</v>
      </c>
      <c r="Q156" s="25">
        <v>2.6382430201692402</v>
      </c>
      <c r="R156" s="25">
        <v>-1.4836662312872499</v>
      </c>
      <c r="S156" s="25">
        <v>0.92184931047267804</v>
      </c>
    </row>
    <row r="157" spans="3:19">
      <c r="D157" s="63" t="s">
        <v>259</v>
      </c>
      <c r="E157" s="24">
        <v>0</v>
      </c>
      <c r="F157" s="24">
        <v>0.1</v>
      </c>
      <c r="G157" s="24">
        <v>23.8</v>
      </c>
      <c r="H157" s="24">
        <v>117.52415999999999</v>
      </c>
      <c r="I157" s="24">
        <v>833.74706538376199</v>
      </c>
      <c r="J157" s="24">
        <v>833.74706538376199</v>
      </c>
      <c r="K157" s="24">
        <v>833.74706538376199</v>
      </c>
      <c r="L157" s="24">
        <v>833.74706538376199</v>
      </c>
      <c r="M157" s="24">
        <v>833.74706538376199</v>
      </c>
      <c r="N157" s="24">
        <v>833.74706538376199</v>
      </c>
      <c r="O157" s="24">
        <v>833.74706538376199</v>
      </c>
      <c r="P157" s="25">
        <v>0</v>
      </c>
      <c r="Q157" s="25">
        <v>42.707151044838099</v>
      </c>
      <c r="R157" s="25">
        <v>0</v>
      </c>
      <c r="S157" s="25">
        <v>0</v>
      </c>
    </row>
    <row r="158" spans="3:19">
      <c r="D158" s="63" t="s">
        <v>266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5">
        <v>0</v>
      </c>
      <c r="Q158" s="25">
        <v>0</v>
      </c>
      <c r="R158" s="25">
        <v>0</v>
      </c>
      <c r="S158" s="25">
        <v>0</v>
      </c>
    </row>
    <row r="159" spans="3:19">
      <c r="D159" s="57" t="s">
        <v>267</v>
      </c>
      <c r="E159" s="50">
        <v>180303.7</v>
      </c>
      <c r="F159" s="50">
        <v>187908.4</v>
      </c>
      <c r="G159" s="50">
        <v>163047.79999999999</v>
      </c>
      <c r="H159" s="50">
        <v>142875.42864835699</v>
      </c>
      <c r="I159" s="50">
        <v>120434.46890896899</v>
      </c>
      <c r="J159" s="50">
        <v>109626.568177301</v>
      </c>
      <c r="K159" s="50">
        <v>104290.052245864</v>
      </c>
      <c r="L159" s="50">
        <v>101514.82970436</v>
      </c>
      <c r="M159" s="50">
        <v>100163.79265357</v>
      </c>
      <c r="N159" s="50">
        <v>100474.41060051799</v>
      </c>
      <c r="O159" s="50">
        <v>98103.608989752902</v>
      </c>
      <c r="P159" s="25">
        <v>-1.00094924176573</v>
      </c>
      <c r="Q159" s="25">
        <v>-2.98395056541478</v>
      </c>
      <c r="R159" s="25">
        <v>-1.42898959627735</v>
      </c>
      <c r="S159" s="25">
        <v>-0.30529216441580498</v>
      </c>
    </row>
    <row r="160" spans="3:19">
      <c r="D160" s="63" t="s">
        <v>268</v>
      </c>
      <c r="E160" s="24">
        <v>119419.5</v>
      </c>
      <c r="F160" s="24">
        <v>125092.3</v>
      </c>
      <c r="G160" s="24">
        <v>103238.3</v>
      </c>
      <c r="H160" s="24">
        <v>98874.706232340002</v>
      </c>
      <c r="I160" s="24">
        <v>92807.370083630303</v>
      </c>
      <c r="J160" s="24">
        <v>90518.888117808805</v>
      </c>
      <c r="K160" s="24">
        <v>86597.578388716807</v>
      </c>
      <c r="L160" s="24">
        <v>84493.799642806902</v>
      </c>
      <c r="M160" s="24">
        <v>82559.822699422701</v>
      </c>
      <c r="N160" s="24">
        <v>81610.693779808906</v>
      </c>
      <c r="O160" s="24">
        <v>79703.456167612094</v>
      </c>
      <c r="P160" s="25">
        <v>-1.44547716160688</v>
      </c>
      <c r="Q160" s="25">
        <v>-1.0594860122949199</v>
      </c>
      <c r="R160" s="25">
        <v>-0.69014949040030504</v>
      </c>
      <c r="S160" s="25">
        <v>-0.413935427934575</v>
      </c>
    </row>
    <row r="161" spans="4:19">
      <c r="D161" s="63" t="s">
        <v>269</v>
      </c>
      <c r="E161" s="24">
        <v>236.5</v>
      </c>
      <c r="F161" s="24">
        <v>1858.8</v>
      </c>
      <c r="G161" s="24">
        <v>2884.2</v>
      </c>
      <c r="H161" s="24">
        <v>3010.8234472511399</v>
      </c>
      <c r="I161" s="24">
        <v>2848.1389924776099</v>
      </c>
      <c r="J161" s="24">
        <v>2802.2306587022699</v>
      </c>
      <c r="K161" s="24">
        <v>2826.7895877537499</v>
      </c>
      <c r="L161" s="24">
        <v>2952.4955685385298</v>
      </c>
      <c r="M161" s="24">
        <v>3208.70912791417</v>
      </c>
      <c r="N161" s="24">
        <v>3464.8263498180099</v>
      </c>
      <c r="O161" s="24">
        <v>3682.0635909349598</v>
      </c>
      <c r="P161" s="25">
        <v>28.4160841796927</v>
      </c>
      <c r="Q161" s="25">
        <v>-0.12573857521065401</v>
      </c>
      <c r="R161" s="25">
        <v>-7.5213195420620299E-2</v>
      </c>
      <c r="S161" s="25">
        <v>1.3304310463456701</v>
      </c>
    </row>
    <row r="162" spans="4:19">
      <c r="D162" s="63" t="s">
        <v>270</v>
      </c>
      <c r="E162" s="24">
        <v>1197.5999999999999</v>
      </c>
      <c r="F162" s="24">
        <v>3942.1</v>
      </c>
      <c r="G162" s="24">
        <v>4754</v>
      </c>
      <c r="H162" s="24">
        <v>4043.2357029436498</v>
      </c>
      <c r="I162" s="24">
        <v>3530.2936925559102</v>
      </c>
      <c r="J162" s="24">
        <v>3405.94406853496</v>
      </c>
      <c r="K162" s="24">
        <v>3292.82326821375</v>
      </c>
      <c r="L162" s="24">
        <v>3551.2394690921601</v>
      </c>
      <c r="M162" s="24">
        <v>5872.3509707417197</v>
      </c>
      <c r="N162" s="24">
        <v>7556.3320738976299</v>
      </c>
      <c r="O162" s="24">
        <v>7314.2071189423896</v>
      </c>
      <c r="P162" s="25">
        <v>14.782251407601599</v>
      </c>
      <c r="Q162" s="25">
        <v>-2.9322046267632098</v>
      </c>
      <c r="R162" s="25">
        <v>-0.69393838525832996</v>
      </c>
      <c r="S162" s="25">
        <v>4.0710512747511398</v>
      </c>
    </row>
    <row r="163" spans="4:19">
      <c r="D163" s="63" t="s">
        <v>271</v>
      </c>
      <c r="E163" s="24">
        <v>59450.1</v>
      </c>
      <c r="F163" s="24">
        <v>57015.199999999997</v>
      </c>
      <c r="G163" s="24">
        <v>52171.3</v>
      </c>
      <c r="H163" s="24">
        <v>36946.663265822397</v>
      </c>
      <c r="I163" s="24">
        <v>21248.666140304998</v>
      </c>
      <c r="J163" s="24">
        <v>12899.505332254699</v>
      </c>
      <c r="K163" s="24">
        <v>11572.861001179201</v>
      </c>
      <c r="L163" s="24">
        <v>10517.295023922001</v>
      </c>
      <c r="M163" s="24">
        <v>8522.9098554912598</v>
      </c>
      <c r="N163" s="24">
        <v>7842.5583969933004</v>
      </c>
      <c r="O163" s="24">
        <v>7403.8821122634899</v>
      </c>
      <c r="P163" s="25">
        <v>-1.2975559058094699</v>
      </c>
      <c r="Q163" s="25">
        <v>-8.5907803501590791</v>
      </c>
      <c r="R163" s="25">
        <v>-5.8953884354240298</v>
      </c>
      <c r="S163" s="25">
        <v>-2.2085382363155399</v>
      </c>
    </row>
  </sheetData>
  <mergeCells count="15">
    <mergeCell ref="P85:S85"/>
    <mergeCell ref="V85:V86"/>
    <mergeCell ref="W85:W86"/>
    <mergeCell ref="C24:C46"/>
    <mergeCell ref="C53:C67"/>
    <mergeCell ref="C69:C73"/>
    <mergeCell ref="X84:AA84"/>
    <mergeCell ref="AB84:AE84"/>
    <mergeCell ref="AB123:AE123"/>
    <mergeCell ref="V110:AE110"/>
    <mergeCell ref="V112:AE112"/>
    <mergeCell ref="W115:AA115"/>
    <mergeCell ref="AB115:AE115"/>
    <mergeCell ref="V117:AE117"/>
    <mergeCell ref="V122:AE12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65"/>
  <sheetViews>
    <sheetView topLeftCell="A25" zoomScaleNormal="100" workbookViewId="0">
      <selection activeCell="F50" sqref="F50"/>
    </sheetView>
  </sheetViews>
  <sheetFormatPr defaultRowHeight="14.25"/>
  <cols>
    <col min="1" max="36" width="10.625" customWidth="1"/>
  </cols>
  <sheetData>
    <row r="1" spans="2:27">
      <c r="C1" t="s">
        <v>126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2:27" ht="15">
      <c r="B2" t="s">
        <v>95</v>
      </c>
      <c r="C2" s="1">
        <f>INDEX($R$4:$R$17,MATCH(B2,$N$4:$N$17,0))</f>
        <v>63130</v>
      </c>
      <c r="D2" s="31">
        <f t="shared" ref="D2:K4" si="0">INDEX($E$31:$L$57,MATCH($B2,$D$31:$D$57,0),MATCH(D$1,$E$30:$L$30,0))</f>
        <v>63246.720000000001</v>
      </c>
      <c r="E2" s="31">
        <f t="shared" si="0"/>
        <v>61326.720000000001</v>
      </c>
      <c r="F2" s="31">
        <f t="shared" si="0"/>
        <v>59493.120000000003</v>
      </c>
      <c r="G2" s="31">
        <f t="shared" si="0"/>
        <v>59493.120000000003</v>
      </c>
      <c r="H2" s="31">
        <f t="shared" si="0"/>
        <v>56330.16</v>
      </c>
      <c r="I2" s="31">
        <f t="shared" si="0"/>
        <v>42452.160000000003</v>
      </c>
      <c r="J2" s="31">
        <f t="shared" si="0"/>
        <v>39118.559999999998</v>
      </c>
      <c r="K2" s="31">
        <f t="shared" si="0"/>
        <v>32276.400000000001</v>
      </c>
      <c r="Z2" s="199"/>
    </row>
    <row r="3" spans="2:27">
      <c r="B3" t="s">
        <v>105</v>
      </c>
      <c r="C3" s="1">
        <f>INDEX($R$4:$R$17,MATCH(B3,$N$4:$N$17,0))</f>
        <v>6196.2</v>
      </c>
      <c r="D3" s="31">
        <f t="shared" si="0"/>
        <v>6100.17</v>
      </c>
      <c r="E3" s="31">
        <f t="shared" si="0"/>
        <v>20535.284350296701</v>
      </c>
      <c r="F3" s="31">
        <f t="shared" si="0"/>
        <v>24531.672330268499</v>
      </c>
      <c r="G3" s="31">
        <f t="shared" si="0"/>
        <v>25381.672330268499</v>
      </c>
      <c r="H3" s="31">
        <f t="shared" si="0"/>
        <v>25731.672330268499</v>
      </c>
      <c r="I3" s="31">
        <f t="shared" si="0"/>
        <v>31850.081245220499</v>
      </c>
      <c r="J3" s="31">
        <f t="shared" si="0"/>
        <v>35312.334179876503</v>
      </c>
      <c r="K3" s="31">
        <f t="shared" si="0"/>
        <v>45200.004896947001</v>
      </c>
      <c r="M3" t="s">
        <v>127</v>
      </c>
      <c r="N3" t="s">
        <v>128</v>
      </c>
      <c r="O3" t="s">
        <v>33</v>
      </c>
      <c r="P3" t="s">
        <v>32</v>
      </c>
      <c r="Q3" t="s">
        <v>8</v>
      </c>
      <c r="R3" t="s">
        <v>51</v>
      </c>
      <c r="S3" t="s">
        <v>129</v>
      </c>
      <c r="AA3" s="200"/>
    </row>
    <row r="4" spans="2:27">
      <c r="B4" t="s">
        <v>120</v>
      </c>
      <c r="C4" s="1">
        <f>INDEX($R$4:$R$17,MATCH(B4,$N$4:$N$17,0))</f>
        <v>10324.5</v>
      </c>
      <c r="D4" s="31">
        <f t="shared" si="0"/>
        <v>10358.200000000001</v>
      </c>
      <c r="E4" s="31">
        <f t="shared" si="0"/>
        <v>20469.963322958636</v>
      </c>
      <c r="F4" s="31">
        <f t="shared" si="0"/>
        <v>20979.281158932474</v>
      </c>
      <c r="G4" s="31">
        <f t="shared" si="0"/>
        <v>22914.911888970058</v>
      </c>
      <c r="H4" s="31">
        <f t="shared" si="0"/>
        <v>22914.911888970058</v>
      </c>
      <c r="I4" s="31">
        <f t="shared" si="0"/>
        <v>27463.543853365696</v>
      </c>
      <c r="J4" s="31">
        <f t="shared" si="0"/>
        <v>31903.122328619804</v>
      </c>
      <c r="K4" s="31">
        <f t="shared" si="0"/>
        <v>42870.423406673093</v>
      </c>
      <c r="M4" t="s">
        <v>57</v>
      </c>
      <c r="N4" t="s">
        <v>55</v>
      </c>
      <c r="O4" t="s">
        <v>11</v>
      </c>
      <c r="P4" t="s">
        <v>16</v>
      </c>
      <c r="Q4">
        <v>7964700</v>
      </c>
      <c r="R4">
        <v>922.97180000000003</v>
      </c>
      <c r="S4">
        <v>8629.4077457187705</v>
      </c>
      <c r="AA4" s="200"/>
    </row>
    <row r="5" spans="2:27">
      <c r="C5" s="1"/>
      <c r="M5" t="s">
        <v>71</v>
      </c>
      <c r="N5" t="s">
        <v>70</v>
      </c>
      <c r="O5" t="s">
        <v>18</v>
      </c>
      <c r="P5" t="s">
        <v>16</v>
      </c>
      <c r="Q5">
        <v>8600000</v>
      </c>
      <c r="R5">
        <v>3007</v>
      </c>
      <c r="S5">
        <v>2859.9933488526799</v>
      </c>
      <c r="AA5" s="200"/>
    </row>
    <row r="6" spans="2:27">
      <c r="B6" t="s">
        <v>80</v>
      </c>
      <c r="C6" s="1">
        <f>INDEX($R$4:$R$17,MATCH(B6,$N$4:$N$17,0))</f>
        <v>10322.333333</v>
      </c>
      <c r="D6" s="31">
        <f t="shared" ref="D6:K8" si="1">INDEX($E$31:$L$57,MATCH($B6,$D$31:$D$57,0),MATCH(D$1,$E$30:$L$30,0))</f>
        <v>10381.042848444713</v>
      </c>
      <c r="E6" s="31">
        <f t="shared" si="1"/>
        <v>10381.052550638075</v>
      </c>
      <c r="F6" s="31">
        <f t="shared" si="1"/>
        <v>10381.052550638075</v>
      </c>
      <c r="G6" s="31">
        <f t="shared" si="1"/>
        <v>10381.052550638075</v>
      </c>
      <c r="H6" s="31">
        <f t="shared" si="1"/>
        <v>10518.100080352559</v>
      </c>
      <c r="I6" s="31">
        <f t="shared" si="1"/>
        <v>10884.129152471993</v>
      </c>
      <c r="J6" s="31">
        <f t="shared" si="1"/>
        <v>11271.393841983194</v>
      </c>
      <c r="K6" s="31">
        <f t="shared" si="1"/>
        <v>11665.450795641442</v>
      </c>
      <c r="M6" t="s">
        <v>101</v>
      </c>
      <c r="N6" t="s">
        <v>100</v>
      </c>
      <c r="O6" t="s">
        <v>20</v>
      </c>
      <c r="P6" t="s">
        <v>16</v>
      </c>
      <c r="Q6">
        <v>3800000</v>
      </c>
      <c r="R6">
        <v>8496.5</v>
      </c>
      <c r="S6">
        <v>447.24298240451998</v>
      </c>
      <c r="AA6" s="200"/>
    </row>
    <row r="7" spans="2:27">
      <c r="B7" t="s">
        <v>75</v>
      </c>
      <c r="C7" s="1">
        <f>INDEX($R$4:$R$17,MATCH(B7,$N$4:$N$17,0))</f>
        <v>8214</v>
      </c>
      <c r="D7" s="31">
        <f t="shared" si="1"/>
        <v>8260.7181154014052</v>
      </c>
      <c r="E7" s="31">
        <f t="shared" si="1"/>
        <v>8260.7258359248281</v>
      </c>
      <c r="F7" s="31">
        <f t="shared" si="1"/>
        <v>8260.7258359248281</v>
      </c>
      <c r="G7" s="31">
        <f t="shared" si="1"/>
        <v>8260.7258359248281</v>
      </c>
      <c r="H7" s="31">
        <f t="shared" si="1"/>
        <v>8369.7814508482425</v>
      </c>
      <c r="I7" s="31">
        <f t="shared" si="1"/>
        <v>8661.0492002414139</v>
      </c>
      <c r="J7" s="31">
        <f t="shared" si="1"/>
        <v>8969.2151988606929</v>
      </c>
      <c r="K7" s="31">
        <f t="shared" si="1"/>
        <v>9282.7861438137097</v>
      </c>
      <c r="M7" t="s">
        <v>63</v>
      </c>
      <c r="N7" t="s">
        <v>60</v>
      </c>
      <c r="O7" t="s">
        <v>21</v>
      </c>
      <c r="P7" t="s">
        <v>16</v>
      </c>
      <c r="Q7">
        <v>21900000</v>
      </c>
      <c r="R7">
        <v>10236</v>
      </c>
      <c r="S7">
        <v>2139.50762016413</v>
      </c>
      <c r="AA7" s="200"/>
    </row>
    <row r="8" spans="2:27">
      <c r="B8" t="s">
        <v>85</v>
      </c>
      <c r="C8" s="1">
        <f>INDEX($R$4:$R$17,MATCH(B8,$N$4:$N$17,0))</f>
        <v>4965</v>
      </c>
      <c r="D8" s="31">
        <f t="shared" si="1"/>
        <v>4993.239036153881</v>
      </c>
      <c r="E8" s="31">
        <f t="shared" si="1"/>
        <v>4993.2437028690974</v>
      </c>
      <c r="F8" s="31">
        <f t="shared" si="1"/>
        <v>4993.2437028690974</v>
      </c>
      <c r="G8" s="31">
        <f t="shared" si="1"/>
        <v>4993.2437028690974</v>
      </c>
      <c r="H8" s="31">
        <f t="shared" si="1"/>
        <v>5059.1630026127978</v>
      </c>
      <c r="I8" s="31">
        <f t="shared" si="1"/>
        <v>5235.2214851714898</v>
      </c>
      <c r="J8" s="31">
        <f t="shared" si="1"/>
        <v>5421.494212605714</v>
      </c>
      <c r="K8" s="31">
        <f t="shared" si="1"/>
        <v>5611.0339912387471</v>
      </c>
      <c r="M8" t="s">
        <v>96</v>
      </c>
      <c r="N8" t="s">
        <v>95</v>
      </c>
      <c r="O8" t="s">
        <v>22</v>
      </c>
      <c r="P8" t="s">
        <v>16</v>
      </c>
      <c r="Q8">
        <v>416795000</v>
      </c>
      <c r="R8">
        <v>63130</v>
      </c>
      <c r="S8">
        <v>6602.1701251386003</v>
      </c>
      <c r="AA8" s="200"/>
    </row>
    <row r="9" spans="2:27">
      <c r="C9" s="1"/>
      <c r="D9" s="1"/>
      <c r="E9" s="1"/>
      <c r="F9" s="1"/>
      <c r="G9" s="1"/>
      <c r="H9" s="1"/>
      <c r="I9" s="1"/>
      <c r="J9" s="1"/>
      <c r="K9" s="1"/>
      <c r="M9" t="s">
        <v>107</v>
      </c>
      <c r="N9" t="s">
        <v>105</v>
      </c>
      <c r="O9" t="s">
        <v>131</v>
      </c>
      <c r="P9" t="s">
        <v>16</v>
      </c>
      <c r="Q9">
        <v>7262000</v>
      </c>
      <c r="R9">
        <v>6196.2</v>
      </c>
      <c r="S9">
        <v>1172.00865046319</v>
      </c>
      <c r="AA9" s="200"/>
    </row>
    <row r="10" spans="2:27">
      <c r="B10" t="s">
        <v>60</v>
      </c>
      <c r="C10" s="1">
        <f>INDEX($R$4:$R$17,MATCH(B10,$N$4:$N$17,0))</f>
        <v>10236</v>
      </c>
      <c r="D10" s="31">
        <f t="shared" ref="D10:K12" si="2">INDEX($E$31:$L$57,MATCH($B10,$D$31:$D$57,0),MATCH(D$1,$E$30:$L$30,0))</f>
        <v>9646.1954399999995</v>
      </c>
      <c r="E10" s="31">
        <f t="shared" si="2"/>
        <v>9180.9182541502105</v>
      </c>
      <c r="F10" s="31">
        <f t="shared" si="2"/>
        <v>8902.3027766084197</v>
      </c>
      <c r="G10" s="31">
        <f t="shared" si="2"/>
        <v>8343.6593825100408</v>
      </c>
      <c r="H10" s="31">
        <f t="shared" si="2"/>
        <v>8343.6593825100408</v>
      </c>
      <c r="I10" s="31">
        <f t="shared" si="2"/>
        <v>8343.6593825100408</v>
      </c>
      <c r="J10" s="31">
        <f t="shared" si="2"/>
        <v>8343.6593825100408</v>
      </c>
      <c r="K10" s="31">
        <f t="shared" si="2"/>
        <v>8343.6593825100408</v>
      </c>
      <c r="M10" t="s">
        <v>89</v>
      </c>
      <c r="N10" t="s">
        <v>85</v>
      </c>
      <c r="O10" t="s">
        <v>132</v>
      </c>
      <c r="P10" t="s">
        <v>16</v>
      </c>
      <c r="Q10">
        <v>4896000</v>
      </c>
      <c r="R10">
        <v>4965</v>
      </c>
      <c r="S10">
        <v>986.10271903323303</v>
      </c>
      <c r="AA10" s="200"/>
    </row>
    <row r="11" spans="2:27">
      <c r="B11" t="s">
        <v>441</v>
      </c>
      <c r="C11" s="1"/>
      <c r="D11" s="31">
        <f t="shared" si="2"/>
        <v>0</v>
      </c>
      <c r="E11" s="31">
        <f t="shared" si="2"/>
        <v>0</v>
      </c>
      <c r="F11" s="31">
        <f t="shared" si="2"/>
        <v>0</v>
      </c>
      <c r="G11" s="31">
        <f t="shared" si="2"/>
        <v>0</v>
      </c>
      <c r="H11" s="31">
        <f t="shared" si="2"/>
        <v>4923.6136319191592</v>
      </c>
      <c r="I11" s="31">
        <f t="shared" si="2"/>
        <v>14849.69255299066</v>
      </c>
      <c r="J11" s="31">
        <f t="shared" si="2"/>
        <v>18916.099536294561</v>
      </c>
      <c r="K11" s="31">
        <f t="shared" si="2"/>
        <v>26580.733478190159</v>
      </c>
      <c r="M11" t="s">
        <v>77</v>
      </c>
      <c r="N11" t="s">
        <v>75</v>
      </c>
      <c r="O11" t="s">
        <v>25</v>
      </c>
      <c r="P11" t="s">
        <v>16</v>
      </c>
      <c r="Q11">
        <v>16337343.5789703</v>
      </c>
      <c r="R11">
        <v>8214</v>
      </c>
      <c r="S11">
        <v>1988.9631822461999</v>
      </c>
      <c r="AA11" s="200"/>
    </row>
    <row r="12" spans="2:27">
      <c r="B12" t="s">
        <v>100</v>
      </c>
      <c r="C12" s="1">
        <f>INDEX($R$4:$R$17,MATCH(B12,$N$4:$N$17,0))</f>
        <v>8496.5</v>
      </c>
      <c r="D12" s="31">
        <f t="shared" si="2"/>
        <v>7692.8021099999996</v>
      </c>
      <c r="E12" s="31">
        <f t="shared" si="2"/>
        <v>5008.3338227870099</v>
      </c>
      <c r="F12" s="31">
        <f t="shared" si="2"/>
        <v>1849.26455278701</v>
      </c>
      <c r="G12" s="31">
        <f t="shared" si="2"/>
        <v>1678.6422027870001</v>
      </c>
      <c r="H12" s="31">
        <f t="shared" si="2"/>
        <v>799.20989999999995</v>
      </c>
      <c r="I12" s="31">
        <f t="shared" si="2"/>
        <v>708.27380000000005</v>
      </c>
      <c r="J12" s="31">
        <f t="shared" si="2"/>
        <v>693.75</v>
      </c>
      <c r="K12" s="31">
        <f t="shared" si="2"/>
        <v>625.02200000000005</v>
      </c>
      <c r="M12" t="s">
        <v>83</v>
      </c>
      <c r="N12" t="s">
        <v>80</v>
      </c>
      <c r="O12" t="s">
        <v>26</v>
      </c>
      <c r="P12" t="s">
        <v>16</v>
      </c>
      <c r="Q12">
        <v>42336656.421029702</v>
      </c>
      <c r="R12">
        <v>10322.333333</v>
      </c>
      <c r="S12">
        <v>4101.4618551099702</v>
      </c>
      <c r="AA12" s="200"/>
    </row>
    <row r="13" spans="2:27">
      <c r="B13" t="s">
        <v>55</v>
      </c>
      <c r="C13" s="1">
        <f>INDEX($R$4:$R$17,MATCH(B13,$N$4:$N$17,0))</f>
        <v>922.97180000000003</v>
      </c>
      <c r="D13" s="86">
        <f>C13</f>
        <v>922.97180000000003</v>
      </c>
      <c r="E13" s="31">
        <f t="shared" ref="E13:K14" si="3">INDEX($E$31:$L$57,MATCH($B13,$D$31:$D$57,0),MATCH(E$1,$E$30:$L$30,0))</f>
        <v>1568.4584305942778</v>
      </c>
      <c r="F13" s="31">
        <f t="shared" si="3"/>
        <v>1786.5361861474291</v>
      </c>
      <c r="G13" s="31">
        <f t="shared" si="3"/>
        <v>1859.7369178300278</v>
      </c>
      <c r="H13" s="31">
        <f t="shared" si="3"/>
        <v>1875.663472685434</v>
      </c>
      <c r="I13" s="31">
        <f t="shared" si="3"/>
        <v>1901.4454886440619</v>
      </c>
      <c r="J13" s="31">
        <f t="shared" si="3"/>
        <v>1950.1638160508269</v>
      </c>
      <c r="K13" s="31">
        <f t="shared" si="3"/>
        <v>1970.6151429698432</v>
      </c>
      <c r="M13" t="s">
        <v>138</v>
      </c>
      <c r="N13" t="s">
        <v>134</v>
      </c>
      <c r="O13" t="s">
        <v>135</v>
      </c>
      <c r="P13" t="s">
        <v>16</v>
      </c>
      <c r="Q13">
        <v>0</v>
      </c>
      <c r="R13">
        <v>1</v>
      </c>
      <c r="S13">
        <v>0</v>
      </c>
      <c r="AA13" s="200"/>
    </row>
    <row r="14" spans="2:27">
      <c r="B14" t="s">
        <v>110</v>
      </c>
      <c r="C14" s="1">
        <f>INDEX($R$4:$R$17,MATCH(B14,$N$4:$N$17,0))</f>
        <v>779.92819999999995</v>
      </c>
      <c r="D14" s="86">
        <f>C14</f>
        <v>779.92819999999995</v>
      </c>
      <c r="E14" s="31">
        <f t="shared" si="3"/>
        <v>1325.3763121995923</v>
      </c>
      <c r="F14" s="31">
        <f t="shared" si="3"/>
        <v>1509.656039216831</v>
      </c>
      <c r="G14" s="31">
        <f t="shared" si="3"/>
        <v>1571.5120080556321</v>
      </c>
      <c r="H14" s="31">
        <f t="shared" si="3"/>
        <v>1584.9702407563259</v>
      </c>
      <c r="I14" s="31">
        <f t="shared" si="3"/>
        <v>1606.7565199243179</v>
      </c>
      <c r="J14" s="31">
        <f t="shared" si="3"/>
        <v>1647.9244054451633</v>
      </c>
      <c r="K14" s="31">
        <f t="shared" si="3"/>
        <v>1665.206154022487</v>
      </c>
      <c r="M14" t="s">
        <v>113</v>
      </c>
      <c r="N14" t="s">
        <v>110</v>
      </c>
      <c r="O14" t="s">
        <v>24</v>
      </c>
      <c r="P14" t="s">
        <v>16</v>
      </c>
      <c r="Q14">
        <v>4244000</v>
      </c>
      <c r="R14">
        <v>779.92819999999995</v>
      </c>
      <c r="S14">
        <v>5441.5265405200098</v>
      </c>
      <c r="AA14" s="200"/>
    </row>
    <row r="15" spans="2:27">
      <c r="B15" t="s">
        <v>91</v>
      </c>
      <c r="C15" s="87"/>
      <c r="D15" s="88"/>
      <c r="E15" s="88"/>
      <c r="F15" s="88"/>
      <c r="G15" s="88"/>
      <c r="H15" s="88"/>
      <c r="I15" s="88"/>
      <c r="J15" s="88"/>
      <c r="K15" s="88"/>
      <c r="O15" t="s">
        <v>140</v>
      </c>
      <c r="P15" t="s">
        <v>16</v>
      </c>
      <c r="Q15">
        <v>0</v>
      </c>
      <c r="AA15" s="200"/>
    </row>
    <row r="16" spans="2:27">
      <c r="B16" t="s">
        <v>70</v>
      </c>
      <c r="C16" s="1">
        <f>INDEX($R$4:$R$17,MATCH(B16,$N$4:$N$17,0))</f>
        <v>3007</v>
      </c>
      <c r="D16" s="31">
        <f t="shared" ref="D16:K18" si="4">INDEX($E$31:$L$57,MATCH($B16,$D$31:$D$57,0),MATCH(D$1,$E$30:$L$30,0))</f>
        <v>5384.8374999999996</v>
      </c>
      <c r="E16" s="31">
        <f t="shared" si="4"/>
        <v>3855.5255000000002</v>
      </c>
      <c r="F16" s="31">
        <f t="shared" si="4"/>
        <v>3833.5329999999999</v>
      </c>
      <c r="G16" s="31">
        <f t="shared" si="4"/>
        <v>3779.5729999999999</v>
      </c>
      <c r="H16" s="31">
        <f t="shared" si="4"/>
        <v>3479.9</v>
      </c>
      <c r="I16" s="31">
        <f t="shared" si="4"/>
        <v>2891.56</v>
      </c>
      <c r="J16" s="31">
        <f t="shared" si="4"/>
        <v>2891.56</v>
      </c>
      <c r="K16" s="31">
        <f t="shared" si="4"/>
        <v>2891.56</v>
      </c>
      <c r="M16" t="s">
        <v>122</v>
      </c>
      <c r="N16" t="s">
        <v>120</v>
      </c>
      <c r="O16" t="s">
        <v>141</v>
      </c>
      <c r="P16" t="s">
        <v>16</v>
      </c>
      <c r="Q16">
        <v>21249000</v>
      </c>
      <c r="R16">
        <v>10324.5</v>
      </c>
      <c r="S16">
        <v>2058.1141943919802</v>
      </c>
      <c r="AA16" s="200"/>
    </row>
    <row r="17" spans="2:27">
      <c r="B17" t="s">
        <v>65</v>
      </c>
      <c r="C17" s="1" t="e">
        <f>INDEX($R$4:$R$17,MATCH(B17,$N$4:$N$17,0))</f>
        <v>#N/A</v>
      </c>
      <c r="D17" s="31">
        <f t="shared" si="4"/>
        <v>2</v>
      </c>
      <c r="E17" s="31">
        <f t="shared" si="4"/>
        <v>3.1213716085118901</v>
      </c>
      <c r="F17" s="31">
        <f t="shared" si="4"/>
        <v>3.1213716085118901</v>
      </c>
      <c r="G17" s="31">
        <f t="shared" si="4"/>
        <v>3.1213716085118901</v>
      </c>
      <c r="H17" s="31">
        <f t="shared" si="4"/>
        <v>3.1213716085118901</v>
      </c>
      <c r="I17" s="31">
        <f t="shared" si="4"/>
        <v>3.1213716085118901</v>
      </c>
      <c r="J17" s="31">
        <f t="shared" si="4"/>
        <v>3.1213716085118901</v>
      </c>
      <c r="K17" s="31">
        <f t="shared" si="4"/>
        <v>3.1213716085118901</v>
      </c>
      <c r="AA17" s="200"/>
    </row>
    <row r="18" spans="2:27">
      <c r="B18" t="s">
        <v>115</v>
      </c>
      <c r="C18" s="1" t="e">
        <f>INDEX($R$4:$R$17,MATCH(B18,$N$4:$N$17,0))</f>
        <v>#N/A</v>
      </c>
      <c r="D18" s="31">
        <f t="shared" si="4"/>
        <v>0</v>
      </c>
      <c r="E18" s="31">
        <f t="shared" si="4"/>
        <v>1659.7267559155648</v>
      </c>
      <c r="F18" s="31">
        <f t="shared" si="4"/>
        <v>4150.4089199417222</v>
      </c>
      <c r="G18" s="31">
        <f t="shared" si="4"/>
        <v>7856.5412190754469</v>
      </c>
      <c r="H18" s="31">
        <f t="shared" si="4"/>
        <v>7856.5412190754469</v>
      </c>
      <c r="I18" s="31">
        <f t="shared" si="4"/>
        <v>9416.0721782968085</v>
      </c>
      <c r="J18" s="31">
        <f t="shared" si="4"/>
        <v>10938.213369812502</v>
      </c>
      <c r="K18" s="31">
        <f t="shared" si="4"/>
        <v>14698.430882287914</v>
      </c>
      <c r="AA18" s="200"/>
    </row>
    <row r="19" spans="2:27">
      <c r="AA19" s="200"/>
    </row>
    <row r="20" spans="2:27">
      <c r="AA20" s="200"/>
    </row>
    <row r="21" spans="2:27">
      <c r="AA21" s="200"/>
    </row>
    <row r="22" spans="2:27">
      <c r="AA22" s="200"/>
    </row>
    <row r="23" spans="2:27">
      <c r="AA23" s="200"/>
    </row>
    <row r="24" spans="2:27">
      <c r="AA24" s="200"/>
    </row>
    <row r="30" spans="2:27">
      <c r="E30" s="21">
        <v>2015</v>
      </c>
      <c r="F30" s="21">
        <v>2020</v>
      </c>
      <c r="G30" s="21">
        <v>2025</v>
      </c>
      <c r="H30" s="21">
        <v>2030</v>
      </c>
      <c r="I30" s="21">
        <v>2035</v>
      </c>
      <c r="J30" s="21">
        <v>2040</v>
      </c>
      <c r="K30" s="21">
        <v>2045</v>
      </c>
      <c r="L30" s="21">
        <v>2050</v>
      </c>
    </row>
    <row r="31" spans="2:27">
      <c r="C31" s="210" t="s">
        <v>144</v>
      </c>
      <c r="D31" t="s">
        <v>95</v>
      </c>
      <c r="E31" s="1">
        <f t="shared" ref="E31:L31" si="5">INDEX($E$88:$S$165,MATCH($D31,$C$88:$C$165,0),MATCH(E$30,$E$86:$S$86,0))</f>
        <v>63246.720000000001</v>
      </c>
      <c r="F31" s="1">
        <f t="shared" si="5"/>
        <v>61326.720000000001</v>
      </c>
      <c r="G31" s="1">
        <f t="shared" si="5"/>
        <v>59493.120000000003</v>
      </c>
      <c r="H31" s="1">
        <f t="shared" si="5"/>
        <v>59493.120000000003</v>
      </c>
      <c r="I31" s="1">
        <f t="shared" si="5"/>
        <v>56330.16</v>
      </c>
      <c r="J31" s="1">
        <f t="shared" si="5"/>
        <v>42452.160000000003</v>
      </c>
      <c r="K31" s="1">
        <f t="shared" si="5"/>
        <v>39118.559999999998</v>
      </c>
      <c r="L31" s="1">
        <f t="shared" si="5"/>
        <v>32276.400000000001</v>
      </c>
    </row>
    <row r="32" spans="2:27">
      <c r="C32" s="210"/>
      <c r="E32" s="1"/>
      <c r="F32" s="1"/>
      <c r="G32" s="1"/>
      <c r="H32" s="1"/>
      <c r="I32" s="1"/>
      <c r="J32" s="1"/>
      <c r="K32" s="1"/>
      <c r="L32" s="1"/>
    </row>
    <row r="33" spans="3:12">
      <c r="C33" s="210"/>
      <c r="D33" t="s">
        <v>145</v>
      </c>
      <c r="E33" s="1">
        <f t="shared" ref="E33:L35" si="6">INDEX($E$88:$S$165,MATCH($D33,$C$88:$C$165,0),MATCH(E$30,$E$86:$S$86,0))</f>
        <v>23635</v>
      </c>
      <c r="F33" s="1">
        <f t="shared" si="6"/>
        <v>23635.022089432001</v>
      </c>
      <c r="G33" s="1">
        <f t="shared" si="6"/>
        <v>23635.022089432001</v>
      </c>
      <c r="H33" s="1">
        <f t="shared" si="6"/>
        <v>23635.022089432001</v>
      </c>
      <c r="I33" s="1">
        <f t="shared" si="6"/>
        <v>23947.044533813601</v>
      </c>
      <c r="J33" s="1">
        <f t="shared" si="6"/>
        <v>24780.399837884899</v>
      </c>
      <c r="K33" s="1">
        <f t="shared" si="6"/>
        <v>25662.103253449601</v>
      </c>
      <c r="L33" s="1">
        <f t="shared" si="6"/>
        <v>26559.2709306939</v>
      </c>
    </row>
    <row r="34" spans="3:12">
      <c r="C34" s="210"/>
      <c r="D34" t="s">
        <v>146</v>
      </c>
      <c r="E34" s="1">
        <f t="shared" si="6"/>
        <v>10358.200000000001</v>
      </c>
      <c r="F34" s="1">
        <f t="shared" si="6"/>
        <v>22129.690078874199</v>
      </c>
      <c r="G34" s="1">
        <f t="shared" si="6"/>
        <v>25129.690078874199</v>
      </c>
      <c r="H34" s="1">
        <f t="shared" si="6"/>
        <v>30771.453108045502</v>
      </c>
      <c r="I34" s="1">
        <f t="shared" si="6"/>
        <v>30771.453108045502</v>
      </c>
      <c r="J34" s="1">
        <f t="shared" si="6"/>
        <v>36879.616031662503</v>
      </c>
      <c r="K34" s="1">
        <f t="shared" si="6"/>
        <v>42841.335698432304</v>
      </c>
      <c r="L34" s="1">
        <f t="shared" si="6"/>
        <v>57568.854288961003</v>
      </c>
    </row>
    <row r="35" spans="3:12">
      <c r="C35" s="210"/>
      <c r="D35" t="s">
        <v>105</v>
      </c>
      <c r="E35" s="1">
        <f t="shared" si="6"/>
        <v>6100.17</v>
      </c>
      <c r="F35" s="1">
        <f t="shared" si="6"/>
        <v>20535.284350296701</v>
      </c>
      <c r="G35" s="1">
        <f t="shared" si="6"/>
        <v>24531.672330268499</v>
      </c>
      <c r="H35" s="1">
        <f t="shared" si="6"/>
        <v>25381.672330268499</v>
      </c>
      <c r="I35" s="1">
        <f t="shared" si="6"/>
        <v>25731.672330268499</v>
      </c>
      <c r="J35" s="1">
        <f t="shared" si="6"/>
        <v>31850.081245220499</v>
      </c>
      <c r="K35" s="1">
        <f t="shared" si="6"/>
        <v>35312.334179876503</v>
      </c>
      <c r="L35" s="1">
        <f t="shared" si="6"/>
        <v>45200.004896947001</v>
      </c>
    </row>
    <row r="36" spans="3:12">
      <c r="C36" s="210"/>
      <c r="D36" t="s">
        <v>80</v>
      </c>
      <c r="E36" s="1">
        <f t="shared" ref="E36:L38" si="7">E$33*E55/SUM($E$55:$E$57)</f>
        <v>10381.042848444713</v>
      </c>
      <c r="F36" s="1">
        <f t="shared" si="7"/>
        <v>10381.052550638075</v>
      </c>
      <c r="G36" s="1">
        <f t="shared" si="7"/>
        <v>10381.052550638075</v>
      </c>
      <c r="H36" s="1">
        <f t="shared" si="7"/>
        <v>10381.052550638075</v>
      </c>
      <c r="I36" s="1">
        <f t="shared" si="7"/>
        <v>10518.100080352559</v>
      </c>
      <c r="J36" s="1">
        <f t="shared" si="7"/>
        <v>10884.129152471993</v>
      </c>
      <c r="K36" s="1">
        <f t="shared" si="7"/>
        <v>11271.393841983194</v>
      </c>
      <c r="L36" s="1">
        <f t="shared" si="7"/>
        <v>11665.450795641442</v>
      </c>
    </row>
    <row r="37" spans="3:12">
      <c r="C37" s="210"/>
      <c r="D37" t="s">
        <v>75</v>
      </c>
      <c r="E37" s="1">
        <f t="shared" si="7"/>
        <v>8260.7181154014052</v>
      </c>
      <c r="F37" s="1">
        <f t="shared" si="7"/>
        <v>8260.7258359248281</v>
      </c>
      <c r="G37" s="1">
        <f t="shared" si="7"/>
        <v>8260.7258359248281</v>
      </c>
      <c r="H37" s="1">
        <f t="shared" si="7"/>
        <v>8260.7258359248281</v>
      </c>
      <c r="I37" s="1">
        <f t="shared" si="7"/>
        <v>8369.7814508482425</v>
      </c>
      <c r="J37" s="1">
        <f t="shared" si="7"/>
        <v>8661.0492002414139</v>
      </c>
      <c r="K37" s="1">
        <f t="shared" si="7"/>
        <v>8969.2151988606929</v>
      </c>
      <c r="L37" s="1">
        <f t="shared" si="7"/>
        <v>9282.7861438137097</v>
      </c>
    </row>
    <row r="38" spans="3:12">
      <c r="C38" s="210"/>
      <c r="D38" t="s">
        <v>85</v>
      </c>
      <c r="E38" s="1">
        <f t="shared" si="7"/>
        <v>4993.239036153881</v>
      </c>
      <c r="F38" s="1">
        <f t="shared" si="7"/>
        <v>4993.2437028690974</v>
      </c>
      <c r="G38" s="1">
        <f t="shared" si="7"/>
        <v>4993.2437028690974</v>
      </c>
      <c r="H38" s="1">
        <f t="shared" si="7"/>
        <v>4993.2437028690974</v>
      </c>
      <c r="I38" s="1">
        <f t="shared" si="7"/>
        <v>5059.1630026127978</v>
      </c>
      <c r="J38" s="1">
        <f t="shared" si="7"/>
        <v>5235.2214851714898</v>
      </c>
      <c r="K38" s="1">
        <f t="shared" si="7"/>
        <v>5421.494212605714</v>
      </c>
      <c r="L38" s="1">
        <f t="shared" si="7"/>
        <v>5611.0339912387471</v>
      </c>
    </row>
    <row r="39" spans="3:12">
      <c r="C39" s="210"/>
      <c r="D39" t="s">
        <v>147</v>
      </c>
      <c r="E39" s="1">
        <f t="shared" ref="E39:L39" si="8">INDEX($E$88:$S$165,MATCH($D39,$C$88:$C$165,0),MATCH(E$30,$E$86:$S$86,0))</f>
        <v>10620.368121375001</v>
      </c>
      <c r="F39" s="1">
        <f t="shared" si="8"/>
        <v>6109.5791049857598</v>
      </c>
      <c r="G39" s="1">
        <f t="shared" si="8"/>
        <v>5171.04729508337</v>
      </c>
      <c r="H39" s="1">
        <f t="shared" si="8"/>
        <v>4014.0615078123201</v>
      </c>
      <c r="I39" s="1">
        <f t="shared" si="8"/>
        <v>4841.4466854806597</v>
      </c>
      <c r="J39" s="1">
        <f t="shared" si="8"/>
        <v>5465.2290865968698</v>
      </c>
      <c r="K39" s="1">
        <f t="shared" si="8"/>
        <v>5451.1688470950303</v>
      </c>
      <c r="L39" s="1">
        <f t="shared" si="8"/>
        <v>5293.7626738240197</v>
      </c>
    </row>
    <row r="40" spans="3:12">
      <c r="C40" s="210"/>
      <c r="E40" s="1"/>
      <c r="F40" s="1"/>
      <c r="G40" s="1"/>
      <c r="H40" s="1"/>
      <c r="I40" s="1"/>
      <c r="J40" s="1"/>
      <c r="K40" s="1"/>
      <c r="L40" s="1"/>
    </row>
    <row r="41" spans="3:12">
      <c r="C41" s="210"/>
      <c r="D41" t="s">
        <v>148</v>
      </c>
      <c r="E41" s="1">
        <f t="shared" ref="E41:L42" si="9">INDEX($E$88:$S$165,MATCH($D41,$C$88:$C$165,0),MATCH(E$30,$E$86:$S$86,0))</f>
        <v>5384.8374999999996</v>
      </c>
      <c r="F41" s="1">
        <f t="shared" si="9"/>
        <v>3855.5255000000002</v>
      </c>
      <c r="G41" s="1">
        <f t="shared" si="9"/>
        <v>3833.5329999999999</v>
      </c>
      <c r="H41" s="1">
        <f t="shared" si="9"/>
        <v>3779.5729999999999</v>
      </c>
      <c r="I41" s="1">
        <f t="shared" si="9"/>
        <v>3479.9</v>
      </c>
      <c r="J41" s="1">
        <f t="shared" si="9"/>
        <v>2891.56</v>
      </c>
      <c r="K41" s="1">
        <f t="shared" si="9"/>
        <v>2891.56</v>
      </c>
      <c r="L41" s="1">
        <f t="shared" si="9"/>
        <v>2891.56</v>
      </c>
    </row>
    <row r="42" spans="3:12">
      <c r="C42" s="210"/>
      <c r="D42" t="s">
        <v>149</v>
      </c>
      <c r="E42" s="1">
        <f t="shared" si="9"/>
        <v>9646.1954399999995</v>
      </c>
      <c r="F42" s="1">
        <f t="shared" si="9"/>
        <v>9180.9182541502105</v>
      </c>
      <c r="G42" s="1">
        <f t="shared" si="9"/>
        <v>8902.3027766084197</v>
      </c>
      <c r="H42" s="1">
        <f t="shared" si="9"/>
        <v>8343.6593825100408</v>
      </c>
      <c r="I42" s="1">
        <f t="shared" si="9"/>
        <v>13267.2730144292</v>
      </c>
      <c r="J42" s="1">
        <f t="shared" si="9"/>
        <v>23193.351935500701</v>
      </c>
      <c r="K42" s="1">
        <f t="shared" si="9"/>
        <v>27259.7589188046</v>
      </c>
      <c r="L42" s="1">
        <f t="shared" si="9"/>
        <v>34924.392860700202</v>
      </c>
    </row>
    <row r="43" spans="3:12">
      <c r="C43" s="210"/>
      <c r="D43" t="s">
        <v>60</v>
      </c>
      <c r="E43" s="1">
        <f>E42</f>
        <v>9646.1954399999995</v>
      </c>
      <c r="F43" s="1">
        <f>F42</f>
        <v>9180.9182541502105</v>
      </c>
      <c r="G43" s="1">
        <f>G42</f>
        <v>8902.3027766084197</v>
      </c>
      <c r="H43" s="1">
        <f>H42</f>
        <v>8343.6593825100408</v>
      </c>
      <c r="I43" s="1">
        <f>H43</f>
        <v>8343.6593825100408</v>
      </c>
      <c r="J43" s="1">
        <f>I43</f>
        <v>8343.6593825100408</v>
      </c>
      <c r="K43" s="1">
        <f>J43</f>
        <v>8343.6593825100408</v>
      </c>
      <c r="L43" s="1">
        <f>K43</f>
        <v>8343.6593825100408</v>
      </c>
    </row>
    <row r="44" spans="3:12">
      <c r="C44" s="210"/>
      <c r="D44" t="s">
        <v>441</v>
      </c>
      <c r="E44" s="1">
        <f t="shared" ref="E44:L44" si="10">E42-E43</f>
        <v>0</v>
      </c>
      <c r="F44" s="1">
        <f t="shared" si="10"/>
        <v>0</v>
      </c>
      <c r="G44" s="1">
        <f t="shared" si="10"/>
        <v>0</v>
      </c>
      <c r="H44" s="1">
        <f t="shared" si="10"/>
        <v>0</v>
      </c>
      <c r="I44" s="1">
        <f t="shared" si="10"/>
        <v>4923.6136319191592</v>
      </c>
      <c r="J44" s="1">
        <f t="shared" si="10"/>
        <v>14849.69255299066</v>
      </c>
      <c r="K44" s="1">
        <f t="shared" si="10"/>
        <v>18916.099536294561</v>
      </c>
      <c r="L44" s="1">
        <f t="shared" si="10"/>
        <v>26580.733478190159</v>
      </c>
    </row>
    <row r="45" spans="3:12">
      <c r="C45" s="210"/>
      <c r="D45" t="s">
        <v>100</v>
      </c>
      <c r="E45" s="1">
        <f t="shared" ref="E45:L46" si="11">INDEX($E$88:$S$165,MATCH($D45,$C$88:$C$165,0),MATCH(E$30,$E$86:$S$86,0))</f>
        <v>7692.8021099999996</v>
      </c>
      <c r="F45" s="1">
        <f t="shared" si="11"/>
        <v>5008.3338227870099</v>
      </c>
      <c r="G45" s="1">
        <f t="shared" si="11"/>
        <v>1849.26455278701</v>
      </c>
      <c r="H45" s="1">
        <f t="shared" si="11"/>
        <v>1678.6422027870001</v>
      </c>
      <c r="I45" s="1">
        <f t="shared" si="11"/>
        <v>799.20989999999995</v>
      </c>
      <c r="J45" s="1">
        <f t="shared" si="11"/>
        <v>708.27380000000005</v>
      </c>
      <c r="K45" s="1">
        <f t="shared" si="11"/>
        <v>693.75</v>
      </c>
      <c r="L45" s="1">
        <f t="shared" si="11"/>
        <v>625.02200000000005</v>
      </c>
    </row>
    <row r="46" spans="3:12">
      <c r="C46" s="210"/>
      <c r="D46" t="s">
        <v>150</v>
      </c>
      <c r="E46" s="1">
        <f t="shared" si="11"/>
        <v>1248.5936799999999</v>
      </c>
      <c r="F46" s="1">
        <f t="shared" si="11"/>
        <v>2893.8347427938702</v>
      </c>
      <c r="G46" s="1">
        <f t="shared" si="11"/>
        <v>3296.1922253642601</v>
      </c>
      <c r="H46" s="1">
        <f t="shared" si="11"/>
        <v>3431.2489258856599</v>
      </c>
      <c r="I46" s="1">
        <f t="shared" si="11"/>
        <v>3460.6337134417599</v>
      </c>
      <c r="J46" s="1">
        <f t="shared" si="11"/>
        <v>3508.2020085683798</v>
      </c>
      <c r="K46" s="1">
        <f t="shared" si="11"/>
        <v>3598.0882214959902</v>
      </c>
      <c r="L46" s="1">
        <f t="shared" si="11"/>
        <v>3635.8212969923302</v>
      </c>
    </row>
    <row r="47" spans="3:12">
      <c r="C47" s="210"/>
      <c r="D47" t="s">
        <v>55</v>
      </c>
      <c r="E47" s="1">
        <f t="shared" ref="E47:L47" si="12">E46*(1-E65)</f>
        <v>676.73777456000005</v>
      </c>
      <c r="F47" s="1">
        <f t="shared" si="12"/>
        <v>1568.4584305942778</v>
      </c>
      <c r="G47" s="1">
        <f t="shared" si="12"/>
        <v>1786.5361861474291</v>
      </c>
      <c r="H47" s="1">
        <f t="shared" si="12"/>
        <v>1859.7369178300278</v>
      </c>
      <c r="I47" s="1">
        <f t="shared" si="12"/>
        <v>1875.663472685434</v>
      </c>
      <c r="J47" s="1">
        <f t="shared" si="12"/>
        <v>1901.4454886440619</v>
      </c>
      <c r="K47" s="1">
        <f t="shared" si="12"/>
        <v>1950.1638160508269</v>
      </c>
      <c r="L47" s="1">
        <f t="shared" si="12"/>
        <v>1970.6151429698432</v>
      </c>
    </row>
    <row r="48" spans="3:12">
      <c r="C48" s="210"/>
      <c r="D48" t="s">
        <v>110</v>
      </c>
      <c r="E48" s="1">
        <f t="shared" ref="E48:L48" si="13">E46*E65</f>
        <v>571.8559054399999</v>
      </c>
      <c r="F48" s="1">
        <f t="shared" si="13"/>
        <v>1325.3763121995923</v>
      </c>
      <c r="G48" s="1">
        <f t="shared" si="13"/>
        <v>1509.656039216831</v>
      </c>
      <c r="H48" s="1">
        <f t="shared" si="13"/>
        <v>1571.5120080556321</v>
      </c>
      <c r="I48" s="1">
        <f t="shared" si="13"/>
        <v>1584.9702407563259</v>
      </c>
      <c r="J48" s="1">
        <f t="shared" si="13"/>
        <v>1606.7565199243179</v>
      </c>
      <c r="K48" s="1">
        <f t="shared" si="13"/>
        <v>1647.9244054451633</v>
      </c>
      <c r="L48" s="1">
        <f t="shared" si="13"/>
        <v>1665.206154022487</v>
      </c>
    </row>
    <row r="49" spans="2:17">
      <c r="C49" s="210"/>
      <c r="D49" t="s">
        <v>120</v>
      </c>
      <c r="E49" s="1">
        <f t="shared" ref="E49:L49" si="14">E34*(1-E61)</f>
        <v>10358.200000000001</v>
      </c>
      <c r="F49" s="1">
        <f t="shared" si="14"/>
        <v>20469.963322958636</v>
      </c>
      <c r="G49" s="1">
        <f t="shared" si="14"/>
        <v>20979.281158932474</v>
      </c>
      <c r="H49" s="1">
        <f t="shared" si="14"/>
        <v>22914.911888970058</v>
      </c>
      <c r="I49" s="1">
        <f t="shared" si="14"/>
        <v>22914.911888970058</v>
      </c>
      <c r="J49" s="1">
        <f t="shared" si="14"/>
        <v>27463.543853365696</v>
      </c>
      <c r="K49" s="1">
        <f t="shared" si="14"/>
        <v>31903.122328619804</v>
      </c>
      <c r="L49" s="1">
        <f t="shared" si="14"/>
        <v>42870.423406673093</v>
      </c>
    </row>
    <row r="50" spans="2:17">
      <c r="C50" s="210"/>
      <c r="D50" t="s">
        <v>115</v>
      </c>
      <c r="E50" s="1">
        <f t="shared" ref="E50:L50" si="15">E34*(E61)</f>
        <v>0</v>
      </c>
      <c r="F50" s="1">
        <f t="shared" si="15"/>
        <v>1659.7267559155648</v>
      </c>
      <c r="G50" s="1">
        <f t="shared" si="15"/>
        <v>4150.4089199417222</v>
      </c>
      <c r="H50" s="1">
        <f t="shared" si="15"/>
        <v>7856.5412190754469</v>
      </c>
      <c r="I50" s="1">
        <f t="shared" si="15"/>
        <v>7856.5412190754469</v>
      </c>
      <c r="J50" s="1">
        <f t="shared" si="15"/>
        <v>9416.0721782968085</v>
      </c>
      <c r="K50" s="1">
        <f t="shared" si="15"/>
        <v>10938.213369812502</v>
      </c>
      <c r="L50" s="1">
        <f t="shared" si="15"/>
        <v>14698.430882287914</v>
      </c>
    </row>
    <row r="51" spans="2:17">
      <c r="C51" s="210"/>
      <c r="D51" t="s">
        <v>91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2:17">
      <c r="C52" s="210"/>
      <c r="D52" t="s">
        <v>70</v>
      </c>
      <c r="E52" s="1">
        <f t="shared" ref="E52:L52" si="16">E41</f>
        <v>5384.8374999999996</v>
      </c>
      <c r="F52" s="1">
        <f t="shared" si="16"/>
        <v>3855.5255000000002</v>
      </c>
      <c r="G52" s="1">
        <f t="shared" si="16"/>
        <v>3833.5329999999999</v>
      </c>
      <c r="H52" s="1">
        <f t="shared" si="16"/>
        <v>3779.5729999999999</v>
      </c>
      <c r="I52" s="1">
        <f t="shared" si="16"/>
        <v>3479.9</v>
      </c>
      <c r="J52" s="1">
        <f t="shared" si="16"/>
        <v>2891.56</v>
      </c>
      <c r="K52" s="1">
        <f t="shared" si="16"/>
        <v>2891.56</v>
      </c>
      <c r="L52" s="1">
        <f t="shared" si="16"/>
        <v>2891.56</v>
      </c>
    </row>
    <row r="53" spans="2:17">
      <c r="C53" s="210"/>
      <c r="D53" t="s">
        <v>65</v>
      </c>
      <c r="E53" s="1">
        <f t="shared" ref="E53:L53" si="17">INDEX($E$88:$S$165,MATCH($D53,$C$88:$C$165,0),MATCH(E$30,$E$86:$S$86,0))</f>
        <v>2</v>
      </c>
      <c r="F53" s="1">
        <f t="shared" si="17"/>
        <v>3.1213716085118901</v>
      </c>
      <c r="G53" s="1">
        <f t="shared" si="17"/>
        <v>3.1213716085118901</v>
      </c>
      <c r="H53" s="1">
        <f t="shared" si="17"/>
        <v>3.1213716085118901</v>
      </c>
      <c r="I53" s="1">
        <f t="shared" si="17"/>
        <v>3.1213716085118901</v>
      </c>
      <c r="J53" s="1">
        <f t="shared" si="17"/>
        <v>3.1213716085118901</v>
      </c>
      <c r="K53" s="1">
        <f t="shared" si="17"/>
        <v>3.1213716085118901</v>
      </c>
      <c r="L53" s="1">
        <f t="shared" si="17"/>
        <v>3.1213716085118901</v>
      </c>
    </row>
    <row r="55" spans="2:17">
      <c r="D55" t="s">
        <v>80</v>
      </c>
      <c r="E55">
        <v>10322.333333</v>
      </c>
      <c r="F55">
        <v>10322.333333</v>
      </c>
      <c r="G55">
        <v>10322.333333</v>
      </c>
      <c r="H55">
        <v>10322.333333</v>
      </c>
      <c r="I55">
        <v>10322.333333</v>
      </c>
      <c r="J55">
        <v>10322.333333</v>
      </c>
      <c r="K55">
        <v>10322.333333</v>
      </c>
      <c r="L55">
        <v>10322.333333</v>
      </c>
    </row>
    <row r="56" spans="2:17">
      <c r="D56" t="s">
        <v>75</v>
      </c>
      <c r="E56">
        <v>8214</v>
      </c>
      <c r="F56">
        <v>8214</v>
      </c>
      <c r="G56">
        <v>8214</v>
      </c>
      <c r="H56">
        <v>8214</v>
      </c>
      <c r="I56">
        <v>8214</v>
      </c>
      <c r="J56">
        <v>8214</v>
      </c>
      <c r="K56">
        <v>8214</v>
      </c>
      <c r="L56">
        <v>8214</v>
      </c>
    </row>
    <row r="57" spans="2:17">
      <c r="D57" t="s">
        <v>85</v>
      </c>
      <c r="E57">
        <v>4965</v>
      </c>
      <c r="F57">
        <v>4965</v>
      </c>
      <c r="G57">
        <v>4965</v>
      </c>
      <c r="H57">
        <v>4965</v>
      </c>
      <c r="I57">
        <v>4965</v>
      </c>
      <c r="J57">
        <v>4965</v>
      </c>
      <c r="K57">
        <v>4965</v>
      </c>
      <c r="L57">
        <v>4965</v>
      </c>
    </row>
    <row r="59" spans="2:17">
      <c r="B59" t="s">
        <v>272</v>
      </c>
      <c r="C59" s="211" t="s">
        <v>273</v>
      </c>
      <c r="D59" t="s">
        <v>120</v>
      </c>
      <c r="E59">
        <f>R66</f>
        <v>9285</v>
      </c>
      <c r="F59">
        <f>R69</f>
        <v>18500</v>
      </c>
      <c r="H59">
        <f>R75</f>
        <v>26250</v>
      </c>
      <c r="M59" t="s">
        <v>273</v>
      </c>
    </row>
    <row r="60" spans="2:17">
      <c r="B60" t="s">
        <v>274</v>
      </c>
      <c r="C60" s="211"/>
      <c r="D60" t="s">
        <v>115</v>
      </c>
      <c r="E60">
        <v>0</v>
      </c>
      <c r="F60">
        <f>R70</f>
        <v>1500</v>
      </c>
      <c r="H60">
        <f>R76</f>
        <v>9000</v>
      </c>
      <c r="M60" t="s">
        <v>273</v>
      </c>
    </row>
    <row r="61" spans="2:17">
      <c r="C61" s="211"/>
      <c r="D61" t="s">
        <v>153</v>
      </c>
      <c r="E61">
        <f>E60/SUM(E59:E60)</f>
        <v>0</v>
      </c>
      <c r="F61">
        <f>F60/SUM(F59:F60)</f>
        <v>7.4999999999999997E-2</v>
      </c>
      <c r="G61">
        <f>AVERAGE(F61,H61)</f>
        <v>0.1651595744680851</v>
      </c>
      <c r="H61">
        <f>H60/SUM(H59:H60)</f>
        <v>0.25531914893617019</v>
      </c>
      <c r="I61">
        <f>H61</f>
        <v>0.25531914893617019</v>
      </c>
      <c r="J61">
        <f>I61</f>
        <v>0.25531914893617019</v>
      </c>
      <c r="K61">
        <f>J61</f>
        <v>0.25531914893617019</v>
      </c>
      <c r="L61">
        <f>K61</f>
        <v>0.25531914893617019</v>
      </c>
    </row>
    <row r="63" spans="2:17">
      <c r="D63" t="s">
        <v>57</v>
      </c>
      <c r="E63">
        <v>922.97180000000003</v>
      </c>
      <c r="F63">
        <v>922.97180000000003</v>
      </c>
      <c r="G63">
        <v>922.97180000000003</v>
      </c>
      <c r="H63">
        <v>922.97180000000003</v>
      </c>
      <c r="I63">
        <v>922.97180000000003</v>
      </c>
      <c r="J63">
        <v>922.97180000000003</v>
      </c>
      <c r="K63">
        <v>922.97180000000003</v>
      </c>
      <c r="L63">
        <v>922.97180000000003</v>
      </c>
    </row>
    <row r="64" spans="2:17">
      <c r="D64" t="s">
        <v>113</v>
      </c>
      <c r="E64">
        <v>779.92819999999995</v>
      </c>
      <c r="F64">
        <v>779.92819999999995</v>
      </c>
      <c r="G64">
        <v>779.92819999999995</v>
      </c>
      <c r="H64">
        <v>779.92819999999995</v>
      </c>
      <c r="I64">
        <v>779.92819999999995</v>
      </c>
      <c r="J64">
        <v>779.92819999999995</v>
      </c>
      <c r="K64">
        <v>779.92819999999995</v>
      </c>
      <c r="L64">
        <v>779.92819999999995</v>
      </c>
      <c r="Q64" t="s">
        <v>275</v>
      </c>
    </row>
    <row r="65" spans="4:19">
      <c r="D65" t="s">
        <v>276</v>
      </c>
      <c r="E65">
        <f t="shared" ref="E65:L65" si="18">E64/SUM(E63:E64)</f>
        <v>0.45799999999999996</v>
      </c>
      <c r="F65">
        <f t="shared" si="18"/>
        <v>0.45799999999999996</v>
      </c>
      <c r="G65">
        <f t="shared" si="18"/>
        <v>0.45799999999999996</v>
      </c>
      <c r="H65">
        <f t="shared" si="18"/>
        <v>0.45799999999999996</v>
      </c>
      <c r="I65">
        <f t="shared" si="18"/>
        <v>0.45799999999999996</v>
      </c>
      <c r="J65">
        <f t="shared" si="18"/>
        <v>0.45799999999999996</v>
      </c>
      <c r="K65">
        <f t="shared" si="18"/>
        <v>0.45799999999999996</v>
      </c>
      <c r="L65">
        <f t="shared" si="18"/>
        <v>0.45799999999999996</v>
      </c>
      <c r="R65" s="28" t="s">
        <v>277</v>
      </c>
    </row>
    <row r="66" spans="4:19">
      <c r="P66">
        <v>2014</v>
      </c>
      <c r="Q66" t="s">
        <v>272</v>
      </c>
      <c r="R66">
        <v>9285</v>
      </c>
      <c r="S66" s="36">
        <v>2014</v>
      </c>
    </row>
    <row r="67" spans="4:19">
      <c r="P67">
        <v>2014</v>
      </c>
      <c r="Q67" t="s">
        <v>274</v>
      </c>
      <c r="R67" t="s">
        <v>195</v>
      </c>
    </row>
    <row r="68" spans="4:19">
      <c r="P68">
        <v>2014</v>
      </c>
      <c r="Q68" t="s">
        <v>278</v>
      </c>
      <c r="R68">
        <v>9285</v>
      </c>
    </row>
    <row r="69" spans="4:19">
      <c r="P69">
        <v>2020</v>
      </c>
      <c r="Q69" t="s">
        <v>272</v>
      </c>
      <c r="R69">
        <v>18500</v>
      </c>
      <c r="S69" t="s">
        <v>279</v>
      </c>
    </row>
    <row r="70" spans="4:19">
      <c r="P70">
        <v>2020</v>
      </c>
      <c r="Q70" t="s">
        <v>274</v>
      </c>
      <c r="R70">
        <v>1500</v>
      </c>
    </row>
    <row r="71" spans="4:19">
      <c r="P71">
        <v>2020</v>
      </c>
      <c r="Q71" t="s">
        <v>278</v>
      </c>
      <c r="R71">
        <v>20000</v>
      </c>
    </row>
    <row r="72" spans="4:19">
      <c r="Q72" t="s">
        <v>272</v>
      </c>
      <c r="R72">
        <v>19000</v>
      </c>
      <c r="S72" t="s">
        <v>280</v>
      </c>
    </row>
    <row r="73" spans="4:19">
      <c r="Q73" t="s">
        <v>274</v>
      </c>
      <c r="R73">
        <v>6000</v>
      </c>
    </row>
    <row r="74" spans="4:19">
      <c r="Q74" t="s">
        <v>278</v>
      </c>
      <c r="R74">
        <v>25000</v>
      </c>
    </row>
    <row r="75" spans="4:19">
      <c r="P75">
        <v>2030</v>
      </c>
      <c r="Q75" t="s">
        <v>272</v>
      </c>
      <c r="R75">
        <v>26250</v>
      </c>
      <c r="S75" t="s">
        <v>281</v>
      </c>
    </row>
    <row r="76" spans="4:19">
      <c r="P76">
        <v>2030</v>
      </c>
      <c r="Q76" t="s">
        <v>274</v>
      </c>
      <c r="R76">
        <v>9000</v>
      </c>
    </row>
    <row r="77" spans="4:19">
      <c r="P77">
        <v>2030</v>
      </c>
      <c r="Q77" t="s">
        <v>278</v>
      </c>
      <c r="R77">
        <v>35250</v>
      </c>
    </row>
    <row r="78" spans="4:19">
      <c r="Q78" t="s">
        <v>272</v>
      </c>
      <c r="R78">
        <v>28000</v>
      </c>
      <c r="S78" t="s">
        <v>282</v>
      </c>
    </row>
    <row r="79" spans="4:19">
      <c r="Q79" t="s">
        <v>274</v>
      </c>
      <c r="R79">
        <v>15000</v>
      </c>
    </row>
    <row r="80" spans="4:19">
      <c r="Q80" t="s">
        <v>278</v>
      </c>
      <c r="R80">
        <v>43000</v>
      </c>
    </row>
    <row r="85" spans="4:36">
      <c r="D85" s="41" t="s">
        <v>164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2" t="s">
        <v>283</v>
      </c>
    </row>
    <row r="86" spans="4:36">
      <c r="D86" s="21"/>
      <c r="E86" s="21">
        <v>2000</v>
      </c>
      <c r="F86" s="21">
        <v>2005</v>
      </c>
      <c r="G86" s="21">
        <v>2010</v>
      </c>
      <c r="H86" s="21">
        <v>2015</v>
      </c>
      <c r="I86" s="21">
        <v>2020</v>
      </c>
      <c r="J86" s="21">
        <v>2025</v>
      </c>
      <c r="K86" s="21">
        <v>2030</v>
      </c>
      <c r="L86" s="21">
        <v>2035</v>
      </c>
      <c r="M86" s="21">
        <v>2040</v>
      </c>
      <c r="N86" s="21">
        <v>2045</v>
      </c>
      <c r="O86" s="21">
        <v>2050</v>
      </c>
      <c r="P86" s="22" t="s">
        <v>44</v>
      </c>
      <c r="Q86" s="22" t="s">
        <v>45</v>
      </c>
      <c r="R86" s="22" t="s">
        <v>46</v>
      </c>
      <c r="S86" s="22" t="s">
        <v>47</v>
      </c>
    </row>
    <row r="87" spans="4:36">
      <c r="D87" s="45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207" t="s">
        <v>168</v>
      </c>
      <c r="Q87" s="207"/>
      <c r="R87" s="207"/>
      <c r="S87" s="207"/>
    </row>
    <row r="88" spans="4:36">
      <c r="D88" s="49" t="s">
        <v>172</v>
      </c>
      <c r="E88" s="50">
        <v>57.326099999999997</v>
      </c>
      <c r="F88" s="50">
        <v>59.7316</v>
      </c>
      <c r="G88" s="50">
        <v>61.450499999999998</v>
      </c>
      <c r="H88" s="50">
        <v>63.039824700579302</v>
      </c>
      <c r="I88" s="50">
        <v>64.434537660560395</v>
      </c>
      <c r="J88" s="50">
        <v>65.738911750290598</v>
      </c>
      <c r="K88" s="50">
        <v>67.030100264374397</v>
      </c>
      <c r="L88" s="50">
        <v>68.235748853300905</v>
      </c>
      <c r="M88" s="50">
        <v>69.244636891874407</v>
      </c>
      <c r="N88" s="50">
        <v>70.023541937549894</v>
      </c>
      <c r="O88" s="50">
        <v>70.672568968069896</v>
      </c>
      <c r="P88" s="25">
        <v>0.69717860593687697</v>
      </c>
      <c r="Q88" s="25">
        <v>0.475304161225854</v>
      </c>
      <c r="R88" s="25">
        <v>0.39570071362029502</v>
      </c>
      <c r="S88" s="25">
        <v>0.26492896552532402</v>
      </c>
    </row>
    <row r="89" spans="4:36">
      <c r="D89" s="49" t="s">
        <v>177</v>
      </c>
      <c r="E89" s="50">
        <v>1811.7597475938201</v>
      </c>
      <c r="F89" s="50">
        <v>1961.9114088307999</v>
      </c>
      <c r="G89" s="50">
        <v>2024.25943044</v>
      </c>
      <c r="H89" s="50">
        <v>2091.0016232830599</v>
      </c>
      <c r="I89" s="50">
        <v>2266.3085140131302</v>
      </c>
      <c r="J89" s="50">
        <v>2417.1916231348901</v>
      </c>
      <c r="K89" s="50">
        <v>2594.28159905028</v>
      </c>
      <c r="L89" s="50">
        <v>2816.25080915425</v>
      </c>
      <c r="M89" s="50">
        <v>3077.5996162237002</v>
      </c>
      <c r="N89" s="50">
        <v>3354.68225879478</v>
      </c>
      <c r="O89" s="50">
        <v>3667.9477170175501</v>
      </c>
      <c r="P89" s="25">
        <v>1.1152259038019501</v>
      </c>
      <c r="Q89" s="25">
        <v>1.1358865738253101</v>
      </c>
      <c r="R89" s="25">
        <v>1.36074839527383</v>
      </c>
      <c r="S89" s="25">
        <v>1.74669264935292</v>
      </c>
    </row>
    <row r="90" spans="4:36">
      <c r="D90" s="57" t="s">
        <v>179</v>
      </c>
      <c r="E90" s="58">
        <v>257564.5</v>
      </c>
      <c r="F90" s="59">
        <v>276646.2</v>
      </c>
      <c r="G90" s="59">
        <v>267546</v>
      </c>
      <c r="H90" s="59">
        <v>255764.42631161501</v>
      </c>
      <c r="I90" s="59">
        <v>248842.84784544699</v>
      </c>
      <c r="J90" s="59">
        <v>241352.196122108</v>
      </c>
      <c r="K90" s="59">
        <v>236532.294338156</v>
      </c>
      <c r="L90" s="59">
        <v>231111.39285830999</v>
      </c>
      <c r="M90" s="59">
        <v>219471.57150922201</v>
      </c>
      <c r="N90" s="59">
        <v>215244.620047028</v>
      </c>
      <c r="O90" s="59">
        <v>207898.88685748799</v>
      </c>
      <c r="P90" s="25">
        <v>0.38093712803948199</v>
      </c>
      <c r="Q90" s="25">
        <v>-0.72207988613264296</v>
      </c>
      <c r="R90" s="25">
        <v>-0.50608320530672901</v>
      </c>
      <c r="S90" s="25">
        <v>-0.64308782749738003</v>
      </c>
      <c r="AG90" s="29" t="e">
        <f t="shared" ref="AG90:AJ95" si="19">X90/AB90</f>
        <v>#DIV/0!</v>
      </c>
      <c r="AH90" s="29" t="e">
        <f t="shared" si="19"/>
        <v>#DIV/0!</v>
      </c>
      <c r="AI90" s="29" t="e">
        <f t="shared" si="19"/>
        <v>#DIV/0!</v>
      </c>
      <c r="AJ90" s="29" t="e">
        <f t="shared" si="19"/>
        <v>#DIV/0!</v>
      </c>
    </row>
    <row r="91" spans="4:36">
      <c r="D91" s="23" t="s">
        <v>181</v>
      </c>
      <c r="E91" s="24">
        <v>15047.6</v>
      </c>
      <c r="F91" s="24">
        <v>14302.9</v>
      </c>
      <c r="G91" s="24">
        <v>12076.2</v>
      </c>
      <c r="H91" s="24">
        <v>8763.1254860068602</v>
      </c>
      <c r="I91" s="24">
        <v>8492.4577944766697</v>
      </c>
      <c r="J91" s="24">
        <v>5720.0887881380704</v>
      </c>
      <c r="K91" s="24">
        <v>5011.89809109415</v>
      </c>
      <c r="L91" s="24">
        <v>4077.37721762105</v>
      </c>
      <c r="M91" s="24">
        <v>3116.0418524491802</v>
      </c>
      <c r="N91" s="24">
        <v>2499.4515975719901</v>
      </c>
      <c r="O91" s="24">
        <v>2133.6704019426602</v>
      </c>
      <c r="P91" s="25">
        <v>-2.17579979085246</v>
      </c>
      <c r="Q91" s="25">
        <v>-3.4593296685714301</v>
      </c>
      <c r="R91" s="25">
        <v>-5.1369937637209002</v>
      </c>
      <c r="S91" s="25">
        <v>-4.1799804673567804</v>
      </c>
      <c r="AG91" s="29" t="e">
        <f t="shared" si="19"/>
        <v>#DIV/0!</v>
      </c>
      <c r="AH91" s="29" t="e">
        <f t="shared" si="19"/>
        <v>#DIV/0!</v>
      </c>
      <c r="AI91" s="29" t="e">
        <f t="shared" si="19"/>
        <v>#DIV/0!</v>
      </c>
      <c r="AJ91" s="29" t="e">
        <f t="shared" si="19"/>
        <v>#DIV/0!</v>
      </c>
    </row>
    <row r="92" spans="4:36">
      <c r="D92" s="23" t="s">
        <v>183</v>
      </c>
      <c r="E92" s="24">
        <v>88937</v>
      </c>
      <c r="F92" s="24">
        <v>93185.2</v>
      </c>
      <c r="G92" s="24">
        <v>82667.899999999994</v>
      </c>
      <c r="H92" s="24">
        <v>79805.9414006351</v>
      </c>
      <c r="I92" s="24">
        <v>75372.496921869999</v>
      </c>
      <c r="J92" s="24">
        <v>73400.042984027299</v>
      </c>
      <c r="K92" s="24">
        <v>71291.5150262526</v>
      </c>
      <c r="L92" s="24">
        <v>69942.341226668796</v>
      </c>
      <c r="M92" s="24">
        <v>68997.907912524897</v>
      </c>
      <c r="N92" s="24">
        <v>67502.416861269405</v>
      </c>
      <c r="O92" s="24">
        <v>66982.583768590193</v>
      </c>
      <c r="P92" s="25">
        <v>-0.72830369254320904</v>
      </c>
      <c r="Q92" s="25">
        <v>-0.91963456165601298</v>
      </c>
      <c r="R92" s="25">
        <v>-0.55510486404453097</v>
      </c>
      <c r="S92" s="25">
        <v>-0.31123802040328202</v>
      </c>
      <c r="AG92" s="29" t="e">
        <f t="shared" si="19"/>
        <v>#DIV/0!</v>
      </c>
      <c r="AH92" s="29" t="e">
        <f t="shared" si="19"/>
        <v>#DIV/0!</v>
      </c>
      <c r="AI92" s="29" t="e">
        <f t="shared" si="19"/>
        <v>#DIV/0!</v>
      </c>
      <c r="AJ92" s="29" t="e">
        <f t="shared" si="19"/>
        <v>#DIV/0!</v>
      </c>
    </row>
    <row r="93" spans="4:36">
      <c r="D93" s="23" t="s">
        <v>184</v>
      </c>
      <c r="E93" s="24">
        <v>35766.400000000001</v>
      </c>
      <c r="F93" s="24">
        <v>41025.4</v>
      </c>
      <c r="G93" s="24">
        <v>42539.7</v>
      </c>
      <c r="H93" s="24">
        <v>38807.344127362201</v>
      </c>
      <c r="I93" s="24">
        <v>35943.586958260101</v>
      </c>
      <c r="J93" s="24">
        <v>35236.197364989297</v>
      </c>
      <c r="K93" s="24">
        <v>32194.475563527001</v>
      </c>
      <c r="L93" s="24">
        <v>30666.105806776501</v>
      </c>
      <c r="M93" s="24">
        <v>36028.770057720998</v>
      </c>
      <c r="N93" s="24">
        <v>35697.770348630402</v>
      </c>
      <c r="O93" s="24">
        <v>33459.718232098901</v>
      </c>
      <c r="P93" s="25">
        <v>1.7494146238174799</v>
      </c>
      <c r="Q93" s="25">
        <v>-1.6707562054901599</v>
      </c>
      <c r="R93" s="25">
        <v>-1.0955131550294901</v>
      </c>
      <c r="S93" s="25">
        <v>0.192922872196055</v>
      </c>
      <c r="U93" t="s">
        <v>60</v>
      </c>
      <c r="AG93" s="29" t="e">
        <f t="shared" si="19"/>
        <v>#DIV/0!</v>
      </c>
      <c r="AH93" s="29" t="e">
        <f t="shared" si="19"/>
        <v>#DIV/0!</v>
      </c>
      <c r="AI93" s="29" t="e">
        <f t="shared" si="19"/>
        <v>#DIV/0!</v>
      </c>
      <c r="AJ93" s="29" t="e">
        <f t="shared" si="19"/>
        <v>#DIV/0!</v>
      </c>
    </row>
    <row r="94" spans="4:36">
      <c r="D94" s="23" t="s">
        <v>186</v>
      </c>
      <c r="E94" s="24">
        <v>107092.5</v>
      </c>
      <c r="F94" s="24">
        <v>116473.5</v>
      </c>
      <c r="G94" s="24">
        <v>110538.5</v>
      </c>
      <c r="H94" s="24">
        <v>109294.352042256</v>
      </c>
      <c r="I94" s="24">
        <v>97019.180398255601</v>
      </c>
      <c r="J94" s="24">
        <v>94378.037261444202</v>
      </c>
      <c r="K94" s="24">
        <v>94378.037261444202</v>
      </c>
      <c r="L94" s="24">
        <v>91548.7206919132</v>
      </c>
      <c r="M94" s="24">
        <v>71490.552502065606</v>
      </c>
      <c r="N94" s="24">
        <v>66709.018037318499</v>
      </c>
      <c r="O94" s="24">
        <v>56177.9623779701</v>
      </c>
      <c r="P94" s="25">
        <v>0.317211349508284</v>
      </c>
      <c r="Q94" s="25">
        <v>-1.29607942052072</v>
      </c>
      <c r="R94" s="25">
        <v>-0.27562251242592101</v>
      </c>
      <c r="S94" s="25">
        <v>-2.5605661146834402</v>
      </c>
      <c r="AG94" s="29" t="e">
        <f t="shared" si="19"/>
        <v>#DIV/0!</v>
      </c>
      <c r="AH94" s="29" t="e">
        <f t="shared" si="19"/>
        <v>#DIV/0!</v>
      </c>
      <c r="AI94" s="29" t="e">
        <f t="shared" si="19"/>
        <v>#DIV/0!</v>
      </c>
      <c r="AJ94" s="29" t="e">
        <f t="shared" si="19"/>
        <v>#DIV/0!</v>
      </c>
    </row>
    <row r="95" spans="4:36">
      <c r="D95" s="23" t="s">
        <v>48</v>
      </c>
      <c r="E95" s="24">
        <v>-5974.1</v>
      </c>
      <c r="F95" s="24">
        <v>-5187.3</v>
      </c>
      <c r="G95" s="24">
        <v>-2640.9</v>
      </c>
      <c r="H95" s="24">
        <v>-5379.3729296657702</v>
      </c>
      <c r="I95" s="24">
        <v>-5694.8270724506801</v>
      </c>
      <c r="J95" s="24">
        <v>-5686.6988936929201</v>
      </c>
      <c r="K95" s="24">
        <v>-5512.4022158744801</v>
      </c>
      <c r="L95" s="24">
        <v>-3362.7113105059302</v>
      </c>
      <c r="M95" s="24">
        <v>-2479.4551925508099</v>
      </c>
      <c r="N95" s="24">
        <v>-2515.4945358005102</v>
      </c>
      <c r="O95" s="24">
        <v>-2473.3145292604399</v>
      </c>
      <c r="P95" s="25">
        <v>-7.8388369362175903</v>
      </c>
      <c r="Q95" s="25">
        <v>7.9873437045544504</v>
      </c>
      <c r="R95" s="25">
        <v>-0.32504786821251402</v>
      </c>
      <c r="S95" s="25">
        <v>-3.92797993846954</v>
      </c>
      <c r="U95" t="s">
        <v>85</v>
      </c>
      <c r="AG95" s="29" t="e">
        <f t="shared" si="19"/>
        <v>#DIV/0!</v>
      </c>
      <c r="AH95" s="29" t="e">
        <f t="shared" si="19"/>
        <v>#DIV/0!</v>
      </c>
      <c r="AI95" s="29" t="e">
        <f t="shared" si="19"/>
        <v>#DIV/0!</v>
      </c>
      <c r="AJ95" s="29" t="e">
        <f t="shared" si="19"/>
        <v>#DIV/0!</v>
      </c>
    </row>
    <row r="96" spans="4:36">
      <c r="D96" s="63" t="s">
        <v>188</v>
      </c>
      <c r="E96" s="64">
        <v>16695.099999999999</v>
      </c>
      <c r="F96" s="64">
        <v>16846.5</v>
      </c>
      <c r="G96" s="64">
        <v>22364.6</v>
      </c>
      <c r="H96" s="64">
        <v>24473.036185021101</v>
      </c>
      <c r="I96" s="64">
        <v>37709.952845035798</v>
      </c>
      <c r="J96" s="64">
        <v>38304.528617202603</v>
      </c>
      <c r="K96" s="64">
        <v>39168.770611712796</v>
      </c>
      <c r="L96" s="64">
        <v>38239.559225836601</v>
      </c>
      <c r="M96" s="64">
        <v>42317.754377012498</v>
      </c>
      <c r="N96" s="64">
        <v>45351.457738038298</v>
      </c>
      <c r="O96" s="64">
        <v>51618.266606146797</v>
      </c>
      <c r="P96" s="25">
        <v>2.9667988322753298</v>
      </c>
      <c r="Q96" s="25">
        <v>5.3633293727669598</v>
      </c>
      <c r="R96" s="25">
        <v>0.38027823392947602</v>
      </c>
      <c r="S96" s="25">
        <v>1.3895449276752001</v>
      </c>
    </row>
    <row r="97" spans="4:36">
      <c r="D97" s="57" t="s">
        <v>190</v>
      </c>
      <c r="E97" s="50">
        <v>10822.1</v>
      </c>
      <c r="F97" s="50">
        <v>9988.5</v>
      </c>
      <c r="G97" s="50">
        <v>9635.4</v>
      </c>
      <c r="H97" s="50">
        <v>8308.9396498668102</v>
      </c>
      <c r="I97" s="50">
        <v>7425.6856596584303</v>
      </c>
      <c r="J97" s="50">
        <v>6928.8355988762696</v>
      </c>
      <c r="K97" s="50">
        <v>6725.84670938627</v>
      </c>
      <c r="L97" s="50">
        <v>6624.0370205761901</v>
      </c>
      <c r="M97" s="50">
        <v>6082.2343358069502</v>
      </c>
      <c r="N97" s="50">
        <v>5885.9578761110697</v>
      </c>
      <c r="O97" s="50">
        <v>5572.65519440956</v>
      </c>
      <c r="P97" s="25">
        <v>-1.1547462635583301</v>
      </c>
      <c r="Q97" s="25">
        <v>-2.5713508151506499</v>
      </c>
      <c r="R97" s="25">
        <v>-0.98498892085356904</v>
      </c>
      <c r="S97" s="25">
        <v>-0.93602270971106005</v>
      </c>
    </row>
    <row r="98" spans="4:36">
      <c r="D98" s="57" t="s">
        <v>192</v>
      </c>
      <c r="E98" s="50">
        <v>16851.400000000001</v>
      </c>
      <c r="F98" s="50">
        <v>16703.7</v>
      </c>
      <c r="G98" s="50">
        <v>14290</v>
      </c>
      <c r="H98" s="50">
        <v>14232.3521786153</v>
      </c>
      <c r="I98" s="50">
        <v>14666.3204022428</v>
      </c>
      <c r="J98" s="50">
        <v>14778.0581515456</v>
      </c>
      <c r="K98" s="50">
        <v>15001.308278975601</v>
      </c>
      <c r="L98" s="50">
        <v>15146.185788859901</v>
      </c>
      <c r="M98" s="50">
        <v>15309.360480153</v>
      </c>
      <c r="N98" s="50">
        <v>14707.180133571001</v>
      </c>
      <c r="O98" s="50">
        <v>15094.3021605585</v>
      </c>
      <c r="P98" s="25">
        <v>-1.63522018842824</v>
      </c>
      <c r="Q98" s="25">
        <v>0.26027557119512301</v>
      </c>
      <c r="R98" s="25">
        <v>0.22609200201426599</v>
      </c>
      <c r="S98" s="25">
        <v>3.0904356174810101E-2</v>
      </c>
    </row>
    <row r="99" spans="4:36"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25"/>
      <c r="Q99" s="25"/>
      <c r="R99" s="25"/>
      <c r="S99" s="25"/>
    </row>
    <row r="100" spans="4:36">
      <c r="D100" s="68" t="s">
        <v>196</v>
      </c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25"/>
      <c r="Q100" s="25"/>
      <c r="R100" s="25"/>
      <c r="S100" s="25"/>
      <c r="AG100" s="29" t="e">
        <f t="shared" ref="AG100:AJ105" si="20">X100/AB100</f>
        <v>#DIV/0!</v>
      </c>
      <c r="AH100" s="29" t="e">
        <f t="shared" si="20"/>
        <v>#DIV/0!</v>
      </c>
      <c r="AI100" s="29" t="e">
        <f t="shared" si="20"/>
        <v>#DIV/0!</v>
      </c>
      <c r="AJ100" s="29" t="e">
        <f t="shared" si="20"/>
        <v>#DIV/0!</v>
      </c>
    </row>
    <row r="101" spans="4:36">
      <c r="D101" s="49" t="s">
        <v>198</v>
      </c>
      <c r="E101" s="69">
        <v>129790</v>
      </c>
      <c r="F101" s="69">
        <v>136271</v>
      </c>
      <c r="G101" s="69">
        <v>135094.70000000001</v>
      </c>
      <c r="H101" s="69">
        <v>135170.57530278701</v>
      </c>
      <c r="I101" s="69">
        <v>135777.41094603701</v>
      </c>
      <c r="J101" s="69">
        <v>133484.66342898901</v>
      </c>
      <c r="K101" s="69">
        <v>134231.23524128401</v>
      </c>
      <c r="L101" s="69">
        <v>130397.799788059</v>
      </c>
      <c r="M101" s="69">
        <v>113997.653419378</v>
      </c>
      <c r="N101" s="69">
        <v>112000.081472672</v>
      </c>
      <c r="O101" s="69">
        <v>107415.89317351401</v>
      </c>
      <c r="P101" s="25">
        <v>0.40138594724732402</v>
      </c>
      <c r="Q101" s="25">
        <v>5.0421174084025501E-2</v>
      </c>
      <c r="R101" s="25">
        <v>-0.11446355847996</v>
      </c>
      <c r="S101" s="25">
        <v>-1.10809388923456</v>
      </c>
      <c r="AG101" s="29" t="e">
        <f t="shared" si="20"/>
        <v>#DIV/0!</v>
      </c>
      <c r="AH101" s="29" t="e">
        <f t="shared" si="20"/>
        <v>#DIV/0!</v>
      </c>
      <c r="AI101" s="29" t="e">
        <f t="shared" si="20"/>
        <v>#DIV/0!</v>
      </c>
      <c r="AJ101" s="29" t="e">
        <f t="shared" si="20"/>
        <v>#DIV/0!</v>
      </c>
    </row>
    <row r="102" spans="4:36">
      <c r="D102" s="23" t="s">
        <v>181</v>
      </c>
      <c r="E102" s="73">
        <v>2482.5</v>
      </c>
      <c r="F102" s="73">
        <v>383.200000000003</v>
      </c>
      <c r="G102" s="73">
        <v>162.099999999998</v>
      </c>
      <c r="H102" s="73">
        <v>143.246444860689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25">
        <v>-23.881648220513998</v>
      </c>
      <c r="Q102" s="25">
        <v>-100</v>
      </c>
      <c r="R102" s="25">
        <v>0</v>
      </c>
      <c r="S102" s="25">
        <v>0</v>
      </c>
      <c r="AG102" s="29" t="e">
        <f t="shared" si="20"/>
        <v>#DIV/0!</v>
      </c>
      <c r="AH102" s="29" t="e">
        <f t="shared" si="20"/>
        <v>#DIV/0!</v>
      </c>
      <c r="AI102" s="29" t="e">
        <f t="shared" si="20"/>
        <v>#DIV/0!</v>
      </c>
      <c r="AJ102" s="29" t="e">
        <f t="shared" si="20"/>
        <v>#DIV/0!</v>
      </c>
    </row>
    <row r="103" spans="4:36">
      <c r="D103" s="23" t="s">
        <v>183</v>
      </c>
      <c r="E103" s="73">
        <v>2022.5999999999899</v>
      </c>
      <c r="F103" s="73">
        <v>1604.00000000001</v>
      </c>
      <c r="G103" s="73">
        <v>1542</v>
      </c>
      <c r="H103" s="73">
        <v>1217.3175641420401</v>
      </c>
      <c r="I103" s="73">
        <v>1122.4824576061001</v>
      </c>
      <c r="J103" s="73">
        <v>961.33426710979802</v>
      </c>
      <c r="K103" s="73">
        <v>911.68408572674002</v>
      </c>
      <c r="L103" s="73">
        <v>865.22088186236499</v>
      </c>
      <c r="M103" s="73">
        <v>394.68112054503098</v>
      </c>
      <c r="N103" s="73">
        <v>179.916554113259</v>
      </c>
      <c r="O103" s="73">
        <v>0</v>
      </c>
      <c r="P103" s="25">
        <v>-2.6765631479128502</v>
      </c>
      <c r="Q103" s="25">
        <v>-3.1254899871926001</v>
      </c>
      <c r="R103" s="25">
        <v>-2.0585608742647499</v>
      </c>
      <c r="S103" s="25">
        <v>-100</v>
      </c>
      <c r="AG103" s="29" t="e">
        <f t="shared" si="20"/>
        <v>#DIV/0!</v>
      </c>
      <c r="AH103" s="29" t="e">
        <f t="shared" si="20"/>
        <v>#DIV/0!</v>
      </c>
      <c r="AI103" s="29" t="e">
        <f t="shared" si="20"/>
        <v>#DIV/0!</v>
      </c>
      <c r="AJ103" s="29" t="e">
        <f t="shared" si="20"/>
        <v>#DIV/0!</v>
      </c>
    </row>
    <row r="104" spans="4:36">
      <c r="D104" s="23" t="s">
        <v>184</v>
      </c>
      <c r="E104" s="73">
        <v>1504.7</v>
      </c>
      <c r="F104" s="73">
        <v>908.70000000000596</v>
      </c>
      <c r="G104" s="73">
        <v>645.79999999999598</v>
      </c>
      <c r="H104" s="73">
        <v>303.57881079074298</v>
      </c>
      <c r="I104" s="73">
        <v>293.924407454723</v>
      </c>
      <c r="J104" s="73">
        <v>285.51085685230299</v>
      </c>
      <c r="K104" s="73">
        <v>275.90910262236901</v>
      </c>
      <c r="L104" s="73">
        <v>267.77361846885401</v>
      </c>
      <c r="M104" s="73">
        <v>302.658480562514</v>
      </c>
      <c r="N104" s="73">
        <v>294.93861393044</v>
      </c>
      <c r="O104" s="73">
        <v>285.83790805619702</v>
      </c>
      <c r="P104" s="25">
        <v>-8.1107277538592992</v>
      </c>
      <c r="Q104" s="25">
        <v>-7.5698280285819202</v>
      </c>
      <c r="R104" s="25">
        <v>-0.63051529353006497</v>
      </c>
      <c r="S104" s="25">
        <v>0.17692343493549401</v>
      </c>
      <c r="AG104" s="29" t="e">
        <f t="shared" si="20"/>
        <v>#DIV/0!</v>
      </c>
      <c r="AH104" s="29" t="e">
        <f t="shared" si="20"/>
        <v>#DIV/0!</v>
      </c>
      <c r="AI104" s="29" t="e">
        <f t="shared" si="20"/>
        <v>#DIV/0!</v>
      </c>
      <c r="AJ104" s="29" t="e">
        <f t="shared" si="20"/>
        <v>#DIV/0!</v>
      </c>
    </row>
    <row r="105" spans="4:36">
      <c r="D105" s="23" t="s">
        <v>186</v>
      </c>
      <c r="E105" s="73">
        <v>107092.5</v>
      </c>
      <c r="F105" s="73">
        <v>116473.5</v>
      </c>
      <c r="G105" s="73">
        <v>110538.5</v>
      </c>
      <c r="H105" s="73">
        <v>109294.352042256</v>
      </c>
      <c r="I105" s="73">
        <v>97019.180398255601</v>
      </c>
      <c r="J105" s="73">
        <v>94378.037261444202</v>
      </c>
      <c r="K105" s="73">
        <v>94378.037261444202</v>
      </c>
      <c r="L105" s="73">
        <v>91548.7206919132</v>
      </c>
      <c r="M105" s="73">
        <v>71490.552502065606</v>
      </c>
      <c r="N105" s="73">
        <v>66709.018037318499</v>
      </c>
      <c r="O105" s="73">
        <v>56177.9623779701</v>
      </c>
      <c r="P105" s="25">
        <v>0.317211349508284</v>
      </c>
      <c r="Q105" s="25">
        <v>-1.29607942052072</v>
      </c>
      <c r="R105" s="25">
        <v>-0.27562251242592101</v>
      </c>
      <c r="S105" s="25">
        <v>-2.5605661146834402</v>
      </c>
      <c r="AG105" s="29" t="e">
        <f t="shared" si="20"/>
        <v>#DIV/0!</v>
      </c>
      <c r="AH105" s="29" t="e">
        <f t="shared" si="20"/>
        <v>#DIV/0!</v>
      </c>
      <c r="AI105" s="29" t="e">
        <f t="shared" si="20"/>
        <v>#DIV/0!</v>
      </c>
      <c r="AJ105" s="29" t="e">
        <f t="shared" si="20"/>
        <v>#DIV/0!</v>
      </c>
    </row>
    <row r="106" spans="4:36">
      <c r="D106" s="23" t="s">
        <v>203</v>
      </c>
      <c r="E106" s="73">
        <v>16687.7</v>
      </c>
      <c r="F106" s="73">
        <v>16901.599999999999</v>
      </c>
      <c r="G106" s="73">
        <v>22206.3</v>
      </c>
      <c r="H106" s="73">
        <v>24212.0804407379</v>
      </c>
      <c r="I106" s="73">
        <v>37341.823682720496</v>
      </c>
      <c r="J106" s="73">
        <v>37859.781043582298</v>
      </c>
      <c r="K106" s="73">
        <v>38665.604791490601</v>
      </c>
      <c r="L106" s="73">
        <v>37716.084595815002</v>
      </c>
      <c r="M106" s="73">
        <v>41809.761316204902</v>
      </c>
      <c r="N106" s="73">
        <v>44816.208267309798</v>
      </c>
      <c r="O106" s="73">
        <v>50952.092887488099</v>
      </c>
      <c r="P106" s="25">
        <v>2.8982460101193901</v>
      </c>
      <c r="Q106" s="25">
        <v>5.3348138578130699</v>
      </c>
      <c r="R106" s="25">
        <v>0.34897212408511202</v>
      </c>
      <c r="S106" s="25">
        <v>1.3892384463803</v>
      </c>
      <c r="U106" t="s">
        <v>146</v>
      </c>
      <c r="X106">
        <f t="shared" ref="X106:AE106" si="21">SUM(X100:X101)</f>
        <v>0</v>
      </c>
      <c r="Y106">
        <f t="shared" si="21"/>
        <v>0</v>
      </c>
      <c r="Z106">
        <f t="shared" si="21"/>
        <v>0</v>
      </c>
      <c r="AA106">
        <f t="shared" si="21"/>
        <v>0</v>
      </c>
      <c r="AB106">
        <f t="shared" si="21"/>
        <v>0</v>
      </c>
      <c r="AC106">
        <f t="shared" si="21"/>
        <v>0</v>
      </c>
      <c r="AD106">
        <f t="shared" si="21"/>
        <v>0</v>
      </c>
      <c r="AE106">
        <f t="shared" si="21"/>
        <v>0</v>
      </c>
    </row>
    <row r="107" spans="4:36">
      <c r="D107" s="74" t="s">
        <v>205</v>
      </c>
      <c r="E107" s="73">
        <v>5771.4</v>
      </c>
      <c r="F107" s="73">
        <v>4441.8</v>
      </c>
      <c r="G107" s="73">
        <v>5364.4</v>
      </c>
      <c r="H107" s="73">
        <v>5475.84473784489</v>
      </c>
      <c r="I107" s="73">
        <v>5753.3380001817204</v>
      </c>
      <c r="J107" s="73">
        <v>5514.5831669734198</v>
      </c>
      <c r="K107" s="73">
        <v>5515.9805256537002</v>
      </c>
      <c r="L107" s="73">
        <v>5634.5232908028202</v>
      </c>
      <c r="M107" s="73">
        <v>5977.3849691693204</v>
      </c>
      <c r="N107" s="73">
        <v>6326.7082636126097</v>
      </c>
      <c r="O107" s="73">
        <v>6692.0482222371402</v>
      </c>
      <c r="P107" s="25">
        <v>-0.72863401242315695</v>
      </c>
      <c r="Q107" s="25">
        <v>0.70241216570980902</v>
      </c>
      <c r="R107" s="25">
        <v>-0.420421531172743</v>
      </c>
      <c r="S107" s="25">
        <v>0.971037063569402</v>
      </c>
    </row>
    <row r="108" spans="4:36">
      <c r="D108" s="74" t="s">
        <v>206</v>
      </c>
      <c r="E108" s="73">
        <v>10762.6</v>
      </c>
      <c r="F108" s="73">
        <v>12159.4</v>
      </c>
      <c r="G108" s="73">
        <v>15689.9</v>
      </c>
      <c r="H108" s="73">
        <v>15779.632263391801</v>
      </c>
      <c r="I108" s="73">
        <v>23434.4113650326</v>
      </c>
      <c r="J108" s="73">
        <v>22251.963201464099</v>
      </c>
      <c r="K108" s="73">
        <v>20941.252122849299</v>
      </c>
      <c r="L108" s="73">
        <v>19315.8618820993</v>
      </c>
      <c r="M108" s="73">
        <v>20170.209857007299</v>
      </c>
      <c r="N108" s="73">
        <v>20413.523150207398</v>
      </c>
      <c r="O108" s="73">
        <v>20197.388428970102</v>
      </c>
      <c r="P108" s="25">
        <v>3.8413433071158698</v>
      </c>
      <c r="Q108" s="25">
        <v>4.0934463172439797</v>
      </c>
      <c r="R108" s="25">
        <v>-1.1185424100900201</v>
      </c>
      <c r="S108" s="25">
        <v>-0.180675031017585</v>
      </c>
    </row>
    <row r="109" spans="4:36">
      <c r="D109" s="74" t="s">
        <v>207</v>
      </c>
      <c r="E109" s="73">
        <v>6.6</v>
      </c>
      <c r="F109" s="73">
        <v>82.9</v>
      </c>
      <c r="G109" s="73">
        <v>854.9</v>
      </c>
      <c r="H109" s="73">
        <v>1850.4232413884299</v>
      </c>
      <c r="I109" s="73">
        <v>4741.0597926131104</v>
      </c>
      <c r="J109" s="73">
        <v>5620.0751976760403</v>
      </c>
      <c r="K109" s="73">
        <v>7173.9165290643496</v>
      </c>
      <c r="L109" s="73">
        <v>7185.3398750666202</v>
      </c>
      <c r="M109" s="73">
        <v>8915.4498875254503</v>
      </c>
      <c r="N109" s="73">
        <v>10471.617136592</v>
      </c>
      <c r="O109" s="73">
        <v>14731.9989893605</v>
      </c>
      <c r="P109" s="25">
        <v>62.643659777512603</v>
      </c>
      <c r="Q109" s="25">
        <v>18.685048484693201</v>
      </c>
      <c r="R109" s="25">
        <v>4.2288842296008804</v>
      </c>
      <c r="S109" s="25">
        <v>3.6633568277782498</v>
      </c>
    </row>
    <row r="110" spans="4:36">
      <c r="D110" s="74" t="s">
        <v>209</v>
      </c>
      <c r="E110" s="73">
        <v>21.1</v>
      </c>
      <c r="F110" s="73">
        <v>25.6</v>
      </c>
      <c r="G110" s="73">
        <v>117.6</v>
      </c>
      <c r="H110" s="73">
        <v>869.82365836374197</v>
      </c>
      <c r="I110" s="73">
        <v>3086.49799326429</v>
      </c>
      <c r="J110" s="73">
        <v>4084.3674489364298</v>
      </c>
      <c r="K110" s="73">
        <v>4586.5182675112801</v>
      </c>
      <c r="L110" s="73">
        <v>5088.2167161867301</v>
      </c>
      <c r="M110" s="73">
        <v>6308.5407576927601</v>
      </c>
      <c r="N110" s="73">
        <v>7178.6651300538597</v>
      </c>
      <c r="O110" s="73">
        <v>8921.8003778087295</v>
      </c>
      <c r="P110" s="25">
        <v>18.744222070947199</v>
      </c>
      <c r="Q110" s="25">
        <v>38.645528546750697</v>
      </c>
      <c r="R110" s="25">
        <v>4.0403280411021001</v>
      </c>
      <c r="S110" s="25">
        <v>3.38284246111618</v>
      </c>
    </row>
    <row r="111" spans="4:36">
      <c r="D111" s="74" t="s">
        <v>211</v>
      </c>
      <c r="E111" s="75">
        <v>126</v>
      </c>
      <c r="F111" s="75">
        <v>191.9</v>
      </c>
      <c r="G111" s="75">
        <v>179.5</v>
      </c>
      <c r="H111" s="75">
        <v>236.35653974903499</v>
      </c>
      <c r="I111" s="75">
        <v>326.516531628758</v>
      </c>
      <c r="J111" s="75">
        <v>388.79202853225001</v>
      </c>
      <c r="K111" s="75">
        <v>447.93734641193498</v>
      </c>
      <c r="L111" s="75">
        <v>492.14283165957897</v>
      </c>
      <c r="M111" s="75">
        <v>438.17584481</v>
      </c>
      <c r="N111" s="75">
        <v>425.69458684386802</v>
      </c>
      <c r="O111" s="75">
        <v>408.85686911166101</v>
      </c>
      <c r="P111" s="25">
        <v>3.6022985220745398</v>
      </c>
      <c r="Q111" s="25">
        <v>6.1656620035782401</v>
      </c>
      <c r="R111" s="25">
        <v>3.2122414842495202</v>
      </c>
      <c r="S111" s="25">
        <v>-0.45540103726086101</v>
      </c>
    </row>
    <row r="112" spans="4:36">
      <c r="D112" s="57" t="s">
        <v>213</v>
      </c>
      <c r="E112" s="69">
        <v>134082.1</v>
      </c>
      <c r="F112" s="69">
        <v>144102.70000000001</v>
      </c>
      <c r="G112" s="69">
        <v>132148.70000000001</v>
      </c>
      <c r="H112" s="69">
        <v>123216.614502827</v>
      </c>
      <c r="I112" s="69">
        <v>115816.83241377601</v>
      </c>
      <c r="J112" s="69">
        <v>110732.80521400399</v>
      </c>
      <c r="K112" s="69">
        <v>105268.009426966</v>
      </c>
      <c r="L112" s="69">
        <v>103740.439995141</v>
      </c>
      <c r="M112" s="69">
        <v>108495.860586979</v>
      </c>
      <c r="N112" s="69">
        <v>106242.642591315</v>
      </c>
      <c r="O112" s="69">
        <v>103492.67065348099</v>
      </c>
      <c r="P112" s="25">
        <v>-0.145139522634019</v>
      </c>
      <c r="Q112" s="25">
        <v>-1.3105158852965999</v>
      </c>
      <c r="R112" s="25">
        <v>-0.95045775755031603</v>
      </c>
      <c r="S112" s="25">
        <v>-8.5007716021656701E-2</v>
      </c>
    </row>
    <row r="113" spans="4:19">
      <c r="D113" s="23" t="s">
        <v>181</v>
      </c>
      <c r="E113" s="73">
        <v>13004.9</v>
      </c>
      <c r="F113" s="73">
        <v>13510.6</v>
      </c>
      <c r="G113" s="73">
        <v>12191.8</v>
      </c>
      <c r="H113" s="73">
        <v>8619.8790411461705</v>
      </c>
      <c r="I113" s="73">
        <v>8492.4577944766697</v>
      </c>
      <c r="J113" s="73">
        <v>5720.0887881380704</v>
      </c>
      <c r="K113" s="73">
        <v>5011.89809109415</v>
      </c>
      <c r="L113" s="73">
        <v>4077.37721762105</v>
      </c>
      <c r="M113" s="73">
        <v>3116.0418524491802</v>
      </c>
      <c r="N113" s="73">
        <v>2499.4515975719901</v>
      </c>
      <c r="O113" s="73">
        <v>2133.6704019426602</v>
      </c>
      <c r="P113" s="25">
        <v>-0.64354646155916395</v>
      </c>
      <c r="Q113" s="25">
        <v>-3.5512603709209598</v>
      </c>
      <c r="R113" s="25">
        <v>-5.1369937637209002</v>
      </c>
      <c r="S113" s="25">
        <v>-4.1799804673567804</v>
      </c>
    </row>
    <row r="114" spans="4:19">
      <c r="D114" s="23" t="s">
        <v>183</v>
      </c>
      <c r="E114" s="73">
        <v>91265.4</v>
      </c>
      <c r="F114" s="73">
        <v>95114.2</v>
      </c>
      <c r="G114" s="73">
        <v>82886.100000000006</v>
      </c>
      <c r="H114" s="73">
        <v>81211.387330491794</v>
      </c>
      <c r="I114" s="73">
        <v>76947.084593357693</v>
      </c>
      <c r="J114" s="73">
        <v>75194.439148689693</v>
      </c>
      <c r="K114" s="73">
        <v>73196.007292247305</v>
      </c>
      <c r="L114" s="73">
        <v>71845.403620724101</v>
      </c>
      <c r="M114" s="73">
        <v>71276.733281856796</v>
      </c>
      <c r="N114" s="73">
        <v>69893.037859175005</v>
      </c>
      <c r="O114" s="73">
        <v>69525.077134859501</v>
      </c>
      <c r="P114" s="25">
        <v>-0.95842127634179197</v>
      </c>
      <c r="Q114" s="25">
        <v>-0.74073695670425799</v>
      </c>
      <c r="R114" s="25">
        <v>-0.49852420519561602</v>
      </c>
      <c r="S114" s="25">
        <v>-0.25693617610356201</v>
      </c>
    </row>
    <row r="115" spans="4:19">
      <c r="D115" s="74" t="s">
        <v>217</v>
      </c>
      <c r="E115" s="73">
        <v>85329.4</v>
      </c>
      <c r="F115" s="73">
        <v>85301.5</v>
      </c>
      <c r="G115" s="73">
        <v>65253.9</v>
      </c>
      <c r="H115" s="73">
        <v>46552.2295447672</v>
      </c>
      <c r="I115" s="73">
        <v>45830.450109404803</v>
      </c>
      <c r="J115" s="73">
        <v>45988.232477837199</v>
      </c>
      <c r="K115" s="73">
        <v>45825.9049358802</v>
      </c>
      <c r="L115" s="73">
        <v>46100.285079907997</v>
      </c>
      <c r="M115" s="73">
        <v>46852.386425775301</v>
      </c>
      <c r="N115" s="73">
        <v>46965.350844306398</v>
      </c>
      <c r="O115" s="73">
        <v>47641.693012578398</v>
      </c>
      <c r="P115" s="25">
        <v>-2.6466774342247499</v>
      </c>
      <c r="Q115" s="25">
        <v>-3.4716761661526498</v>
      </c>
      <c r="R115" s="25">
        <v>-9.9178087257234494E-4</v>
      </c>
      <c r="S115" s="25">
        <v>0.194482574046972</v>
      </c>
    </row>
    <row r="116" spans="4:19">
      <c r="D116" s="74" t="s">
        <v>219</v>
      </c>
      <c r="E116" s="73">
        <v>5936</v>
      </c>
      <c r="F116" s="73">
        <v>9812.7000000000007</v>
      </c>
      <c r="G116" s="73">
        <v>17632.2</v>
      </c>
      <c r="H116" s="73">
        <v>34659.157785724601</v>
      </c>
      <c r="I116" s="73">
        <v>31116.634483952901</v>
      </c>
      <c r="J116" s="73">
        <v>29206.206670852502</v>
      </c>
      <c r="K116" s="73">
        <v>27370.102356367101</v>
      </c>
      <c r="L116" s="73">
        <v>25745.1185408161</v>
      </c>
      <c r="M116" s="73">
        <v>24424.346856081502</v>
      </c>
      <c r="N116" s="73">
        <v>22927.687014868599</v>
      </c>
      <c r="O116" s="73">
        <v>21883.384122281099</v>
      </c>
      <c r="P116" s="25">
        <v>11.501641525486001</v>
      </c>
      <c r="Q116" s="25">
        <v>5.8445769693507001</v>
      </c>
      <c r="R116" s="25">
        <v>-1.2747185951581499</v>
      </c>
      <c r="S116" s="25">
        <v>-1.11238487999138</v>
      </c>
    </row>
    <row r="117" spans="4:19">
      <c r="D117" s="23" t="s">
        <v>184</v>
      </c>
      <c r="E117" s="73">
        <v>35778.5</v>
      </c>
      <c r="F117" s="73">
        <v>40720.300000000003</v>
      </c>
      <c r="G117" s="73">
        <v>39553.4</v>
      </c>
      <c r="H117" s="73">
        <v>38503.765316571502</v>
      </c>
      <c r="I117" s="73">
        <v>35703.987936077297</v>
      </c>
      <c r="J117" s="73">
        <v>35060.228597249203</v>
      </c>
      <c r="K117" s="73">
        <v>32069.340439276399</v>
      </c>
      <c r="L117" s="73">
        <v>30656.895837279801</v>
      </c>
      <c r="M117" s="73">
        <v>36074.547584416097</v>
      </c>
      <c r="N117" s="73">
        <v>35830.398199640003</v>
      </c>
      <c r="O117" s="73">
        <v>33641.0639272806</v>
      </c>
      <c r="P117" s="25">
        <v>1.00809239142634</v>
      </c>
      <c r="Q117" s="25">
        <v>-1.0186687453402501</v>
      </c>
      <c r="R117" s="25">
        <v>-1.06787669901909</v>
      </c>
      <c r="S117" s="25">
        <v>0.239521466668635</v>
      </c>
    </row>
    <row r="118" spans="4:19">
      <c r="D118" s="23" t="s">
        <v>48</v>
      </c>
      <c r="E118" s="73">
        <v>-5974.1</v>
      </c>
      <c r="F118" s="73">
        <v>-5187.3</v>
      </c>
      <c r="G118" s="73">
        <v>-2640.9</v>
      </c>
      <c r="H118" s="73">
        <v>-5379.3729296657802</v>
      </c>
      <c r="I118" s="73">
        <v>-5694.8270724506801</v>
      </c>
      <c r="J118" s="73">
        <v>-5686.6988936929201</v>
      </c>
      <c r="K118" s="73">
        <v>-5512.4022158745001</v>
      </c>
      <c r="L118" s="73">
        <v>-3362.7113105059302</v>
      </c>
      <c r="M118" s="73">
        <v>-2479.4551925507999</v>
      </c>
      <c r="N118" s="73">
        <v>-2515.4945358005102</v>
      </c>
      <c r="O118" s="73">
        <v>-2473.3145292604499</v>
      </c>
      <c r="P118" s="25">
        <v>-7.8388369362175903</v>
      </c>
      <c r="Q118" s="25">
        <v>7.9873437045544504</v>
      </c>
      <c r="R118" s="25">
        <v>-0.32504786821250198</v>
      </c>
      <c r="S118" s="25">
        <v>-3.9279799384695302</v>
      </c>
    </row>
    <row r="119" spans="4:19">
      <c r="D119" s="49" t="s">
        <v>226</v>
      </c>
      <c r="E119" s="78">
        <v>51.498692964592898</v>
      </c>
      <c r="F119" s="78">
        <v>51.611827590356597</v>
      </c>
      <c r="G119" s="78">
        <v>48.972911395032</v>
      </c>
      <c r="H119" s="78">
        <v>47.686812413387599</v>
      </c>
      <c r="I119" s="78">
        <v>46.033180595528499</v>
      </c>
      <c r="J119" s="78">
        <v>45.341885586357499</v>
      </c>
      <c r="K119" s="78">
        <v>43.953378463794799</v>
      </c>
      <c r="L119" s="78">
        <v>44.3073459897875</v>
      </c>
      <c r="M119" s="78">
        <v>48.763606018591197</v>
      </c>
      <c r="N119" s="78">
        <v>48.680955136981098</v>
      </c>
      <c r="O119" s="78">
        <v>49.069923371330802</v>
      </c>
      <c r="P119" s="25"/>
      <c r="Q119" s="25"/>
      <c r="R119" s="25"/>
      <c r="S119" s="25"/>
    </row>
    <row r="120" spans="4:19">
      <c r="D120" s="4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25"/>
      <c r="Q120" s="25"/>
      <c r="R120" s="25"/>
      <c r="S120" s="25"/>
    </row>
    <row r="121" spans="4:19">
      <c r="D121" s="68" t="s">
        <v>229</v>
      </c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25"/>
      <c r="Q121" s="25"/>
      <c r="R121" s="25"/>
      <c r="S121" s="25"/>
    </row>
    <row r="122" spans="4:19">
      <c r="D122" s="49" t="s">
        <v>231</v>
      </c>
      <c r="E122" s="50">
        <v>535964.88138954702</v>
      </c>
      <c r="F122" s="50">
        <v>571352.75322503201</v>
      </c>
      <c r="G122" s="50">
        <v>563930.65555227303</v>
      </c>
      <c r="H122" s="50">
        <v>584203.82613881305</v>
      </c>
      <c r="I122" s="50">
        <v>596131.22703056003</v>
      </c>
      <c r="J122" s="50">
        <v>599538.69586694497</v>
      </c>
      <c r="K122" s="50">
        <v>608390.66431872</v>
      </c>
      <c r="L122" s="50">
        <v>603936.16450018401</v>
      </c>
      <c r="M122" s="50">
        <v>609180.06277703505</v>
      </c>
      <c r="N122" s="50">
        <v>628568.217998915</v>
      </c>
      <c r="O122" s="50">
        <v>647491.90661156399</v>
      </c>
      <c r="P122" s="25">
        <v>0.50992223721464403</v>
      </c>
      <c r="Q122" s="25">
        <v>0.55683991828132695</v>
      </c>
      <c r="R122" s="25">
        <v>0.20377126416046801</v>
      </c>
      <c r="S122" s="25">
        <v>0.31193088719971801</v>
      </c>
    </row>
    <row r="123" spans="4:19">
      <c r="D123" s="23" t="s">
        <v>233</v>
      </c>
      <c r="E123" s="24">
        <v>415162</v>
      </c>
      <c r="F123" s="24">
        <v>451529</v>
      </c>
      <c r="G123" s="24">
        <v>428521</v>
      </c>
      <c r="H123" s="24">
        <v>444338.430351416</v>
      </c>
      <c r="I123" s="24">
        <v>396167.069122135</v>
      </c>
      <c r="J123" s="24">
        <v>385196.11962613702</v>
      </c>
      <c r="K123" s="24">
        <v>385061.72573392099</v>
      </c>
      <c r="L123" s="24">
        <v>378941.286334656</v>
      </c>
      <c r="M123" s="24">
        <v>299262.36641861103</v>
      </c>
      <c r="N123" s="24">
        <v>283442.831050754</v>
      </c>
      <c r="O123" s="24">
        <v>246065.63866318</v>
      </c>
      <c r="P123" s="25">
        <v>0.31721144907923499</v>
      </c>
      <c r="Q123" s="25">
        <v>-0.78196393972836997</v>
      </c>
      <c r="R123" s="25">
        <v>-0.28391984296139999</v>
      </c>
      <c r="S123" s="25">
        <v>-2.21414645532702</v>
      </c>
    </row>
    <row r="124" spans="4:19">
      <c r="D124" s="23" t="s">
        <v>181</v>
      </c>
      <c r="E124" s="24">
        <v>27004</v>
      </c>
      <c r="F124" s="24">
        <v>27515</v>
      </c>
      <c r="G124" s="24">
        <v>23359</v>
      </c>
      <c r="H124" s="24">
        <v>8820.3738605892995</v>
      </c>
      <c r="I124" s="24">
        <v>9108.9147449581305</v>
      </c>
      <c r="J124" s="24">
        <v>361.31197196128898</v>
      </c>
      <c r="K124" s="24">
        <v>68.630942373560998</v>
      </c>
      <c r="L124" s="24">
        <v>0</v>
      </c>
      <c r="M124" s="24">
        <v>0</v>
      </c>
      <c r="N124" s="24">
        <v>0</v>
      </c>
      <c r="O124" s="24">
        <v>0</v>
      </c>
      <c r="P124" s="25">
        <v>-1.4395642882045001</v>
      </c>
      <c r="Q124" s="25">
        <v>-8.9874591341260004</v>
      </c>
      <c r="R124" s="25">
        <v>-38.6654289276036</v>
      </c>
      <c r="S124" s="25">
        <v>-100</v>
      </c>
    </row>
    <row r="125" spans="4:19">
      <c r="D125" s="23" t="s">
        <v>236</v>
      </c>
      <c r="E125" s="24">
        <v>7165</v>
      </c>
      <c r="F125" s="24">
        <v>7925</v>
      </c>
      <c r="G125" s="24">
        <v>5565</v>
      </c>
      <c r="H125" s="24">
        <v>515.79300401007004</v>
      </c>
      <c r="I125" s="24">
        <v>0</v>
      </c>
      <c r="J125" s="24">
        <v>336.92955975447899</v>
      </c>
      <c r="K125" s="24">
        <v>340.579650215475</v>
      </c>
      <c r="L125" s="24">
        <v>242.99595669940501</v>
      </c>
      <c r="M125" s="24">
        <v>93.248878055774597</v>
      </c>
      <c r="N125" s="24">
        <v>117.3808987076</v>
      </c>
      <c r="O125" s="24">
        <v>19.5685425478529</v>
      </c>
      <c r="P125" s="25">
        <v>-2.49544661159831</v>
      </c>
      <c r="Q125" s="25">
        <v>-100</v>
      </c>
      <c r="R125" s="25">
        <v>0</v>
      </c>
      <c r="S125" s="25">
        <v>-13.3104019484375</v>
      </c>
    </row>
    <row r="126" spans="4:19">
      <c r="D126" s="23" t="s">
        <v>239</v>
      </c>
      <c r="E126" s="24">
        <v>15364.562939916999</v>
      </c>
      <c r="F126" s="24">
        <v>26253.869085959301</v>
      </c>
      <c r="G126" s="24">
        <v>26384.527159920599</v>
      </c>
      <c r="H126" s="24">
        <v>25752.510087823001</v>
      </c>
      <c r="I126" s="24">
        <v>22325.7614289107</v>
      </c>
      <c r="J126" s="24">
        <v>23670.4886836923</v>
      </c>
      <c r="K126" s="24">
        <v>12047.482358744201</v>
      </c>
      <c r="L126" s="24">
        <v>10042.3493253837</v>
      </c>
      <c r="M126" s="24">
        <v>53974.8642864129</v>
      </c>
      <c r="N126" s="24">
        <v>55879.379236047302</v>
      </c>
      <c r="O126" s="24">
        <v>39282.512439587001</v>
      </c>
      <c r="P126" s="25">
        <v>5.5559966013455604</v>
      </c>
      <c r="Q126" s="25">
        <v>-1.65649188532631</v>
      </c>
      <c r="R126" s="25">
        <v>-5.9824343681259302</v>
      </c>
      <c r="S126" s="25">
        <v>6.08772783574938</v>
      </c>
    </row>
    <row r="127" spans="4:19">
      <c r="D127" s="23" t="s">
        <v>240</v>
      </c>
      <c r="E127" s="24">
        <v>3559.3184496303902</v>
      </c>
      <c r="F127" s="24">
        <v>5015.88413907226</v>
      </c>
      <c r="G127" s="24">
        <v>6675.1283923521696</v>
      </c>
      <c r="H127" s="24">
        <v>10512.311793148499</v>
      </c>
      <c r="I127" s="24">
        <v>14130.560334059201</v>
      </c>
      <c r="J127" s="24">
        <v>20068.457361309502</v>
      </c>
      <c r="K127" s="24">
        <v>20255.93219467</v>
      </c>
      <c r="L127" s="24">
        <v>20473.5518634701</v>
      </c>
      <c r="M127" s="24">
        <v>26253.4768322286</v>
      </c>
      <c r="N127" s="24">
        <v>28898.3552836075</v>
      </c>
      <c r="O127" s="24">
        <v>28904.813716988599</v>
      </c>
      <c r="P127" s="25">
        <v>6.4901105230039704</v>
      </c>
      <c r="Q127" s="25">
        <v>7.7878913741754197</v>
      </c>
      <c r="R127" s="25">
        <v>3.6667026573097901</v>
      </c>
      <c r="S127" s="25">
        <v>1.7936992063577699</v>
      </c>
    </row>
    <row r="128" spans="4:19">
      <c r="D128" s="23" t="s">
        <v>242</v>
      </c>
      <c r="E128" s="24">
        <v>67121</v>
      </c>
      <c r="F128" s="24">
        <v>51658</v>
      </c>
      <c r="G128" s="24">
        <v>62388</v>
      </c>
      <c r="H128" s="24">
        <v>63672.613230754498</v>
      </c>
      <c r="I128" s="24">
        <v>66899.279071880504</v>
      </c>
      <c r="J128" s="24">
        <v>64123.060081086303</v>
      </c>
      <c r="K128" s="24">
        <v>64139.308437833701</v>
      </c>
      <c r="L128" s="24">
        <v>65517.7126837537</v>
      </c>
      <c r="M128" s="24">
        <v>69504.476385689806</v>
      </c>
      <c r="N128" s="24">
        <v>73566.3751582861</v>
      </c>
      <c r="O128" s="24">
        <v>77814.514212059701</v>
      </c>
      <c r="P128" s="25">
        <v>-0.72857305976053999</v>
      </c>
      <c r="Q128" s="25">
        <v>0.70059518223322104</v>
      </c>
      <c r="R128" s="25">
        <v>-0.420421531172743</v>
      </c>
      <c r="S128" s="25">
        <v>0.971037063569402</v>
      </c>
    </row>
    <row r="129" spans="3:19">
      <c r="D129" s="23" t="s">
        <v>207</v>
      </c>
      <c r="E129" s="24">
        <v>77</v>
      </c>
      <c r="F129" s="24">
        <v>964</v>
      </c>
      <c r="G129" s="24">
        <v>9942</v>
      </c>
      <c r="H129" s="24">
        <v>21516.549318470199</v>
      </c>
      <c r="I129" s="24">
        <v>55128.602239687301</v>
      </c>
      <c r="J129" s="24">
        <v>65349.711600884199</v>
      </c>
      <c r="K129" s="24">
        <v>83417.634058887794</v>
      </c>
      <c r="L129" s="24">
        <v>83550.463663565402</v>
      </c>
      <c r="M129" s="24">
        <v>103668.02194797</v>
      </c>
      <c r="N129" s="24">
        <v>121762.989960372</v>
      </c>
      <c r="O129" s="24">
        <v>171302.31382977299</v>
      </c>
      <c r="P129" s="25">
        <v>62.591674337795702</v>
      </c>
      <c r="Q129" s="25">
        <v>18.683493710133799</v>
      </c>
      <c r="R129" s="25">
        <v>4.2288842296008804</v>
      </c>
      <c r="S129" s="25">
        <v>3.6633568277782498</v>
      </c>
    </row>
    <row r="130" spans="3:19">
      <c r="D130" s="23" t="s">
        <v>245</v>
      </c>
      <c r="E130" s="24">
        <v>4.65116279069768</v>
      </c>
      <c r="F130" s="24">
        <v>10.4651162790698</v>
      </c>
      <c r="G130" s="24">
        <v>619.76744186046506</v>
      </c>
      <c r="H130" s="24">
        <v>8601.3284926016604</v>
      </c>
      <c r="I130" s="24">
        <v>31588.7105400291</v>
      </c>
      <c r="J130" s="24">
        <v>39234.166133296399</v>
      </c>
      <c r="K130" s="24">
        <v>41048.335874749297</v>
      </c>
      <c r="L130" s="24">
        <v>41864.978183142302</v>
      </c>
      <c r="M130" s="24">
        <v>51256.660701015098</v>
      </c>
      <c r="N130" s="24">
        <v>58297.696755261</v>
      </c>
      <c r="O130" s="24">
        <v>77182.068668514607</v>
      </c>
      <c r="P130" s="25">
        <v>63.1047923831849</v>
      </c>
      <c r="Q130" s="25">
        <v>48.159776446763701</v>
      </c>
      <c r="R130" s="25">
        <v>2.65411558744939</v>
      </c>
      <c r="S130" s="25">
        <v>3.2074488404588699</v>
      </c>
    </row>
    <row r="131" spans="3:19">
      <c r="D131" s="23" t="s">
        <v>246</v>
      </c>
      <c r="E131" s="24">
        <v>507.34883720930202</v>
      </c>
      <c r="F131" s="24">
        <v>481.53488372093</v>
      </c>
      <c r="G131" s="24">
        <v>476.232558139535</v>
      </c>
      <c r="H131" s="24">
        <v>473.91600000000102</v>
      </c>
      <c r="I131" s="24">
        <v>782.32954890050303</v>
      </c>
      <c r="J131" s="24">
        <v>1198.4508488241199</v>
      </c>
      <c r="K131" s="24">
        <v>2011.03506732438</v>
      </c>
      <c r="L131" s="24">
        <v>3302.8264895136299</v>
      </c>
      <c r="M131" s="24">
        <v>5166.9473270519702</v>
      </c>
      <c r="N131" s="24">
        <v>6603.2096558797903</v>
      </c>
      <c r="O131" s="24">
        <v>6920.4765389133399</v>
      </c>
      <c r="P131" s="25">
        <v>-0.63092631231381802</v>
      </c>
      <c r="Q131" s="25">
        <v>5.0889529774635696</v>
      </c>
      <c r="R131" s="25">
        <v>9.9013408250540706</v>
      </c>
      <c r="S131" s="25">
        <v>6.3740802046764502</v>
      </c>
    </row>
    <row r="132" spans="3:19">
      <c r="D132" s="63" t="s">
        <v>247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25">
        <v>0</v>
      </c>
      <c r="Q132" s="25">
        <v>0</v>
      </c>
      <c r="R132" s="25">
        <v>0</v>
      </c>
      <c r="S132" s="25">
        <v>0</v>
      </c>
    </row>
    <row r="133" spans="3:19">
      <c r="D133" s="57" t="s">
        <v>248</v>
      </c>
      <c r="E133" s="50">
        <v>114543.36476</v>
      </c>
      <c r="F133" s="50">
        <v>114015.30613</v>
      </c>
      <c r="G133" s="50">
        <v>123033.24675000001</v>
      </c>
      <c r="H133" s="50">
        <v>127554.51873</v>
      </c>
      <c r="I133" s="50">
        <v>148952.562949977</v>
      </c>
      <c r="J133" s="50">
        <v>151244.879662636</v>
      </c>
      <c r="K133" s="50">
        <v>157433.03358184599</v>
      </c>
      <c r="L133" s="50">
        <v>159231.81607773001</v>
      </c>
      <c r="M133" s="50">
        <v>168437.698308544</v>
      </c>
      <c r="N133" s="50">
        <v>180093.81696028201</v>
      </c>
      <c r="O133" s="50">
        <v>206513.35325367999</v>
      </c>
      <c r="P133" s="25">
        <v>0.71757365750098101</v>
      </c>
      <c r="Q133" s="25">
        <v>1.9301232970573501</v>
      </c>
      <c r="R133" s="25">
        <v>0.555258863750829</v>
      </c>
      <c r="S133" s="25">
        <v>1.3660710895425401</v>
      </c>
    </row>
    <row r="134" spans="3:19">
      <c r="C134" t="s">
        <v>95</v>
      </c>
      <c r="D134" s="23" t="s">
        <v>233</v>
      </c>
      <c r="E134" s="24">
        <v>64293.120000000003</v>
      </c>
      <c r="F134" s="24">
        <v>64053.120000000003</v>
      </c>
      <c r="G134" s="24">
        <v>63678.720000000001</v>
      </c>
      <c r="H134" s="24">
        <v>63246.720000000001</v>
      </c>
      <c r="I134" s="24">
        <v>61326.720000000001</v>
      </c>
      <c r="J134" s="24">
        <v>59493.120000000003</v>
      </c>
      <c r="K134" s="24">
        <v>59493.120000000003</v>
      </c>
      <c r="L134" s="24">
        <v>56330.16</v>
      </c>
      <c r="M134" s="24">
        <v>42452.160000000003</v>
      </c>
      <c r="N134" s="24">
        <v>39118.559999999998</v>
      </c>
      <c r="O134" s="24">
        <v>32276.400000000001</v>
      </c>
      <c r="P134" s="25">
        <v>-9.5975776186263406E-2</v>
      </c>
      <c r="Q134" s="25">
        <v>-0.37564073626856798</v>
      </c>
      <c r="R134" s="25">
        <v>-0.30308936823264498</v>
      </c>
      <c r="S134" s="25">
        <v>-3.01134936855708</v>
      </c>
    </row>
    <row r="135" spans="3:19">
      <c r="D135" s="23" t="s">
        <v>249</v>
      </c>
      <c r="E135" s="24">
        <v>23570</v>
      </c>
      <c r="F135" s="24">
        <v>24601</v>
      </c>
      <c r="G135" s="24">
        <v>32099</v>
      </c>
      <c r="H135" s="24">
        <v>40333.370000000003</v>
      </c>
      <c r="I135" s="24">
        <v>66684.109258637502</v>
      </c>
      <c r="J135" s="24">
        <v>73867.345736268297</v>
      </c>
      <c r="K135" s="24">
        <v>80703.668699054499</v>
      </c>
      <c r="L135" s="24">
        <v>81891.518078250505</v>
      </c>
      <c r="M135" s="24">
        <v>95681.029192866597</v>
      </c>
      <c r="N135" s="24">
        <v>106528.978448372</v>
      </c>
      <c r="O135" s="24">
        <v>132157.03572437901</v>
      </c>
      <c r="P135" s="25">
        <v>3.1366906381524302</v>
      </c>
      <c r="Q135" s="25">
        <v>7.5853371435377097</v>
      </c>
      <c r="R135" s="25">
        <v>1.9264955104992201</v>
      </c>
      <c r="S135" s="25">
        <v>2.4966923428536298</v>
      </c>
    </row>
    <row r="136" spans="3:19">
      <c r="C136" t="s">
        <v>145</v>
      </c>
      <c r="D136" s="74" t="s">
        <v>242</v>
      </c>
      <c r="E136" s="24">
        <v>23266</v>
      </c>
      <c r="F136" s="24">
        <v>23571</v>
      </c>
      <c r="G136" s="24">
        <v>23779</v>
      </c>
      <c r="H136" s="24">
        <v>23635</v>
      </c>
      <c r="I136" s="24">
        <v>23635.022089432001</v>
      </c>
      <c r="J136" s="24">
        <v>23635.022089432001</v>
      </c>
      <c r="K136" s="24">
        <v>23635.022089432001</v>
      </c>
      <c r="L136" s="24">
        <v>23947.044533813601</v>
      </c>
      <c r="M136" s="24">
        <v>24780.399837884899</v>
      </c>
      <c r="N136" s="24">
        <v>25662.103253449601</v>
      </c>
      <c r="O136" s="24">
        <v>26559.2709306939</v>
      </c>
      <c r="P136" s="25">
        <v>0.21833571444100899</v>
      </c>
      <c r="Q136" s="25">
        <v>-6.0713955436453297E-2</v>
      </c>
      <c r="R136" s="25">
        <v>0</v>
      </c>
      <c r="S136" s="25">
        <v>0.58495057069467604</v>
      </c>
    </row>
    <row r="137" spans="3:19">
      <c r="C137" t="s">
        <v>146</v>
      </c>
      <c r="D137" s="74" t="s">
        <v>207</v>
      </c>
      <c r="E137" s="24">
        <v>57</v>
      </c>
      <c r="F137" s="24">
        <v>777</v>
      </c>
      <c r="G137" s="24">
        <v>7050</v>
      </c>
      <c r="H137" s="24">
        <v>10358.200000000001</v>
      </c>
      <c r="I137" s="24">
        <v>22129.690078874199</v>
      </c>
      <c r="J137" s="24">
        <v>25129.690078874199</v>
      </c>
      <c r="K137" s="24">
        <v>30771.453108045502</v>
      </c>
      <c r="L137" s="24">
        <v>30771.453108045502</v>
      </c>
      <c r="M137" s="24">
        <v>36879.616031662503</v>
      </c>
      <c r="N137" s="24">
        <v>42841.335698432304</v>
      </c>
      <c r="O137" s="24">
        <v>57568.854288961003</v>
      </c>
      <c r="P137" s="25">
        <v>61.894250725746197</v>
      </c>
      <c r="Q137" s="25">
        <v>12.118846621730899</v>
      </c>
      <c r="R137" s="25">
        <v>3.3516149830505699</v>
      </c>
      <c r="S137" s="25">
        <v>3.18153371859073</v>
      </c>
    </row>
    <row r="138" spans="3:19">
      <c r="C138" t="s">
        <v>105</v>
      </c>
      <c r="D138" s="74" t="s">
        <v>245</v>
      </c>
      <c r="E138" s="24">
        <v>7</v>
      </c>
      <c r="F138" s="24">
        <v>13</v>
      </c>
      <c r="G138" s="24">
        <v>1030</v>
      </c>
      <c r="H138" s="24">
        <v>6100.17</v>
      </c>
      <c r="I138" s="24">
        <v>20535.284350296701</v>
      </c>
      <c r="J138" s="24">
        <v>24531.672330268499</v>
      </c>
      <c r="K138" s="24">
        <v>25381.672330268499</v>
      </c>
      <c r="L138" s="24">
        <v>25731.672330268499</v>
      </c>
      <c r="M138" s="24">
        <v>31850.081245220499</v>
      </c>
      <c r="N138" s="24">
        <v>35312.334179876503</v>
      </c>
      <c r="O138" s="24">
        <v>45200.004896947001</v>
      </c>
      <c r="P138" s="25">
        <v>64.7304627677497</v>
      </c>
      <c r="Q138" s="25">
        <v>34.885836512298802</v>
      </c>
      <c r="R138" s="25">
        <v>2.14143410716194</v>
      </c>
      <c r="S138" s="25">
        <v>2.9273786759412399</v>
      </c>
    </row>
    <row r="139" spans="3:19">
      <c r="D139" s="74" t="s">
        <v>250</v>
      </c>
      <c r="E139" s="24">
        <v>240</v>
      </c>
      <c r="F139" s="24">
        <v>240</v>
      </c>
      <c r="G139" s="24">
        <v>240</v>
      </c>
      <c r="H139" s="24">
        <v>240</v>
      </c>
      <c r="I139" s="24">
        <v>384.11274003465297</v>
      </c>
      <c r="J139" s="24">
        <v>570.96123769365602</v>
      </c>
      <c r="K139" s="24">
        <v>915.52117130863201</v>
      </c>
      <c r="L139" s="24">
        <v>1441.3481061228699</v>
      </c>
      <c r="M139" s="24">
        <v>2170.93207809871</v>
      </c>
      <c r="N139" s="24">
        <v>2713.20531661409</v>
      </c>
      <c r="O139" s="24">
        <v>2828.9056077770801</v>
      </c>
      <c r="P139" s="25">
        <v>0</v>
      </c>
      <c r="Q139" s="25">
        <v>4.8153157631909203</v>
      </c>
      <c r="R139" s="25">
        <v>9.0739316777687993</v>
      </c>
      <c r="S139" s="25">
        <v>5.8028833370602904</v>
      </c>
    </row>
    <row r="140" spans="3:19">
      <c r="D140" s="23" t="s">
        <v>251</v>
      </c>
      <c r="E140" s="24">
        <v>26680.244760000001</v>
      </c>
      <c r="F140" s="24">
        <v>25361.186129999998</v>
      </c>
      <c r="G140" s="24">
        <v>27255.526750000001</v>
      </c>
      <c r="H140" s="24">
        <v>23974.42873</v>
      </c>
      <c r="I140" s="24">
        <v>20941.733691339599</v>
      </c>
      <c r="J140" s="24">
        <v>17884.413926368201</v>
      </c>
      <c r="K140" s="24">
        <v>17236.244882791201</v>
      </c>
      <c r="L140" s="24">
        <v>21010.137999479499</v>
      </c>
      <c r="M140" s="24">
        <v>30304.5091156776</v>
      </c>
      <c r="N140" s="24">
        <v>34446.278511909099</v>
      </c>
      <c r="O140" s="24">
        <v>42079.917529301099</v>
      </c>
      <c r="P140" s="25">
        <v>0.213556930079184</v>
      </c>
      <c r="Q140" s="25">
        <v>-2.6007068133065601</v>
      </c>
      <c r="R140" s="25">
        <v>-1.9284583487831199</v>
      </c>
      <c r="S140" s="25">
        <v>4.5638610262814998</v>
      </c>
    </row>
    <row r="141" spans="3:19">
      <c r="C141" t="s">
        <v>147</v>
      </c>
      <c r="D141" s="74" t="s">
        <v>252</v>
      </c>
      <c r="E141" s="24">
        <v>7013.01677556912</v>
      </c>
      <c r="F141" s="24">
        <v>5779</v>
      </c>
      <c r="G141" s="24">
        <v>4606</v>
      </c>
      <c r="H141" s="24">
        <v>10620.368121375001</v>
      </c>
      <c r="I141" s="24">
        <v>6109.5791049857598</v>
      </c>
      <c r="J141" s="24">
        <v>5171.04729508337</v>
      </c>
      <c r="K141" s="24">
        <v>4014.0615078123201</v>
      </c>
      <c r="L141" s="24">
        <v>4841.4466854806597</v>
      </c>
      <c r="M141" s="24">
        <v>5465.2290865968698</v>
      </c>
      <c r="N141" s="24">
        <v>5451.1688470950303</v>
      </c>
      <c r="O141" s="24">
        <v>5293.7626738240197</v>
      </c>
      <c r="P141" s="25">
        <v>-4.1169355878956404</v>
      </c>
      <c r="Q141" s="25">
        <v>2.8652618306087101</v>
      </c>
      <c r="R141" s="25">
        <v>-4.1135427128944704</v>
      </c>
      <c r="S141" s="25">
        <v>1.3932449396145501</v>
      </c>
    </row>
    <row r="142" spans="3:19">
      <c r="D142" s="74" t="s">
        <v>253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400</v>
      </c>
      <c r="P142" s="25">
        <v>0</v>
      </c>
      <c r="Q142" s="25">
        <v>0</v>
      </c>
      <c r="R142" s="25">
        <v>0</v>
      </c>
      <c r="S142" s="25">
        <v>0</v>
      </c>
    </row>
    <row r="143" spans="3:19">
      <c r="C143" t="s">
        <v>148</v>
      </c>
      <c r="D143" s="23" t="s">
        <v>254</v>
      </c>
      <c r="E143" s="24">
        <v>10552.4625</v>
      </c>
      <c r="F143" s="24">
        <v>8636.5774999999994</v>
      </c>
      <c r="G143" s="24">
        <v>7228.9775</v>
      </c>
      <c r="H143" s="24">
        <v>5384.8374999999996</v>
      </c>
      <c r="I143" s="24">
        <v>3855.5255000000002</v>
      </c>
      <c r="J143" s="24">
        <v>3833.5329999999999</v>
      </c>
      <c r="K143" s="24">
        <v>3779.5729999999999</v>
      </c>
      <c r="L143" s="24">
        <v>3479.9</v>
      </c>
      <c r="M143" s="24">
        <v>2891.56</v>
      </c>
      <c r="N143" s="24">
        <v>2891.56</v>
      </c>
      <c r="O143" s="24">
        <v>2891.56</v>
      </c>
      <c r="P143" s="25">
        <v>-3.7119690728068599</v>
      </c>
      <c r="Q143" s="25">
        <v>-6.0924152931646898</v>
      </c>
      <c r="R143" s="25">
        <v>-0.198764939440776</v>
      </c>
      <c r="S143" s="25">
        <v>-1.3301487401325101</v>
      </c>
    </row>
    <row r="144" spans="3:19">
      <c r="C144" t="s">
        <v>149</v>
      </c>
      <c r="D144" s="23" t="s">
        <v>255</v>
      </c>
      <c r="E144" s="24">
        <v>4116.1823299999996</v>
      </c>
      <c r="F144" s="24">
        <v>6054.6136299999998</v>
      </c>
      <c r="G144" s="24">
        <v>9334.1669899999997</v>
      </c>
      <c r="H144" s="24">
        <v>9646.1954399999995</v>
      </c>
      <c r="I144" s="24">
        <v>9180.9182541502105</v>
      </c>
      <c r="J144" s="24">
        <v>8902.3027766084197</v>
      </c>
      <c r="K144" s="24">
        <v>8343.6593825100408</v>
      </c>
      <c r="L144" s="24">
        <v>13267.2730144292</v>
      </c>
      <c r="M144" s="24">
        <v>23193.351935500701</v>
      </c>
      <c r="N144" s="24">
        <v>27259.7589188046</v>
      </c>
      <c r="O144" s="24">
        <v>34924.392860700202</v>
      </c>
      <c r="P144" s="25">
        <v>8.5320724904826708</v>
      </c>
      <c r="Q144" s="25">
        <v>-0.16540615858253699</v>
      </c>
      <c r="R144" s="25">
        <v>-0.95169575973160803</v>
      </c>
      <c r="S144" s="25">
        <v>7.4208575163375201</v>
      </c>
    </row>
    <row r="145" spans="3:19">
      <c r="C145" t="s">
        <v>100</v>
      </c>
      <c r="D145" s="23" t="s">
        <v>256</v>
      </c>
      <c r="E145" s="24">
        <v>11327.541499999999</v>
      </c>
      <c r="F145" s="24">
        <v>9794.2126200000002</v>
      </c>
      <c r="G145" s="24">
        <v>9643.1809799999992</v>
      </c>
      <c r="H145" s="24">
        <v>7692.8021099999996</v>
      </c>
      <c r="I145" s="24">
        <v>5008.3338227870099</v>
      </c>
      <c r="J145" s="24">
        <v>1849.26455278701</v>
      </c>
      <c r="K145" s="24">
        <v>1678.6422027870001</v>
      </c>
      <c r="L145" s="24">
        <v>799.20989999999995</v>
      </c>
      <c r="M145" s="24">
        <v>708.27380000000005</v>
      </c>
      <c r="N145" s="24">
        <v>693.75</v>
      </c>
      <c r="O145" s="24">
        <v>625.02200000000005</v>
      </c>
      <c r="P145" s="25">
        <v>-1.59697130504118</v>
      </c>
      <c r="Q145" s="25">
        <v>-6.3414790629428897</v>
      </c>
      <c r="R145" s="25">
        <v>-10.3549142640684</v>
      </c>
      <c r="S145" s="25">
        <v>-4.8197462401265501</v>
      </c>
    </row>
    <row r="146" spans="3:19">
      <c r="C146" t="s">
        <v>150</v>
      </c>
      <c r="D146" s="23" t="s">
        <v>257</v>
      </c>
      <c r="E146" s="24">
        <v>684.05843000000004</v>
      </c>
      <c r="F146" s="24">
        <v>875.78237999999999</v>
      </c>
      <c r="G146" s="24">
        <v>1049.20128</v>
      </c>
      <c r="H146" s="24">
        <v>1248.5936799999999</v>
      </c>
      <c r="I146" s="24">
        <v>2893.8347427938702</v>
      </c>
      <c r="J146" s="24">
        <v>3296.1922253642601</v>
      </c>
      <c r="K146" s="24">
        <v>3431.2489258856599</v>
      </c>
      <c r="L146" s="24">
        <v>3460.6337134417599</v>
      </c>
      <c r="M146" s="24">
        <v>3508.2020085683798</v>
      </c>
      <c r="N146" s="24">
        <v>3598.0882214959902</v>
      </c>
      <c r="O146" s="24">
        <v>3635.8212969923302</v>
      </c>
      <c r="P146" s="25">
        <v>4.3702109484702101</v>
      </c>
      <c r="Q146" s="25">
        <v>10.678048118932301</v>
      </c>
      <c r="R146" s="25">
        <v>1.71800879340627</v>
      </c>
      <c r="S146" s="25">
        <v>0.28997317938925798</v>
      </c>
    </row>
    <row r="147" spans="3:19">
      <c r="D147" s="23" t="s">
        <v>258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0</v>
      </c>
      <c r="O147" s="24">
        <v>0</v>
      </c>
      <c r="P147" s="25">
        <v>0</v>
      </c>
      <c r="Q147" s="25">
        <v>0</v>
      </c>
      <c r="R147" s="25">
        <v>0</v>
      </c>
      <c r="S147" s="25">
        <v>0</v>
      </c>
    </row>
    <row r="148" spans="3:19">
      <c r="C148" t="s">
        <v>65</v>
      </c>
      <c r="D148" s="23" t="s">
        <v>259</v>
      </c>
      <c r="E148" s="24">
        <v>0</v>
      </c>
      <c r="F148" s="24">
        <v>0</v>
      </c>
      <c r="G148" s="24">
        <v>0</v>
      </c>
      <c r="H148" s="24">
        <v>2</v>
      </c>
      <c r="I148" s="24">
        <v>3.1213716085118901</v>
      </c>
      <c r="J148" s="24">
        <v>3.1213716085118901</v>
      </c>
      <c r="K148" s="24">
        <v>3.1213716085118901</v>
      </c>
      <c r="L148" s="24">
        <v>3.1213716085118901</v>
      </c>
      <c r="M148" s="24">
        <v>3.1213716085118901</v>
      </c>
      <c r="N148" s="24">
        <v>3.1213716085118901</v>
      </c>
      <c r="O148" s="24">
        <v>3.1213716085118901</v>
      </c>
      <c r="P148" s="25">
        <v>0</v>
      </c>
      <c r="Q148" s="25">
        <v>0</v>
      </c>
      <c r="R148" s="25">
        <v>0</v>
      </c>
      <c r="S148" s="25">
        <v>0</v>
      </c>
    </row>
    <row r="149" spans="3:19">
      <c r="D149" s="84" t="s">
        <v>260</v>
      </c>
      <c r="E149" s="85">
        <v>51.043927856774602</v>
      </c>
      <c r="F149" s="85">
        <v>54.606326192469901</v>
      </c>
      <c r="G149" s="85">
        <v>50.032141708741698</v>
      </c>
      <c r="H149" s="85">
        <v>50.1533796793695</v>
      </c>
      <c r="I149" s="85">
        <v>44.018074983625397</v>
      </c>
      <c r="J149" s="85">
        <v>43.675542193460601</v>
      </c>
      <c r="K149" s="85">
        <v>42.631660341992998</v>
      </c>
      <c r="L149" s="85">
        <v>41.836730616206601</v>
      </c>
      <c r="M149" s="85">
        <v>40.083761981407399</v>
      </c>
      <c r="N149" s="85">
        <v>38.740312894831597</v>
      </c>
      <c r="O149" s="85">
        <v>34.900413696099498</v>
      </c>
      <c r="P149" s="25"/>
      <c r="Q149" s="25"/>
      <c r="R149" s="25"/>
      <c r="S149" s="25"/>
    </row>
    <row r="150" spans="3:19">
      <c r="D150" s="84" t="s">
        <v>261</v>
      </c>
      <c r="E150" s="78">
        <v>34.865260960396903</v>
      </c>
      <c r="F150" s="78">
        <v>33.257675569582901</v>
      </c>
      <c r="G150" s="78">
        <v>29.991893327369802</v>
      </c>
      <c r="H150" s="78">
        <v>39.730182278236398</v>
      </c>
      <c r="I150" s="78">
        <v>38.467051292509503</v>
      </c>
      <c r="J150" s="78">
        <v>37.662989671185002</v>
      </c>
      <c r="K150" s="78">
        <v>33.955963005448297</v>
      </c>
      <c r="L150" s="78">
        <v>32.857474432621899</v>
      </c>
      <c r="M150" s="78">
        <v>47.219774557453498</v>
      </c>
      <c r="N150" s="78">
        <v>47.9090609063324</v>
      </c>
      <c r="O150" s="78">
        <v>44.928079738872498</v>
      </c>
      <c r="P150" s="25"/>
      <c r="Q150" s="25"/>
      <c r="R150" s="25"/>
      <c r="S150" s="25"/>
    </row>
    <row r="151" spans="3:19">
      <c r="D151" s="84" t="s">
        <v>262</v>
      </c>
      <c r="E151" s="78">
        <v>3</v>
      </c>
      <c r="F151" s="78">
        <v>2.3662105138620499</v>
      </c>
      <c r="G151" s="78">
        <v>2.8</v>
      </c>
      <c r="H151" s="78">
        <v>2.3860978225072502</v>
      </c>
      <c r="I151" s="78">
        <v>1.8782354631109901</v>
      </c>
      <c r="J151" s="78">
        <v>1.86815047553366</v>
      </c>
      <c r="K151" s="78">
        <v>1.79426407445977</v>
      </c>
      <c r="L151" s="78">
        <v>1.8888679224393199</v>
      </c>
      <c r="M151" s="78">
        <v>2.5750884085629502</v>
      </c>
      <c r="N151" s="78">
        <v>2.6235925782376199</v>
      </c>
      <c r="O151" s="78">
        <v>2.6973664686380299</v>
      </c>
      <c r="P151" s="25"/>
      <c r="Q151" s="25"/>
      <c r="R151" s="25"/>
      <c r="S151" s="25"/>
    </row>
    <row r="152" spans="3:19">
      <c r="D152" s="84" t="s">
        <v>263</v>
      </c>
      <c r="E152" s="78">
        <v>0</v>
      </c>
      <c r="F152" s="78">
        <v>0</v>
      </c>
      <c r="G152" s="78">
        <v>0</v>
      </c>
      <c r="H152" s="78">
        <v>0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0.50283469495805799</v>
      </c>
      <c r="P152" s="25"/>
      <c r="Q152" s="25"/>
      <c r="R152" s="25"/>
      <c r="S152" s="25"/>
    </row>
    <row r="153" spans="3:19">
      <c r="D153" s="84" t="s">
        <v>264</v>
      </c>
      <c r="E153" s="85">
        <v>90.758058100468105</v>
      </c>
      <c r="F153" s="85">
        <v>89.202140229879902</v>
      </c>
      <c r="G153" s="85">
        <v>90.192317687401598</v>
      </c>
      <c r="H153" s="85">
        <v>93.993761187027005</v>
      </c>
      <c r="I153" s="85">
        <v>94.726886506105302</v>
      </c>
      <c r="J153" s="85">
        <v>95.935419951472795</v>
      </c>
      <c r="K153" s="85">
        <v>97.952517406676094</v>
      </c>
      <c r="L153" s="85">
        <v>98.296948272571896</v>
      </c>
      <c r="M153" s="85">
        <v>91.124444730185104</v>
      </c>
      <c r="N153" s="85">
        <v>91.091379021194498</v>
      </c>
      <c r="O153" s="85">
        <v>93.930104672997501</v>
      </c>
      <c r="P153" s="25"/>
      <c r="Q153" s="25"/>
      <c r="R153" s="25"/>
      <c r="S153" s="25"/>
    </row>
    <row r="154" spans="3:19">
      <c r="D154" s="57" t="s">
        <v>265</v>
      </c>
      <c r="E154" s="50">
        <v>13278.26</v>
      </c>
      <c r="F154" s="50">
        <v>17328.03</v>
      </c>
      <c r="G154" s="50">
        <v>17886.5</v>
      </c>
      <c r="H154" s="50">
        <v>9873.2605167731108</v>
      </c>
      <c r="I154" s="50">
        <v>10190.900247609799</v>
      </c>
      <c r="J154" s="50">
        <v>10150.8845970808</v>
      </c>
      <c r="K154" s="50">
        <v>8289.6021763228491</v>
      </c>
      <c r="L154" s="50">
        <v>8055.3776148555598</v>
      </c>
      <c r="M154" s="50">
        <v>14631.974189212</v>
      </c>
      <c r="N154" s="50">
        <v>15242.436970307401</v>
      </c>
      <c r="O154" s="50">
        <v>13059.363907740901</v>
      </c>
      <c r="P154" s="25">
        <v>3.0240028734775</v>
      </c>
      <c r="Q154" s="25">
        <v>-5.4702044996892898</v>
      </c>
      <c r="R154" s="25">
        <v>-2.0437583676424</v>
      </c>
      <c r="S154" s="25">
        <v>2.2985355771723701</v>
      </c>
    </row>
    <row r="155" spans="3:19">
      <c r="D155" s="23" t="s">
        <v>181</v>
      </c>
      <c r="E155" s="24">
        <v>6558.56</v>
      </c>
      <c r="F155" s="24">
        <v>6401.53</v>
      </c>
      <c r="G155" s="24">
        <v>4717.1000000000004</v>
      </c>
      <c r="H155" s="24">
        <v>2257.6709892307199</v>
      </c>
      <c r="I155" s="24">
        <v>2327.44022060511</v>
      </c>
      <c r="J155" s="24">
        <v>78.8035890155017</v>
      </c>
      <c r="K155" s="24">
        <v>14.2059577261396</v>
      </c>
      <c r="L155" s="24">
        <v>0</v>
      </c>
      <c r="M155" s="24">
        <v>0</v>
      </c>
      <c r="N155" s="24">
        <v>0</v>
      </c>
      <c r="O155" s="24">
        <v>0</v>
      </c>
      <c r="P155" s="25">
        <v>-3.2420499376699898</v>
      </c>
      <c r="Q155" s="25">
        <v>-6.8205065447594899</v>
      </c>
      <c r="R155" s="25">
        <v>-39.943613435704897</v>
      </c>
      <c r="S155" s="25">
        <v>-100</v>
      </c>
    </row>
    <row r="156" spans="3:19">
      <c r="D156" s="23" t="s">
        <v>236</v>
      </c>
      <c r="E156" s="24">
        <v>1242</v>
      </c>
      <c r="F156" s="24">
        <v>2159.6999999999998</v>
      </c>
      <c r="G156" s="24">
        <v>1639.2</v>
      </c>
      <c r="H156" s="24">
        <v>135.03579012365</v>
      </c>
      <c r="I156" s="24">
        <v>2.40253668914192E-4</v>
      </c>
      <c r="J156" s="24">
        <v>111.496098016183</v>
      </c>
      <c r="K156" s="24">
        <v>112.707342486507</v>
      </c>
      <c r="L156" s="24">
        <v>80.4141659586207</v>
      </c>
      <c r="M156" s="24">
        <v>30.8586647172414</v>
      </c>
      <c r="N156" s="24">
        <v>33.885132347332203</v>
      </c>
      <c r="O156" s="24">
        <v>6.4757786482758597</v>
      </c>
      <c r="P156" s="25">
        <v>2.8137109812355998</v>
      </c>
      <c r="Q156" s="25">
        <v>-79.269784905474197</v>
      </c>
      <c r="R156" s="25">
        <v>269.08654906601998</v>
      </c>
      <c r="S156" s="25">
        <v>-13.3104019484375</v>
      </c>
    </row>
    <row r="157" spans="3:19">
      <c r="D157" s="23" t="s">
        <v>239</v>
      </c>
      <c r="E157" s="24">
        <v>4001.6</v>
      </c>
      <c r="F157" s="24">
        <v>6298</v>
      </c>
      <c r="G157" s="24">
        <v>8178.2</v>
      </c>
      <c r="H157" s="24">
        <v>4941.3189421444904</v>
      </c>
      <c r="I157" s="24">
        <v>3720.7432438483102</v>
      </c>
      <c r="J157" s="24">
        <v>4399.2928244581299</v>
      </c>
      <c r="K157" s="24">
        <v>2435.6105975151299</v>
      </c>
      <c r="L157" s="24">
        <v>2073.0931068180298</v>
      </c>
      <c r="M157" s="24">
        <v>7874.8525700032396</v>
      </c>
      <c r="N157" s="24">
        <v>8084.88685804343</v>
      </c>
      <c r="O157" s="24">
        <v>5892.5010595241301</v>
      </c>
      <c r="P157" s="25">
        <v>7.4094283670126799</v>
      </c>
      <c r="Q157" s="25">
        <v>-7.5733531639325902</v>
      </c>
      <c r="R157" s="25">
        <v>-4.1487424039445502</v>
      </c>
      <c r="S157" s="25">
        <v>4.5164357119887004</v>
      </c>
    </row>
    <row r="158" spans="3:19">
      <c r="D158" s="23" t="s">
        <v>206</v>
      </c>
      <c r="E158" s="24">
        <v>1476.1</v>
      </c>
      <c r="F158" s="24">
        <v>2468.8000000000002</v>
      </c>
      <c r="G158" s="24">
        <v>3352</v>
      </c>
      <c r="H158" s="24">
        <v>2529.44111527424</v>
      </c>
      <c r="I158" s="24">
        <v>4127.4316855553197</v>
      </c>
      <c r="J158" s="24">
        <v>5546.0072282435704</v>
      </c>
      <c r="K158" s="24">
        <v>5711.7934212476503</v>
      </c>
      <c r="L158" s="24">
        <v>5886.5854847314804</v>
      </c>
      <c r="M158" s="24">
        <v>6710.9780971441296</v>
      </c>
      <c r="N158" s="24">
        <v>7108.3801225692396</v>
      </c>
      <c r="O158" s="24">
        <v>7145.1022122210497</v>
      </c>
      <c r="P158" s="25">
        <v>8.5472494288343803</v>
      </c>
      <c r="Q158" s="25">
        <v>2.1027850317671102</v>
      </c>
      <c r="R158" s="25">
        <v>3.30212605603371</v>
      </c>
      <c r="S158" s="25">
        <v>1.1257598068171699</v>
      </c>
    </row>
    <row r="159" spans="3:19">
      <c r="D159" s="63" t="s">
        <v>259</v>
      </c>
      <c r="E159" s="24">
        <v>0</v>
      </c>
      <c r="F159" s="24">
        <v>0</v>
      </c>
      <c r="G159" s="24">
        <v>0</v>
      </c>
      <c r="H159" s="24">
        <v>9.7936800000000002</v>
      </c>
      <c r="I159" s="24">
        <v>15.284857347425399</v>
      </c>
      <c r="J159" s="24">
        <v>15.284857347425399</v>
      </c>
      <c r="K159" s="24">
        <v>15.284857347425399</v>
      </c>
      <c r="L159" s="24">
        <v>15.284857347425399</v>
      </c>
      <c r="M159" s="24">
        <v>15.284857347425399</v>
      </c>
      <c r="N159" s="24">
        <v>15.284857347425399</v>
      </c>
      <c r="O159" s="24">
        <v>15.284857347425399</v>
      </c>
      <c r="P159" s="25">
        <v>0</v>
      </c>
      <c r="Q159" s="25">
        <v>0</v>
      </c>
      <c r="R159" s="25">
        <v>0</v>
      </c>
      <c r="S159" s="25">
        <v>0</v>
      </c>
    </row>
    <row r="160" spans="3:19">
      <c r="D160" s="63" t="s">
        <v>266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5">
        <v>0</v>
      </c>
      <c r="Q160" s="25">
        <v>0</v>
      </c>
      <c r="R160" s="25">
        <v>0</v>
      </c>
      <c r="S160" s="25">
        <v>0</v>
      </c>
    </row>
    <row r="161" spans="4:19">
      <c r="D161" s="57" t="s">
        <v>267</v>
      </c>
      <c r="E161" s="50">
        <v>205143.94</v>
      </c>
      <c r="F161" s="50">
        <v>211861.57</v>
      </c>
      <c r="G161" s="50">
        <v>191249.50000115999</v>
      </c>
      <c r="H161" s="50">
        <v>166424.75768238501</v>
      </c>
      <c r="I161" s="50">
        <v>153149.72706981999</v>
      </c>
      <c r="J161" s="50">
        <v>150337.40354361999</v>
      </c>
      <c r="K161" s="50">
        <v>149660.544946051</v>
      </c>
      <c r="L161" s="50">
        <v>146386.38654549001</v>
      </c>
      <c r="M161" s="50">
        <v>126212.113741401</v>
      </c>
      <c r="N161" s="50">
        <v>121139.128669155</v>
      </c>
      <c r="O161" s="50">
        <v>111059.728683081</v>
      </c>
      <c r="P161" s="25">
        <v>-0.69887662655441196</v>
      </c>
      <c r="Q161" s="25">
        <v>-2.19713165694706</v>
      </c>
      <c r="R161" s="25">
        <v>-0.23019818959094701</v>
      </c>
      <c r="S161" s="25">
        <v>-1.4804398332981901</v>
      </c>
    </row>
    <row r="162" spans="4:19">
      <c r="D162" s="63" t="s">
        <v>268</v>
      </c>
      <c r="E162" s="24">
        <v>90823.1</v>
      </c>
      <c r="F162" s="24">
        <v>88392.3</v>
      </c>
      <c r="G162" s="24">
        <v>73306.400001160204</v>
      </c>
      <c r="H162" s="24">
        <v>49008.543314121802</v>
      </c>
      <c r="I162" s="24">
        <v>48120.2139486046</v>
      </c>
      <c r="J162" s="24">
        <v>48188.555768833598</v>
      </c>
      <c r="K162" s="24">
        <v>47968.481728663901</v>
      </c>
      <c r="L162" s="24">
        <v>48157.304798942998</v>
      </c>
      <c r="M162" s="24">
        <v>48508.447150112399</v>
      </c>
      <c r="N162" s="24">
        <v>48429.468071982403</v>
      </c>
      <c r="O162" s="24">
        <v>48975.201108011403</v>
      </c>
      <c r="P162" s="25">
        <v>-2.1198655802288902</v>
      </c>
      <c r="Q162" s="25">
        <v>-4.12208839753111</v>
      </c>
      <c r="R162" s="25">
        <v>-3.1576740148575602E-2</v>
      </c>
      <c r="S162" s="25">
        <v>0.103903470211786</v>
      </c>
    </row>
    <row r="163" spans="4:19">
      <c r="D163" s="63" t="s">
        <v>269</v>
      </c>
      <c r="E163" s="24">
        <v>324.60000000000002</v>
      </c>
      <c r="F163" s="24">
        <v>650.6</v>
      </c>
      <c r="G163" s="24">
        <v>2397.1</v>
      </c>
      <c r="H163" s="24">
        <v>2745.85226126311</v>
      </c>
      <c r="I163" s="24">
        <v>3129.88024253616</v>
      </c>
      <c r="J163" s="24">
        <v>3098.5451261397402</v>
      </c>
      <c r="K163" s="24">
        <v>3129.0946213572001</v>
      </c>
      <c r="L163" s="24">
        <v>3015.0715941157</v>
      </c>
      <c r="M163" s="24">
        <v>3148.3738394696602</v>
      </c>
      <c r="N163" s="24">
        <v>3393.7658824045002</v>
      </c>
      <c r="O163" s="24">
        <v>3602.5632036526999</v>
      </c>
      <c r="P163" s="25">
        <v>22.133207729781901</v>
      </c>
      <c r="Q163" s="25">
        <v>2.7032429042223698</v>
      </c>
      <c r="R163" s="25">
        <v>-2.5103514208146801E-3</v>
      </c>
      <c r="S163" s="25">
        <v>0.70699694976137395</v>
      </c>
    </row>
    <row r="164" spans="4:19">
      <c r="D164" s="63" t="s">
        <v>270</v>
      </c>
      <c r="E164" s="24">
        <v>312.39999999999998</v>
      </c>
      <c r="F164" s="24">
        <v>447.9</v>
      </c>
      <c r="G164" s="24">
        <v>608.1</v>
      </c>
      <c r="H164" s="24">
        <v>546.07670445966096</v>
      </c>
      <c r="I164" s="24">
        <v>575.85643153807905</v>
      </c>
      <c r="J164" s="24">
        <v>612.66275601468703</v>
      </c>
      <c r="K164" s="24">
        <v>573.06192818318198</v>
      </c>
      <c r="L164" s="24">
        <v>530.29440460025899</v>
      </c>
      <c r="M164" s="24">
        <v>435.08294670387602</v>
      </c>
      <c r="N164" s="24">
        <v>369.93750455221198</v>
      </c>
      <c r="O164" s="24">
        <v>300.71148373478701</v>
      </c>
      <c r="P164" s="25">
        <v>6.8873716198599704</v>
      </c>
      <c r="Q164" s="25">
        <v>-0.54332823680557396</v>
      </c>
      <c r="R164" s="25">
        <v>-4.86340782208661E-2</v>
      </c>
      <c r="S164" s="25">
        <v>-3.1727889611951099</v>
      </c>
    </row>
    <row r="165" spans="4:19">
      <c r="D165" s="63" t="s">
        <v>271</v>
      </c>
      <c r="E165" s="24">
        <v>113683.84</v>
      </c>
      <c r="F165" s="24">
        <v>122370.77</v>
      </c>
      <c r="G165" s="24">
        <v>114937.9</v>
      </c>
      <c r="H165" s="24">
        <v>114124.28540254</v>
      </c>
      <c r="I165" s="24">
        <v>101323.776447141</v>
      </c>
      <c r="J165" s="24">
        <v>98437.639892632302</v>
      </c>
      <c r="K165" s="24">
        <v>97989.906667846604</v>
      </c>
      <c r="L165" s="24">
        <v>94683.715747831098</v>
      </c>
      <c r="M165" s="24">
        <v>74120.209805114893</v>
      </c>
      <c r="N165" s="24">
        <v>68945.957210216104</v>
      </c>
      <c r="O165" s="24">
        <v>58181.252887682298</v>
      </c>
      <c r="P165" s="25">
        <v>0.10976740299966101</v>
      </c>
      <c r="Q165" s="25">
        <v>-1.2527952127828601</v>
      </c>
      <c r="R165" s="25">
        <v>-0.33400711835952501</v>
      </c>
      <c r="S165" s="25">
        <v>-2.5728303084233102</v>
      </c>
    </row>
  </sheetData>
  <mergeCells count="3">
    <mergeCell ref="C31:C53"/>
    <mergeCell ref="C59:C61"/>
    <mergeCell ref="P87:S87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42"/>
  <sheetViews>
    <sheetView zoomScale="55" zoomScaleNormal="55" workbookViewId="0">
      <selection activeCell="AC32" sqref="AC32"/>
    </sheetView>
  </sheetViews>
  <sheetFormatPr defaultRowHeight="14.25"/>
  <cols>
    <col min="1" max="36" width="10.625" customWidth="1"/>
  </cols>
  <sheetData>
    <row r="1" spans="2:27">
      <c r="C1" t="s">
        <v>126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2:27" ht="15">
      <c r="B2" t="s">
        <v>95</v>
      </c>
      <c r="C2" s="88"/>
      <c r="D2" s="88"/>
      <c r="E2" s="88"/>
      <c r="F2" s="88"/>
      <c r="G2" s="88"/>
      <c r="H2" s="88"/>
      <c r="I2" s="88"/>
      <c r="J2" s="88"/>
      <c r="K2" s="88"/>
      <c r="Z2" s="199"/>
    </row>
    <row r="3" spans="2:27">
      <c r="B3" t="s">
        <v>105</v>
      </c>
      <c r="C3" s="1">
        <f>INDEX($T$25:$T$38,MATCH(B3,$P$25:$P$38,0))</f>
        <v>18900.79</v>
      </c>
      <c r="D3" s="31">
        <f t="shared" ref="D3:K4" si="0">INDEX($E$25:$L$53,MATCH($B3,$D$25:$D$53,0),MATCH(D$1,$E$24:$L$24,0))</f>
        <v>18904.953000000001</v>
      </c>
      <c r="E3" s="31">
        <f t="shared" si="0"/>
        <v>20056.8173441047</v>
      </c>
      <c r="F3" s="31">
        <f t="shared" si="0"/>
        <v>23014.953000000001</v>
      </c>
      <c r="G3" s="31">
        <f t="shared" si="0"/>
        <v>24562.015301829899</v>
      </c>
      <c r="H3" s="31">
        <f t="shared" si="0"/>
        <v>25711.015301829899</v>
      </c>
      <c r="I3" s="31">
        <f t="shared" si="0"/>
        <v>27050.465516039501</v>
      </c>
      <c r="J3" s="31">
        <f t="shared" si="0"/>
        <v>49227.450865438797</v>
      </c>
      <c r="K3" s="31">
        <f t="shared" si="0"/>
        <v>56764.634816520003</v>
      </c>
      <c r="AA3" s="200"/>
    </row>
    <row r="4" spans="2:27">
      <c r="B4" t="s">
        <v>120</v>
      </c>
      <c r="C4" s="1">
        <f>INDEX($T$25:$T$38,MATCH(B4,$P$25:$P$38,0))</f>
        <v>9136.6291141882502</v>
      </c>
      <c r="D4" s="31">
        <f t="shared" si="0"/>
        <v>8957.7999999999993</v>
      </c>
      <c r="E4" s="31">
        <f t="shared" si="0"/>
        <v>8963.4827562516202</v>
      </c>
      <c r="F4" s="31">
        <f t="shared" si="0"/>
        <v>12569.6664818425</v>
      </c>
      <c r="G4" s="31">
        <f t="shared" si="0"/>
        <v>15577.442076106499</v>
      </c>
      <c r="H4" s="31">
        <f t="shared" si="0"/>
        <v>15846.2694302456</v>
      </c>
      <c r="I4" s="31">
        <f t="shared" si="0"/>
        <v>17735.692239690401</v>
      </c>
      <c r="J4" s="31">
        <f t="shared" si="0"/>
        <v>19793.164398544501</v>
      </c>
      <c r="K4" s="31">
        <f t="shared" si="0"/>
        <v>25957.2787707973</v>
      </c>
      <c r="AA4" s="200"/>
    </row>
    <row r="5" spans="2:27">
      <c r="C5" s="1"/>
      <c r="AA5" s="200"/>
    </row>
    <row r="6" spans="2:27">
      <c r="B6" t="s">
        <v>80</v>
      </c>
      <c r="C6" s="1">
        <f>INDEX($T$25:$T$38,MATCH(B6,$P$25:$P$38,0))</f>
        <v>5203.3</v>
      </c>
      <c r="D6" s="31">
        <f t="shared" ref="D6:K7" si="1">INDEX($E$25:$L$53,MATCH($B6,$D$25:$D$53,0),MATCH(D$1,$E$24:$L$24,0))</f>
        <v>5228.0961778530418</v>
      </c>
      <c r="E6" s="31">
        <f t="shared" si="1"/>
        <v>5311.7741878489278</v>
      </c>
      <c r="F6" s="31">
        <f t="shared" si="1"/>
        <v>5311.7741878489278</v>
      </c>
      <c r="G6" s="31">
        <f t="shared" si="1"/>
        <v>5348.6329321956609</v>
      </c>
      <c r="H6" s="31">
        <f t="shared" si="1"/>
        <v>5423.7180119674185</v>
      </c>
      <c r="I6" s="31">
        <f t="shared" si="1"/>
        <v>5483.9599771668736</v>
      </c>
      <c r="J6" s="31">
        <f t="shared" si="1"/>
        <v>5513.9411734747673</v>
      </c>
      <c r="K6" s="31">
        <f t="shared" si="1"/>
        <v>5531.9545189318396</v>
      </c>
      <c r="AA6" s="200"/>
    </row>
    <row r="7" spans="2:27">
      <c r="B7" t="s">
        <v>75</v>
      </c>
      <c r="C7" s="1">
        <f>INDEX($T$25:$T$38,MATCH(B7,$P$25:$P$38,0))</f>
        <v>13220.9</v>
      </c>
      <c r="D7" s="31">
        <f t="shared" si="1"/>
        <v>13283.903822146958</v>
      </c>
      <c r="E7" s="31">
        <f t="shared" si="1"/>
        <v>13496.518624744273</v>
      </c>
      <c r="F7" s="31">
        <f t="shared" si="1"/>
        <v>13496.518624744273</v>
      </c>
      <c r="G7" s="31">
        <f t="shared" si="1"/>
        <v>13590.171839652838</v>
      </c>
      <c r="H7" s="31">
        <f t="shared" si="1"/>
        <v>13780.953138281482</v>
      </c>
      <c r="I7" s="31">
        <f t="shared" si="1"/>
        <v>13934.020037692526</v>
      </c>
      <c r="J7" s="31">
        <f t="shared" si="1"/>
        <v>14010.198308841032</v>
      </c>
      <c r="K7" s="31">
        <f t="shared" si="1"/>
        <v>14055.967847201959</v>
      </c>
      <c r="AA7" s="200"/>
    </row>
    <row r="8" spans="2:27">
      <c r="B8" t="s">
        <v>85</v>
      </c>
      <c r="C8" s="1">
        <f>INDEX($T$25:$T$38,MATCH(B8,$P$25:$P$38,0))</f>
        <v>3795.9</v>
      </c>
      <c r="D8" s="86">
        <f t="shared" ref="D8:K8" si="2">C8</f>
        <v>3795.9</v>
      </c>
      <c r="E8" s="86">
        <f t="shared" si="2"/>
        <v>3795.9</v>
      </c>
      <c r="F8" s="86">
        <f t="shared" si="2"/>
        <v>3795.9</v>
      </c>
      <c r="G8" s="86">
        <f t="shared" si="2"/>
        <v>3795.9</v>
      </c>
      <c r="H8" s="86">
        <f t="shared" si="2"/>
        <v>3795.9</v>
      </c>
      <c r="I8" s="86">
        <f t="shared" si="2"/>
        <v>3795.9</v>
      </c>
      <c r="J8" s="86">
        <f t="shared" si="2"/>
        <v>3795.9</v>
      </c>
      <c r="K8" s="86">
        <f t="shared" si="2"/>
        <v>3795.9</v>
      </c>
      <c r="AA8" s="200"/>
    </row>
    <row r="9" spans="2:27">
      <c r="C9" s="1"/>
      <c r="AA9" s="200"/>
    </row>
    <row r="10" spans="2:27">
      <c r="B10" t="s">
        <v>60</v>
      </c>
      <c r="C10" s="1">
        <f>INDEX($T$25:$T$38,MATCH(B10,$P$25:$P$38,0))</f>
        <v>43923.990978955298</v>
      </c>
      <c r="D10" s="31">
        <f t="shared" ref="D10:K12" si="3">INDEX($E$25:$L$53,MATCH($B10,$D$25:$D$53,0),MATCH(D$1,$E$24:$L$24,0))</f>
        <v>52044.520140000001</v>
      </c>
      <c r="E10" s="31">
        <f t="shared" si="3"/>
        <v>51352.575464723202</v>
      </c>
      <c r="F10" s="31">
        <f t="shared" si="3"/>
        <v>47623.093404199499</v>
      </c>
      <c r="G10" s="31">
        <f t="shared" si="3"/>
        <v>41739.442986253198</v>
      </c>
      <c r="H10" s="31">
        <f t="shared" si="3"/>
        <v>35862.127868081101</v>
      </c>
      <c r="I10" s="31">
        <f t="shared" si="3"/>
        <v>35862.127868081101</v>
      </c>
      <c r="J10" s="31">
        <f t="shared" si="3"/>
        <v>35862.127868081101</v>
      </c>
      <c r="K10" s="31">
        <f t="shared" si="3"/>
        <v>35862.127868081101</v>
      </c>
      <c r="AA10" s="200"/>
    </row>
    <row r="11" spans="2:27">
      <c r="B11" t="s">
        <v>441</v>
      </c>
      <c r="C11" s="1"/>
      <c r="D11" s="31">
        <f t="shared" si="3"/>
        <v>0</v>
      </c>
      <c r="E11" s="31">
        <f t="shared" si="3"/>
        <v>0</v>
      </c>
      <c r="F11" s="31">
        <f t="shared" si="3"/>
        <v>0</v>
      </c>
      <c r="G11" s="31">
        <f t="shared" si="3"/>
        <v>0</v>
      </c>
      <c r="H11" s="31">
        <f t="shared" si="3"/>
        <v>0</v>
      </c>
      <c r="I11" s="31">
        <f t="shared" si="3"/>
        <v>9350.9504850730955</v>
      </c>
      <c r="J11" s="31">
        <f t="shared" si="3"/>
        <v>9219.3718435810006</v>
      </c>
      <c r="K11" s="31">
        <f t="shared" si="3"/>
        <v>9199.5035090357997</v>
      </c>
      <c r="AA11" s="200"/>
    </row>
    <row r="12" spans="2:27">
      <c r="B12" t="s">
        <v>100</v>
      </c>
      <c r="C12" s="1">
        <f>INDEX($T$25:$T$38,MATCH(B12,$P$25:$P$38,0))</f>
        <v>3197.9</v>
      </c>
      <c r="D12" s="31">
        <f t="shared" si="3"/>
        <v>13927.99768</v>
      </c>
      <c r="E12" s="31">
        <f t="shared" si="3"/>
        <v>8629.2116280374794</v>
      </c>
      <c r="F12" s="31">
        <f t="shared" si="3"/>
        <v>6039.6877909933601</v>
      </c>
      <c r="G12" s="31">
        <f t="shared" si="3"/>
        <v>2331.9670034559199</v>
      </c>
      <c r="H12" s="31">
        <f t="shared" si="3"/>
        <v>797.77677413312904</v>
      </c>
      <c r="I12" s="31">
        <f t="shared" si="3"/>
        <v>603.40888901077199</v>
      </c>
      <c r="J12" s="31">
        <f t="shared" si="3"/>
        <v>483.39818350521301</v>
      </c>
      <c r="K12" s="31">
        <f t="shared" si="3"/>
        <v>128.12163478751401</v>
      </c>
      <c r="AA12" s="200"/>
    </row>
    <row r="13" spans="2:27">
      <c r="B13" t="s">
        <v>55</v>
      </c>
      <c r="C13" s="1">
        <f>INDEX($T$25:$T$38,MATCH(B13,$P$25:$P$38,0))</f>
        <v>2984.4095869118501</v>
      </c>
      <c r="D13" s="31">
        <f t="shared" ref="D13:K13" si="4">(D14-$D14)/($K14-$D14)*($K14-$C14)+$C14</f>
        <v>2984.4095869118501</v>
      </c>
      <c r="E13" s="31">
        <f t="shared" si="4"/>
        <v>3734.3996342659284</v>
      </c>
      <c r="F13" s="31">
        <f t="shared" si="4"/>
        <v>3805.945295235153</v>
      </c>
      <c r="G13" s="31">
        <f t="shared" si="4"/>
        <v>3762.1678645948364</v>
      </c>
      <c r="H13" s="31">
        <f t="shared" si="4"/>
        <v>3860.927558151986</v>
      </c>
      <c r="I13" s="31">
        <f t="shared" si="4"/>
        <v>4724.8927970343557</v>
      </c>
      <c r="J13" s="31">
        <f t="shared" si="4"/>
        <v>4733.2848507149974</v>
      </c>
      <c r="K13" s="31">
        <f t="shared" si="4"/>
        <v>4676.9421972070086</v>
      </c>
      <c r="AA13" s="200"/>
    </row>
    <row r="14" spans="2:27">
      <c r="B14" t="s">
        <v>284</v>
      </c>
      <c r="C14" s="1">
        <f>INDEX($T$25:$T$38,MATCH(L14,$P$25:$P$38,0))</f>
        <v>2984.4095869118501</v>
      </c>
      <c r="D14" s="31">
        <f t="shared" ref="D14:K14" si="5">INDEX($E$25:$L$53,MATCH($L14,$D$25:$D$53,0),MATCH(D$1,$E$24:$L$24,0))</f>
        <v>3679.6229968254211</v>
      </c>
      <c r="E14" s="31">
        <f t="shared" si="5"/>
        <v>4121.5521329446237</v>
      </c>
      <c r="F14" s="31">
        <f t="shared" si="5"/>
        <v>4163.7101752503231</v>
      </c>
      <c r="G14" s="31">
        <f t="shared" si="5"/>
        <v>4137.9144701304394</v>
      </c>
      <c r="H14" s="31">
        <f t="shared" si="5"/>
        <v>4196.1082904499017</v>
      </c>
      <c r="I14" s="31">
        <f t="shared" si="5"/>
        <v>4705.1969283635844</v>
      </c>
      <c r="J14" s="31">
        <f t="shared" si="5"/>
        <v>4710.1419180290286</v>
      </c>
      <c r="K14" s="31">
        <f t="shared" si="5"/>
        <v>4676.9421972070086</v>
      </c>
      <c r="L14" t="s">
        <v>55</v>
      </c>
      <c r="AA14" s="200"/>
    </row>
    <row r="15" spans="2:27">
      <c r="B15" t="s">
        <v>110</v>
      </c>
      <c r="C15" s="1">
        <f>INDEX($T$25:$T$38,MATCH(B15,$P$25:$P$38,0))</f>
        <v>916.759056476757</v>
      </c>
      <c r="D15" s="31">
        <f t="shared" ref="D15:K15" si="6">(D16-$D16)/($K16-$D16)*($K16-$C16)+$C16</f>
        <v>916.759056476757</v>
      </c>
      <c r="E15" s="31">
        <f t="shared" si="6"/>
        <v>1147.1430396922588</v>
      </c>
      <c r="F15" s="31">
        <f t="shared" si="6"/>
        <v>1169.1206304803327</v>
      </c>
      <c r="G15" s="31">
        <f t="shared" si="6"/>
        <v>1155.6729602326564</v>
      </c>
      <c r="H15" s="31">
        <f t="shared" si="6"/>
        <v>1186.0102315912679</v>
      </c>
      <c r="I15" s="31">
        <f t="shared" si="6"/>
        <v>1451.4054242283808</v>
      </c>
      <c r="J15" s="31">
        <f t="shared" si="6"/>
        <v>1453.9833181099407</v>
      </c>
      <c r="K15" s="31">
        <f t="shared" si="6"/>
        <v>1436.6758285160511</v>
      </c>
      <c r="AA15" s="200"/>
    </row>
    <row r="16" spans="2:27">
      <c r="B16" t="s">
        <v>285</v>
      </c>
      <c r="C16" s="1">
        <f>INDEX($T$25:$T$38,MATCH(L16,$P$25:$P$38,0))</f>
        <v>916.759056476757</v>
      </c>
      <c r="D16" s="31">
        <f t="shared" ref="D16:K16" si="7">INDEX($E$25:$L$53,MATCH($L16,$D$25:$D$53,0),MATCH(D$1,$E$24:$L$24,0))</f>
        <v>1130.3166031745789</v>
      </c>
      <c r="E16" s="31">
        <f t="shared" si="7"/>
        <v>1266.0695975473966</v>
      </c>
      <c r="F16" s="31">
        <f t="shared" si="7"/>
        <v>1279.0198196806371</v>
      </c>
      <c r="G16" s="31">
        <f t="shared" si="7"/>
        <v>1271.0958248005213</v>
      </c>
      <c r="H16" s="31">
        <f t="shared" si="7"/>
        <v>1288.9719608519581</v>
      </c>
      <c r="I16" s="31">
        <f t="shared" si="7"/>
        <v>1445.3551937042957</v>
      </c>
      <c r="J16" s="31">
        <f t="shared" si="7"/>
        <v>1446.8742090833716</v>
      </c>
      <c r="K16" s="31">
        <f t="shared" si="7"/>
        <v>1436.6758285160511</v>
      </c>
      <c r="L16" t="s">
        <v>110</v>
      </c>
      <c r="AA16" s="200"/>
    </row>
    <row r="17" spans="2:27">
      <c r="B17" t="s">
        <v>91</v>
      </c>
      <c r="C17" s="88"/>
      <c r="D17" s="88"/>
      <c r="E17" s="88"/>
      <c r="F17" s="88"/>
      <c r="G17" s="88"/>
      <c r="H17" s="88"/>
      <c r="I17" s="88"/>
      <c r="J17" s="88"/>
      <c r="K17" s="88"/>
      <c r="AA17" s="200"/>
    </row>
    <row r="18" spans="2:27">
      <c r="B18" t="s">
        <v>70</v>
      </c>
      <c r="C18" s="1">
        <f>INDEX($T$25:$T$38,MATCH(B18,$P$25:$P$38,0))</f>
        <v>8700.2000000000007</v>
      </c>
      <c r="D18" s="31">
        <f t="shared" ref="D18:K19" si="8">INDEX($E$25:$L$53,MATCH($B18,$D$25:$D$53,0),MATCH(D$1,$E$24:$L$24,0))</f>
        <v>9511.49</v>
      </c>
      <c r="E18" s="31">
        <f t="shared" si="8"/>
        <v>8858.0188836439702</v>
      </c>
      <c r="F18" s="31">
        <f t="shared" si="8"/>
        <v>5103.4988836439697</v>
      </c>
      <c r="G18" s="31">
        <f t="shared" si="8"/>
        <v>5098.3688836439696</v>
      </c>
      <c r="H18" s="31">
        <f t="shared" si="8"/>
        <v>4803.0488836439699</v>
      </c>
      <c r="I18" s="31">
        <f t="shared" si="8"/>
        <v>2226.1288836439699</v>
      </c>
      <c r="J18" s="31">
        <f t="shared" si="8"/>
        <v>2214.1688836439698</v>
      </c>
      <c r="K18" s="31">
        <f t="shared" si="8"/>
        <v>1901.3688836439701</v>
      </c>
      <c r="AA18" s="200"/>
    </row>
    <row r="19" spans="2:27">
      <c r="B19" t="s">
        <v>65</v>
      </c>
      <c r="C19" s="1">
        <f>INDEX($T$25:$T$38,MATCH(B19,$P$25:$P$38,0))</f>
        <v>773.21817824699201</v>
      </c>
      <c r="D19" s="31">
        <f t="shared" si="8"/>
        <v>773</v>
      </c>
      <c r="E19" s="31">
        <f t="shared" si="8"/>
        <v>773</v>
      </c>
      <c r="F19" s="31">
        <f t="shared" si="8"/>
        <v>773</v>
      </c>
      <c r="G19" s="31">
        <f t="shared" si="8"/>
        <v>773</v>
      </c>
      <c r="H19" s="31">
        <f t="shared" si="8"/>
        <v>773</v>
      </c>
      <c r="I19" s="31">
        <f t="shared" si="8"/>
        <v>773</v>
      </c>
      <c r="J19" s="31">
        <f t="shared" si="8"/>
        <v>692</v>
      </c>
      <c r="K19" s="31">
        <f t="shared" si="8"/>
        <v>692</v>
      </c>
      <c r="AA19" s="200"/>
    </row>
    <row r="20" spans="2:27">
      <c r="B20" t="s">
        <v>115</v>
      </c>
      <c r="C20" s="88"/>
      <c r="D20" s="88"/>
      <c r="E20" s="88"/>
      <c r="F20" s="88"/>
      <c r="G20" s="88"/>
      <c r="H20" s="88"/>
      <c r="I20" s="88"/>
      <c r="J20" s="88"/>
      <c r="K20" s="88"/>
      <c r="AA20" s="200"/>
    </row>
    <row r="21" spans="2:27">
      <c r="AA21" s="200"/>
    </row>
    <row r="22" spans="2:27">
      <c r="AA22" s="200"/>
    </row>
    <row r="23" spans="2:27">
      <c r="AA23" s="200"/>
    </row>
    <row r="24" spans="2:27">
      <c r="C24" s="1"/>
      <c r="E24" s="21">
        <v>2015</v>
      </c>
      <c r="F24" s="21">
        <v>2020</v>
      </c>
      <c r="G24" s="21">
        <v>2025</v>
      </c>
      <c r="H24" s="21">
        <v>2030</v>
      </c>
      <c r="I24" s="21">
        <v>2035</v>
      </c>
      <c r="J24" s="21">
        <v>2040</v>
      </c>
      <c r="K24" s="21">
        <v>2045</v>
      </c>
      <c r="L24" s="21">
        <v>2050</v>
      </c>
      <c r="O24" t="s">
        <v>127</v>
      </c>
      <c r="P24" t="s">
        <v>128</v>
      </c>
      <c r="Q24" t="s">
        <v>33</v>
      </c>
      <c r="R24" t="s">
        <v>32</v>
      </c>
      <c r="S24" t="s">
        <v>8</v>
      </c>
      <c r="T24" t="s">
        <v>51</v>
      </c>
      <c r="U24" t="s">
        <v>129</v>
      </c>
      <c r="AA24" s="200"/>
    </row>
    <row r="25" spans="2:27">
      <c r="C25" s="1"/>
      <c r="D25" t="s">
        <v>95</v>
      </c>
      <c r="E25" s="1">
        <f t="shared" ref="E25:L25" si="9">INDEX($E$64:$S$141,MATCH($D25,$C$64:$C$141,0),MATCH(E$24,$E$62:$S$62,0))</f>
        <v>0</v>
      </c>
      <c r="F25" s="1">
        <f t="shared" si="9"/>
        <v>0</v>
      </c>
      <c r="G25" s="1">
        <f t="shared" si="9"/>
        <v>0</v>
      </c>
      <c r="H25" s="1">
        <f t="shared" si="9"/>
        <v>0</v>
      </c>
      <c r="I25" s="1">
        <f t="shared" si="9"/>
        <v>0</v>
      </c>
      <c r="J25" s="1">
        <f t="shared" si="9"/>
        <v>0</v>
      </c>
      <c r="K25" s="1">
        <f t="shared" si="9"/>
        <v>0</v>
      </c>
      <c r="L25" s="1">
        <f t="shared" si="9"/>
        <v>0</v>
      </c>
      <c r="O25" t="s">
        <v>58</v>
      </c>
      <c r="P25" t="s">
        <v>55</v>
      </c>
      <c r="Q25" t="s">
        <v>11</v>
      </c>
      <c r="R25" t="s">
        <v>17</v>
      </c>
      <c r="S25">
        <v>18175800</v>
      </c>
      <c r="T25">
        <v>2984.4095869118501</v>
      </c>
      <c r="U25">
        <v>6090.2498369225596</v>
      </c>
    </row>
    <row r="26" spans="2:27">
      <c r="C26" s="1"/>
      <c r="E26" s="1"/>
      <c r="F26" s="1"/>
      <c r="G26" s="1"/>
      <c r="H26" s="1"/>
      <c r="I26" s="1"/>
      <c r="J26" s="1"/>
      <c r="K26" s="1"/>
      <c r="L26" s="1"/>
      <c r="O26" t="s">
        <v>67</v>
      </c>
      <c r="P26" t="s">
        <v>65</v>
      </c>
      <c r="Q26" t="s">
        <v>23</v>
      </c>
      <c r="R26" t="s">
        <v>17</v>
      </c>
      <c r="S26">
        <v>6185000</v>
      </c>
      <c r="T26">
        <v>773.21817824699201</v>
      </c>
      <c r="U26">
        <v>7999.0359435449</v>
      </c>
    </row>
    <row r="27" spans="2:27">
      <c r="C27" s="1"/>
      <c r="D27" t="s">
        <v>145</v>
      </c>
      <c r="E27" s="1">
        <f t="shared" ref="E27:L29" si="10">INDEX($E$64:$S$141,MATCH($D27,$C$64:$C$141,0),MATCH(E$24,$E$62:$S$62,0))</f>
        <v>18512</v>
      </c>
      <c r="F27" s="1">
        <f t="shared" si="10"/>
        <v>18808.292812593201</v>
      </c>
      <c r="G27" s="1">
        <f t="shared" si="10"/>
        <v>18808.292812593201</v>
      </c>
      <c r="H27" s="1">
        <f t="shared" si="10"/>
        <v>18938.8047718485</v>
      </c>
      <c r="I27" s="1">
        <f t="shared" si="10"/>
        <v>19204.671150248902</v>
      </c>
      <c r="J27" s="1">
        <f t="shared" si="10"/>
        <v>19417.9800148594</v>
      </c>
      <c r="K27" s="1">
        <f t="shared" si="10"/>
        <v>19524.139482315801</v>
      </c>
      <c r="L27" s="1">
        <f t="shared" si="10"/>
        <v>19587.9223661338</v>
      </c>
      <c r="O27" t="s">
        <v>72</v>
      </c>
      <c r="P27" t="s">
        <v>70</v>
      </c>
      <c r="Q27" t="s">
        <v>18</v>
      </c>
      <c r="R27" t="s">
        <v>17</v>
      </c>
      <c r="S27">
        <v>39315500</v>
      </c>
      <c r="T27">
        <v>8700.2000000000007</v>
      </c>
      <c r="U27">
        <v>4518.9191053079203</v>
      </c>
    </row>
    <row r="28" spans="2:27">
      <c r="C28" s="1"/>
      <c r="D28" t="s">
        <v>146</v>
      </c>
      <c r="E28" s="1">
        <f t="shared" si="10"/>
        <v>8957.7999999999993</v>
      </c>
      <c r="F28" s="1">
        <f t="shared" si="10"/>
        <v>8963.4827562516202</v>
      </c>
      <c r="G28" s="1">
        <f t="shared" si="10"/>
        <v>12569.6664818425</v>
      </c>
      <c r="H28" s="1">
        <f t="shared" si="10"/>
        <v>15577.442076106499</v>
      </c>
      <c r="I28" s="1">
        <f t="shared" si="10"/>
        <v>15846.2694302456</v>
      </c>
      <c r="J28" s="1">
        <f t="shared" si="10"/>
        <v>17735.692239690401</v>
      </c>
      <c r="K28" s="1">
        <f t="shared" si="10"/>
        <v>19793.164398544501</v>
      </c>
      <c r="L28" s="1">
        <f t="shared" si="10"/>
        <v>25957.2787707973</v>
      </c>
      <c r="Q28" t="s">
        <v>19</v>
      </c>
      <c r="R28" t="s">
        <v>17</v>
      </c>
      <c r="S28">
        <v>0</v>
      </c>
    </row>
    <row r="29" spans="2:27">
      <c r="C29" s="1"/>
      <c r="D29" t="s">
        <v>105</v>
      </c>
      <c r="E29" s="1">
        <f t="shared" si="10"/>
        <v>18904.953000000001</v>
      </c>
      <c r="F29" s="1">
        <f t="shared" si="10"/>
        <v>20056.8173441047</v>
      </c>
      <c r="G29" s="1">
        <f t="shared" si="10"/>
        <v>23014.953000000001</v>
      </c>
      <c r="H29" s="1">
        <f t="shared" si="10"/>
        <v>24562.015301829899</v>
      </c>
      <c r="I29" s="1">
        <f t="shared" si="10"/>
        <v>25711.015301829899</v>
      </c>
      <c r="J29" s="1">
        <f t="shared" si="10"/>
        <v>27050.465516039501</v>
      </c>
      <c r="K29" s="1">
        <f t="shared" si="10"/>
        <v>49227.450865438797</v>
      </c>
      <c r="L29" s="1">
        <f t="shared" si="10"/>
        <v>56764.634816520003</v>
      </c>
      <c r="O29" t="s">
        <v>102</v>
      </c>
      <c r="P29" t="s">
        <v>100</v>
      </c>
      <c r="Q29" t="s">
        <v>20</v>
      </c>
      <c r="R29" t="s">
        <v>17</v>
      </c>
      <c r="S29">
        <v>12721100</v>
      </c>
      <c r="T29">
        <v>3197.9</v>
      </c>
      <c r="U29">
        <v>3977.9542824978898</v>
      </c>
    </row>
    <row r="30" spans="2:27">
      <c r="C30" s="1"/>
      <c r="D30" t="s">
        <v>80</v>
      </c>
      <c r="E30" s="1">
        <f t="shared" ref="E30:L31" si="11">E$27*E50/SUM($E$50:$E$51)</f>
        <v>5228.0961778530418</v>
      </c>
      <c r="F30" s="1">
        <f t="shared" si="11"/>
        <v>5311.7741878489278</v>
      </c>
      <c r="G30" s="1">
        <f t="shared" si="11"/>
        <v>5311.7741878489278</v>
      </c>
      <c r="H30" s="1">
        <f t="shared" si="11"/>
        <v>5348.6329321956609</v>
      </c>
      <c r="I30" s="1">
        <f t="shared" si="11"/>
        <v>5423.7180119674185</v>
      </c>
      <c r="J30" s="1">
        <f t="shared" si="11"/>
        <v>5483.9599771668736</v>
      </c>
      <c r="K30" s="1">
        <f t="shared" si="11"/>
        <v>5513.9411734747673</v>
      </c>
      <c r="L30" s="1">
        <f t="shared" si="11"/>
        <v>5531.9545189318396</v>
      </c>
      <c r="O30" t="s">
        <v>64</v>
      </c>
      <c r="P30" t="s">
        <v>60</v>
      </c>
      <c r="Q30" t="s">
        <v>21</v>
      </c>
      <c r="R30" t="s">
        <v>17</v>
      </c>
      <c r="S30">
        <v>110230100</v>
      </c>
      <c r="T30">
        <v>43923.990978955298</v>
      </c>
      <c r="U30">
        <v>2509.5647627469298</v>
      </c>
    </row>
    <row r="31" spans="2:27">
      <c r="C31" s="1"/>
      <c r="D31" t="s">
        <v>75</v>
      </c>
      <c r="E31" s="1">
        <f t="shared" si="11"/>
        <v>13283.903822146958</v>
      </c>
      <c r="F31" s="1">
        <f t="shared" si="11"/>
        <v>13496.518624744273</v>
      </c>
      <c r="G31" s="1">
        <f t="shared" si="11"/>
        <v>13496.518624744273</v>
      </c>
      <c r="H31" s="1">
        <f t="shared" si="11"/>
        <v>13590.171839652838</v>
      </c>
      <c r="I31" s="1">
        <f t="shared" si="11"/>
        <v>13780.953138281482</v>
      </c>
      <c r="J31" s="1">
        <f t="shared" si="11"/>
        <v>13934.020037692526</v>
      </c>
      <c r="K31" s="1">
        <f t="shared" si="11"/>
        <v>14010.198308841032</v>
      </c>
      <c r="L31" s="1">
        <f t="shared" si="11"/>
        <v>14055.967847201959</v>
      </c>
      <c r="Q31" t="s">
        <v>22</v>
      </c>
      <c r="R31" t="s">
        <v>17</v>
      </c>
      <c r="S31">
        <v>0</v>
      </c>
    </row>
    <row r="32" spans="2:27">
      <c r="C32" s="1"/>
      <c r="D32" t="s">
        <v>147</v>
      </c>
      <c r="E32" s="1">
        <f t="shared" ref="E32:L32" si="12">INDEX($E$64:$S$141,MATCH($D32,$C$64:$C$141,0),MATCH(E$24,$E$62:$S$62,0))</f>
        <v>17215.776192658501</v>
      </c>
      <c r="F32" s="1">
        <f t="shared" si="12"/>
        <v>16885.202552984301</v>
      </c>
      <c r="G32" s="1">
        <f t="shared" si="12"/>
        <v>18388.575488248</v>
      </c>
      <c r="H32" s="1">
        <f t="shared" si="12"/>
        <v>14400.6024435937</v>
      </c>
      <c r="I32" s="1">
        <f t="shared" si="12"/>
        <v>11009.5330740954</v>
      </c>
      <c r="J32" s="1">
        <f t="shared" si="12"/>
        <v>11258.177652067299</v>
      </c>
      <c r="K32" s="1">
        <f t="shared" si="12"/>
        <v>13463.5218024566</v>
      </c>
      <c r="L32" s="1">
        <f t="shared" si="12"/>
        <v>13377.0485821649</v>
      </c>
      <c r="O32" t="s">
        <v>108</v>
      </c>
      <c r="P32" t="s">
        <v>105</v>
      </c>
      <c r="Q32" t="s">
        <v>131</v>
      </c>
      <c r="R32" t="s">
        <v>17</v>
      </c>
      <c r="S32">
        <v>22942200</v>
      </c>
      <c r="T32">
        <v>18900.79</v>
      </c>
      <c r="U32">
        <v>1213.8222793862101</v>
      </c>
    </row>
    <row r="33" spans="3:21">
      <c r="C33" s="1"/>
      <c r="E33" s="1"/>
      <c r="F33" s="1"/>
      <c r="G33" s="1"/>
      <c r="H33" s="1"/>
      <c r="I33" s="1"/>
      <c r="J33" s="1"/>
      <c r="K33" s="1"/>
      <c r="L33" s="1"/>
      <c r="O33" t="s">
        <v>90</v>
      </c>
      <c r="P33" t="s">
        <v>85</v>
      </c>
      <c r="Q33" t="s">
        <v>132</v>
      </c>
      <c r="R33" t="s">
        <v>17</v>
      </c>
      <c r="S33">
        <v>1432100</v>
      </c>
      <c r="T33">
        <v>3795.9</v>
      </c>
      <c r="U33">
        <v>377.27548144050201</v>
      </c>
    </row>
    <row r="34" spans="3:21">
      <c r="C34" s="1"/>
      <c r="D34" t="s">
        <v>148</v>
      </c>
      <c r="E34" s="1">
        <f t="shared" ref="E34:L35" si="13">INDEX($E$64:$S$141,MATCH($D34,$C$64:$C$141,0),MATCH(E$24,$E$62:$S$62,0))</f>
        <v>9511.49</v>
      </c>
      <c r="F34" s="1">
        <f t="shared" si="13"/>
        <v>8858.0188836439702</v>
      </c>
      <c r="G34" s="1">
        <f t="shared" si="13"/>
        <v>5103.4988836439697</v>
      </c>
      <c r="H34" s="1">
        <f t="shared" si="13"/>
        <v>5098.3688836439696</v>
      </c>
      <c r="I34" s="1">
        <f t="shared" si="13"/>
        <v>4803.0488836439699</v>
      </c>
      <c r="J34" s="1">
        <f t="shared" si="13"/>
        <v>2226.1288836439699</v>
      </c>
      <c r="K34" s="1">
        <f t="shared" si="13"/>
        <v>2214.1688836439698</v>
      </c>
      <c r="L34" s="1">
        <f t="shared" si="13"/>
        <v>1901.3688836439701</v>
      </c>
      <c r="O34" t="s">
        <v>78</v>
      </c>
      <c r="P34" t="s">
        <v>75</v>
      </c>
      <c r="Q34" t="s">
        <v>25</v>
      </c>
      <c r="R34" t="s">
        <v>17</v>
      </c>
      <c r="S34">
        <v>24618600</v>
      </c>
      <c r="T34">
        <v>13220.9</v>
      </c>
      <c r="U34">
        <v>1862.09713408316</v>
      </c>
    </row>
    <row r="35" spans="3:21">
      <c r="C35" s="1"/>
      <c r="D35" t="s">
        <v>149</v>
      </c>
      <c r="E35" s="1">
        <f t="shared" si="13"/>
        <v>52044.520140000001</v>
      </c>
      <c r="F35" s="1">
        <f t="shared" si="13"/>
        <v>51352.575464723202</v>
      </c>
      <c r="G35" s="1">
        <f t="shared" si="13"/>
        <v>47623.093404199499</v>
      </c>
      <c r="H35" s="1">
        <f t="shared" si="13"/>
        <v>41739.442986253198</v>
      </c>
      <c r="I35" s="1">
        <f t="shared" si="13"/>
        <v>35862.127868081101</v>
      </c>
      <c r="J35" s="1">
        <f t="shared" si="13"/>
        <v>45213.078353154197</v>
      </c>
      <c r="K35" s="1">
        <f t="shared" si="13"/>
        <v>45081.499711662102</v>
      </c>
      <c r="L35" s="1">
        <f t="shared" si="13"/>
        <v>45061.631377116901</v>
      </c>
      <c r="O35" t="s">
        <v>84</v>
      </c>
      <c r="P35" t="s">
        <v>80</v>
      </c>
      <c r="Q35" t="s">
        <v>26</v>
      </c>
      <c r="R35" t="s">
        <v>17</v>
      </c>
      <c r="S35">
        <v>20918800</v>
      </c>
      <c r="T35">
        <v>5203.3</v>
      </c>
      <c r="U35">
        <v>4020.2948129071901</v>
      </c>
    </row>
    <row r="36" spans="3:21">
      <c r="C36" s="1"/>
      <c r="D36" t="s">
        <v>60</v>
      </c>
      <c r="E36" s="1">
        <f>E35</f>
        <v>52044.520140000001</v>
      </c>
      <c r="F36" s="1">
        <f>F35</f>
        <v>51352.575464723202</v>
      </c>
      <c r="G36" s="1">
        <f>G35</f>
        <v>47623.093404199499</v>
      </c>
      <c r="H36" s="1">
        <f>H35</f>
        <v>41739.442986253198</v>
      </c>
      <c r="I36" s="1">
        <f>I35</f>
        <v>35862.127868081101</v>
      </c>
      <c r="J36" s="1">
        <f>I36</f>
        <v>35862.127868081101</v>
      </c>
      <c r="K36" s="1">
        <f>J36</f>
        <v>35862.127868081101</v>
      </c>
      <c r="L36" s="1">
        <f>K36</f>
        <v>35862.127868081101</v>
      </c>
      <c r="O36" t="s">
        <v>139</v>
      </c>
      <c r="P36" t="s">
        <v>134</v>
      </c>
      <c r="Q36" t="s">
        <v>135</v>
      </c>
      <c r="R36" t="s">
        <v>17</v>
      </c>
      <c r="S36">
        <v>0</v>
      </c>
      <c r="T36">
        <v>1</v>
      </c>
      <c r="U36">
        <v>0</v>
      </c>
    </row>
    <row r="37" spans="3:21">
      <c r="C37" s="1"/>
      <c r="D37" t="s">
        <v>441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>J35-J36</f>
        <v>9350.9504850730955</v>
      </c>
      <c r="K37" s="1">
        <f>K35-K36</f>
        <v>9219.3718435810006</v>
      </c>
      <c r="L37" s="1">
        <f>L35-L36</f>
        <v>9199.5035090357997</v>
      </c>
      <c r="O37" t="s">
        <v>114</v>
      </c>
      <c r="P37" t="s">
        <v>110</v>
      </c>
      <c r="Q37" t="s">
        <v>24</v>
      </c>
      <c r="R37" t="s">
        <v>17</v>
      </c>
      <c r="S37">
        <v>2439800</v>
      </c>
      <c r="T37">
        <v>916.759056476757</v>
      </c>
      <c r="U37">
        <v>2661.3317673419201</v>
      </c>
    </row>
    <row r="38" spans="3:21">
      <c r="C38" s="1"/>
      <c r="D38" t="s">
        <v>100</v>
      </c>
      <c r="E38" s="1">
        <f t="shared" ref="E38:L39" si="14">INDEX($E$64:$S$141,MATCH($D38,$C$64:$C$141,0),MATCH(E$24,$E$62:$S$62,0))</f>
        <v>13927.99768</v>
      </c>
      <c r="F38" s="1">
        <f t="shared" si="14"/>
        <v>8629.2116280374794</v>
      </c>
      <c r="G38" s="1">
        <f t="shared" si="14"/>
        <v>6039.6877909933601</v>
      </c>
      <c r="H38" s="1">
        <f t="shared" si="14"/>
        <v>2331.9670034559199</v>
      </c>
      <c r="I38" s="1">
        <f t="shared" si="14"/>
        <v>797.77677413312904</v>
      </c>
      <c r="J38" s="1">
        <f t="shared" si="14"/>
        <v>603.40888901077199</v>
      </c>
      <c r="K38" s="1">
        <f t="shared" si="14"/>
        <v>483.39818350521301</v>
      </c>
      <c r="L38" s="1">
        <f t="shared" si="14"/>
        <v>128.12163478751401</v>
      </c>
      <c r="O38" t="s">
        <v>123</v>
      </c>
      <c r="P38" t="s">
        <v>120</v>
      </c>
      <c r="Q38" t="s">
        <v>141</v>
      </c>
      <c r="R38" t="s">
        <v>17</v>
      </c>
      <c r="S38">
        <v>14843900</v>
      </c>
      <c r="T38">
        <v>9136.6291141882502</v>
      </c>
      <c r="U38">
        <v>1624.6582644959201</v>
      </c>
    </row>
    <row r="39" spans="3:21">
      <c r="C39" s="1"/>
      <c r="D39" t="s">
        <v>150</v>
      </c>
      <c r="E39" s="1">
        <f t="shared" si="14"/>
        <v>4809.9395999999997</v>
      </c>
      <c r="F39" s="1">
        <f t="shared" si="14"/>
        <v>5387.6217304920201</v>
      </c>
      <c r="G39" s="1">
        <f t="shared" si="14"/>
        <v>5442.7299949309599</v>
      </c>
      <c r="H39" s="1">
        <f t="shared" si="14"/>
        <v>5409.0102949309603</v>
      </c>
      <c r="I39" s="1">
        <f t="shared" si="14"/>
        <v>5485.0802513018598</v>
      </c>
      <c r="J39" s="1">
        <f t="shared" si="14"/>
        <v>6150.5521220678802</v>
      </c>
      <c r="K39" s="1">
        <f t="shared" si="14"/>
        <v>6157.0161271123998</v>
      </c>
      <c r="L39" s="1">
        <f t="shared" si="14"/>
        <v>6113.6180257230599</v>
      </c>
    </row>
    <row r="40" spans="3:21">
      <c r="D40" t="s">
        <v>55</v>
      </c>
      <c r="E40" s="1">
        <f t="shared" ref="E40:L41" si="15">E$39*E48/SUM($E$48:$E$49)</f>
        <v>3679.6229968254211</v>
      </c>
      <c r="F40" s="1">
        <f t="shared" si="15"/>
        <v>4121.5521329446237</v>
      </c>
      <c r="G40" s="1">
        <f t="shared" si="15"/>
        <v>4163.7101752503231</v>
      </c>
      <c r="H40" s="1">
        <f t="shared" si="15"/>
        <v>4137.9144701304394</v>
      </c>
      <c r="I40" s="1">
        <f t="shared" si="15"/>
        <v>4196.1082904499017</v>
      </c>
      <c r="J40" s="1">
        <f t="shared" si="15"/>
        <v>4705.1969283635844</v>
      </c>
      <c r="K40" s="1">
        <f t="shared" si="15"/>
        <v>4710.1419180290286</v>
      </c>
      <c r="L40" s="1">
        <f t="shared" si="15"/>
        <v>4676.9421972070086</v>
      </c>
    </row>
    <row r="41" spans="3:21">
      <c r="D41" t="s">
        <v>110</v>
      </c>
      <c r="E41" s="1">
        <f t="shared" si="15"/>
        <v>1130.3166031745789</v>
      </c>
      <c r="F41" s="1">
        <f t="shared" si="15"/>
        <v>1266.0695975473966</v>
      </c>
      <c r="G41" s="1">
        <f t="shared" si="15"/>
        <v>1279.0198196806371</v>
      </c>
      <c r="H41" s="1">
        <f t="shared" si="15"/>
        <v>1271.0958248005213</v>
      </c>
      <c r="I41" s="1">
        <f t="shared" si="15"/>
        <v>1288.9719608519581</v>
      </c>
      <c r="J41" s="1">
        <f t="shared" si="15"/>
        <v>1445.3551937042957</v>
      </c>
      <c r="K41" s="1">
        <f t="shared" si="15"/>
        <v>1446.8742090833716</v>
      </c>
      <c r="L41" s="1">
        <f t="shared" si="15"/>
        <v>1436.6758285160511</v>
      </c>
    </row>
    <row r="42" spans="3:21">
      <c r="D42" t="s">
        <v>120</v>
      </c>
      <c r="E42" s="1">
        <f t="shared" ref="E42:L42" si="16">E28</f>
        <v>8957.7999999999993</v>
      </c>
      <c r="F42" s="1">
        <f t="shared" si="16"/>
        <v>8963.4827562516202</v>
      </c>
      <c r="G42" s="1">
        <f t="shared" si="16"/>
        <v>12569.6664818425</v>
      </c>
      <c r="H42" s="1">
        <f t="shared" si="16"/>
        <v>15577.442076106499</v>
      </c>
      <c r="I42" s="1">
        <f t="shared" si="16"/>
        <v>15846.2694302456</v>
      </c>
      <c r="J42" s="1">
        <f t="shared" si="16"/>
        <v>17735.692239690401</v>
      </c>
      <c r="K42" s="1">
        <f t="shared" si="16"/>
        <v>19793.164398544501</v>
      </c>
      <c r="L42" s="1">
        <f t="shared" si="16"/>
        <v>25957.2787707973</v>
      </c>
    </row>
    <row r="43" spans="3:21">
      <c r="D43" t="s">
        <v>115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3:21">
      <c r="D44" t="s">
        <v>91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3:21">
      <c r="D45" t="s">
        <v>70</v>
      </c>
      <c r="E45" s="1">
        <f t="shared" ref="E45:L45" si="17">E34</f>
        <v>9511.49</v>
      </c>
      <c r="F45" s="1">
        <f t="shared" si="17"/>
        <v>8858.0188836439702</v>
      </c>
      <c r="G45" s="1">
        <f t="shared" si="17"/>
        <v>5103.4988836439697</v>
      </c>
      <c r="H45" s="1">
        <f t="shared" si="17"/>
        <v>5098.3688836439696</v>
      </c>
      <c r="I45" s="1">
        <f t="shared" si="17"/>
        <v>4803.0488836439699</v>
      </c>
      <c r="J45" s="1">
        <f t="shared" si="17"/>
        <v>2226.1288836439699</v>
      </c>
      <c r="K45" s="1">
        <f t="shared" si="17"/>
        <v>2214.1688836439698</v>
      </c>
      <c r="L45" s="1">
        <f t="shared" si="17"/>
        <v>1901.3688836439701</v>
      </c>
    </row>
    <row r="46" spans="3:21">
      <c r="D46" t="s">
        <v>65</v>
      </c>
      <c r="E46" s="1">
        <f t="shared" ref="E46:L46" si="18">INDEX($E$64:$S$141,MATCH($D46,$C$64:$C$141,0),MATCH(E$24,$E$62:$S$62,0))</f>
        <v>773</v>
      </c>
      <c r="F46" s="1">
        <f t="shared" si="18"/>
        <v>773</v>
      </c>
      <c r="G46" s="1">
        <f t="shared" si="18"/>
        <v>773</v>
      </c>
      <c r="H46" s="1">
        <f t="shared" si="18"/>
        <v>773</v>
      </c>
      <c r="I46" s="1">
        <f t="shared" si="18"/>
        <v>773</v>
      </c>
      <c r="J46" s="1">
        <f t="shared" si="18"/>
        <v>773</v>
      </c>
      <c r="K46" s="1">
        <f t="shared" si="18"/>
        <v>692</v>
      </c>
      <c r="L46" s="1">
        <f t="shared" si="18"/>
        <v>692</v>
      </c>
    </row>
    <row r="48" spans="3:21">
      <c r="C48" t="s">
        <v>155</v>
      </c>
      <c r="D48" t="s">
        <v>286</v>
      </c>
      <c r="E48">
        <v>2984.4095869118501</v>
      </c>
      <c r="F48">
        <v>2984.4095869118501</v>
      </c>
      <c r="G48">
        <v>2984.4095869118501</v>
      </c>
      <c r="H48">
        <v>2984.4095869118501</v>
      </c>
      <c r="I48">
        <v>2984.4095869118501</v>
      </c>
      <c r="J48">
        <v>2984.4095869118501</v>
      </c>
      <c r="K48">
        <v>2984.4095869118501</v>
      </c>
      <c r="L48">
        <v>2984.4095869118501</v>
      </c>
    </row>
    <row r="49" spans="4:19">
      <c r="D49" t="s">
        <v>287</v>
      </c>
      <c r="E49">
        <v>916.759056476757</v>
      </c>
      <c r="F49">
        <v>916.759056476757</v>
      </c>
      <c r="G49">
        <v>916.759056476757</v>
      </c>
      <c r="H49">
        <v>916.759056476757</v>
      </c>
      <c r="I49">
        <v>916.759056476757</v>
      </c>
      <c r="J49">
        <v>916.759056476757</v>
      </c>
      <c r="K49">
        <v>916.759056476757</v>
      </c>
      <c r="L49">
        <v>916.759056476757</v>
      </c>
    </row>
    <row r="50" spans="4:19">
      <c r="D50" t="s">
        <v>84</v>
      </c>
      <c r="E50">
        <v>5203.3</v>
      </c>
      <c r="F50">
        <v>5203.3</v>
      </c>
      <c r="G50">
        <v>5203.3</v>
      </c>
      <c r="H50">
        <v>5203.3</v>
      </c>
      <c r="I50">
        <v>5203.3</v>
      </c>
      <c r="J50">
        <v>5203.3</v>
      </c>
      <c r="K50">
        <v>5203.3</v>
      </c>
      <c r="L50">
        <v>5203.3</v>
      </c>
    </row>
    <row r="51" spans="4:19">
      <c r="D51" t="s">
        <v>78</v>
      </c>
      <c r="E51">
        <v>13220.9</v>
      </c>
      <c r="F51">
        <v>13220.9</v>
      </c>
      <c r="G51">
        <v>13220.9</v>
      </c>
      <c r="H51">
        <v>13220.9</v>
      </c>
      <c r="I51">
        <v>13220.9</v>
      </c>
      <c r="J51">
        <v>13220.9</v>
      </c>
      <c r="K51">
        <v>13220.9</v>
      </c>
      <c r="L51">
        <v>13220.9</v>
      </c>
    </row>
    <row r="52" spans="4:19">
      <c r="D52" t="s">
        <v>90</v>
      </c>
      <c r="E52">
        <v>3795.9</v>
      </c>
      <c r="F52">
        <v>3795.9</v>
      </c>
      <c r="G52">
        <v>3795.9</v>
      </c>
      <c r="H52">
        <v>3795.9</v>
      </c>
      <c r="I52">
        <v>3795.9</v>
      </c>
      <c r="J52">
        <v>3795.9</v>
      </c>
      <c r="K52">
        <v>3795.9</v>
      </c>
      <c r="L52">
        <v>3795.9</v>
      </c>
    </row>
    <row r="61" spans="4:19">
      <c r="D61" s="41" t="s">
        <v>164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 t="s">
        <v>288</v>
      </c>
    </row>
    <row r="62" spans="4:19">
      <c r="D62" s="21"/>
      <c r="E62" s="21">
        <v>2000</v>
      </c>
      <c r="F62" s="21">
        <v>2005</v>
      </c>
      <c r="G62" s="21">
        <v>2010</v>
      </c>
      <c r="H62" s="21">
        <v>2015</v>
      </c>
      <c r="I62" s="21">
        <v>2020</v>
      </c>
      <c r="J62" s="21">
        <v>2025</v>
      </c>
      <c r="K62" s="21">
        <v>2030</v>
      </c>
      <c r="L62" s="21">
        <v>2035</v>
      </c>
      <c r="M62" s="21">
        <v>2040</v>
      </c>
      <c r="N62" s="21">
        <v>2045</v>
      </c>
      <c r="O62" s="21">
        <v>2050</v>
      </c>
      <c r="P62" s="22" t="s">
        <v>44</v>
      </c>
      <c r="Q62" s="22" t="s">
        <v>45</v>
      </c>
      <c r="R62" s="22" t="s">
        <v>46</v>
      </c>
      <c r="S62" s="22" t="s">
        <v>47</v>
      </c>
    </row>
    <row r="63" spans="4:19">
      <c r="D63" s="45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207" t="s">
        <v>168</v>
      </c>
      <c r="Q63" s="207"/>
      <c r="R63" s="207"/>
      <c r="S63" s="207"/>
    </row>
    <row r="64" spans="4:19">
      <c r="D64" s="49" t="s">
        <v>172</v>
      </c>
      <c r="E64" s="50">
        <v>56.923524</v>
      </c>
      <c r="F64" s="50">
        <v>57.874752999999998</v>
      </c>
      <c r="G64" s="50">
        <v>59.190142999999999</v>
      </c>
      <c r="H64" s="50">
        <v>61.047745499999998</v>
      </c>
      <c r="I64" s="50">
        <v>62.064693499999997</v>
      </c>
      <c r="J64" s="50">
        <v>63.118305499999998</v>
      </c>
      <c r="K64" s="50">
        <v>64.228731999999994</v>
      </c>
      <c r="L64" s="50">
        <v>65.333282999999994</v>
      </c>
      <c r="M64" s="50">
        <v>66.295661999999993</v>
      </c>
      <c r="N64" s="50">
        <v>66.917472000000004</v>
      </c>
      <c r="O64" s="50">
        <v>67.043772000000004</v>
      </c>
      <c r="P64" s="25">
        <v>0.39122672043985202</v>
      </c>
      <c r="Q64" s="25">
        <v>0.47534881428319398</v>
      </c>
      <c r="R64" s="25">
        <v>0.34332165270578602</v>
      </c>
      <c r="S64" s="25">
        <v>0.21470551282900499</v>
      </c>
    </row>
    <row r="65" spans="4:36">
      <c r="D65" s="49" t="s">
        <v>177</v>
      </c>
      <c r="E65" s="50">
        <v>1564.1942198238901</v>
      </c>
      <c r="F65" s="50">
        <v>1642.61955915771</v>
      </c>
      <c r="G65" s="50">
        <v>1622.0308291199999</v>
      </c>
      <c r="H65" s="50">
        <v>1564.87070447</v>
      </c>
      <c r="I65" s="50">
        <v>1674.9992871444799</v>
      </c>
      <c r="J65" s="50">
        <v>1776.1006325645001</v>
      </c>
      <c r="K65" s="50">
        <v>1884.5046886739401</v>
      </c>
      <c r="L65" s="50">
        <v>2029.8231292734599</v>
      </c>
      <c r="M65" s="50">
        <v>2193.8132461689002</v>
      </c>
      <c r="N65" s="50">
        <v>2361.0995800088999</v>
      </c>
      <c r="O65" s="50">
        <v>2556.5237240804199</v>
      </c>
      <c r="P65" s="25">
        <v>0.36374140403456801</v>
      </c>
      <c r="Q65" s="25">
        <v>0.32185461651077502</v>
      </c>
      <c r="R65" s="25">
        <v>1.1854947624201999</v>
      </c>
      <c r="S65" s="25">
        <v>1.53660315307247</v>
      </c>
    </row>
    <row r="66" spans="4:36">
      <c r="D66" s="57" t="s">
        <v>179</v>
      </c>
      <c r="E66" s="58">
        <v>174218.8</v>
      </c>
      <c r="F66" s="59">
        <v>187471.2</v>
      </c>
      <c r="G66" s="59">
        <v>174761</v>
      </c>
      <c r="H66" s="59">
        <v>159035.73041302999</v>
      </c>
      <c r="I66" s="59">
        <v>161205.193297469</v>
      </c>
      <c r="J66" s="59">
        <v>153812.15933442401</v>
      </c>
      <c r="K66" s="59">
        <v>149813.01717788901</v>
      </c>
      <c r="L66" s="59">
        <v>148335.50166574601</v>
      </c>
      <c r="M66" s="59">
        <v>146762.11487939599</v>
      </c>
      <c r="N66" s="59">
        <v>146233.55159286701</v>
      </c>
      <c r="O66" s="59">
        <v>145227.50688200799</v>
      </c>
      <c r="P66" s="25">
        <v>3.1078285058749901E-2</v>
      </c>
      <c r="Q66" s="25">
        <v>-0.80416197951671498</v>
      </c>
      <c r="R66" s="25">
        <v>-0.73022164800251599</v>
      </c>
      <c r="S66" s="25">
        <v>-0.155311459584795</v>
      </c>
      <c r="AG66" s="29" t="e">
        <f t="shared" ref="AG66:AJ71" si="19">X66/AB66</f>
        <v>#DIV/0!</v>
      </c>
      <c r="AH66" s="29" t="e">
        <f t="shared" si="19"/>
        <v>#DIV/0!</v>
      </c>
      <c r="AI66" s="29" t="e">
        <f t="shared" si="19"/>
        <v>#DIV/0!</v>
      </c>
      <c r="AJ66" s="29" t="e">
        <f t="shared" si="19"/>
        <v>#DIV/0!</v>
      </c>
    </row>
    <row r="67" spans="4:36">
      <c r="D67" s="23" t="s">
        <v>181</v>
      </c>
      <c r="E67" s="24">
        <v>12550.3</v>
      </c>
      <c r="F67" s="24">
        <v>16460.5</v>
      </c>
      <c r="G67" s="24">
        <v>14170.3</v>
      </c>
      <c r="H67" s="24">
        <v>16105.6806634687</v>
      </c>
      <c r="I67" s="24">
        <v>18637.008148551799</v>
      </c>
      <c r="J67" s="24">
        <v>12627.8279953701</v>
      </c>
      <c r="K67" s="24">
        <v>11323.355333613101</v>
      </c>
      <c r="L67" s="24">
        <v>9644.7385959251296</v>
      </c>
      <c r="M67" s="24">
        <v>3492.8978217061099</v>
      </c>
      <c r="N67" s="24">
        <v>3471.3908988000699</v>
      </c>
      <c r="O67" s="24">
        <v>1575.4633665235999</v>
      </c>
      <c r="P67" s="25">
        <v>1.22143588992267</v>
      </c>
      <c r="Q67" s="25">
        <v>2.7778941477172099</v>
      </c>
      <c r="R67" s="25">
        <v>-4.8607126250945099</v>
      </c>
      <c r="S67" s="25">
        <v>-9.3909329672196993</v>
      </c>
      <c r="AG67" s="29" t="e">
        <f t="shared" si="19"/>
        <v>#DIV/0!</v>
      </c>
      <c r="AH67" s="29" t="e">
        <f t="shared" si="19"/>
        <v>#DIV/0!</v>
      </c>
      <c r="AI67" s="29" t="e">
        <f t="shared" si="19"/>
        <v>#DIV/0!</v>
      </c>
      <c r="AJ67" s="29" t="e">
        <f t="shared" si="19"/>
        <v>#DIV/0!</v>
      </c>
    </row>
    <row r="68" spans="4:36">
      <c r="D68" s="23" t="s">
        <v>183</v>
      </c>
      <c r="E68" s="24">
        <v>89539.5</v>
      </c>
      <c r="F68" s="24">
        <v>83963</v>
      </c>
      <c r="G68" s="24">
        <v>69557.5</v>
      </c>
      <c r="H68" s="24">
        <v>61171.295097434398</v>
      </c>
      <c r="I68" s="24">
        <v>56787.418933713401</v>
      </c>
      <c r="J68" s="24">
        <v>53669.7579570253</v>
      </c>
      <c r="K68" s="24">
        <v>50853.858173731001</v>
      </c>
      <c r="L68" s="24">
        <v>48605.899955998699</v>
      </c>
      <c r="M68" s="24">
        <v>46891.6731156038</v>
      </c>
      <c r="N68" s="24">
        <v>45869.298999561302</v>
      </c>
      <c r="O68" s="24">
        <v>44720.667438410703</v>
      </c>
      <c r="P68" s="25">
        <v>-2.4936431848609102</v>
      </c>
      <c r="Q68" s="25">
        <v>-2.0079560218727899</v>
      </c>
      <c r="R68" s="25">
        <v>-1.0975209090247999</v>
      </c>
      <c r="S68" s="25">
        <v>-0.64054093232746001</v>
      </c>
      <c r="AG68" s="29" t="e">
        <f t="shared" si="19"/>
        <v>#DIV/0!</v>
      </c>
      <c r="AH68" s="29" t="e">
        <f t="shared" si="19"/>
        <v>#DIV/0!</v>
      </c>
      <c r="AI68" s="29" t="e">
        <f t="shared" si="19"/>
        <v>#DIV/0!</v>
      </c>
      <c r="AJ68" s="29" t="e">
        <f t="shared" si="19"/>
        <v>#DIV/0!</v>
      </c>
    </row>
    <row r="69" spans="4:36">
      <c r="D69" s="23" t="s">
        <v>184</v>
      </c>
      <c r="E69" s="24">
        <v>57944.6</v>
      </c>
      <c r="F69" s="24">
        <v>70651.3</v>
      </c>
      <c r="G69" s="24">
        <v>68056.600000000006</v>
      </c>
      <c r="H69" s="24">
        <v>56176.867365315396</v>
      </c>
      <c r="I69" s="24">
        <v>59766.011853012598</v>
      </c>
      <c r="J69" s="24">
        <v>59368.907676095798</v>
      </c>
      <c r="K69" s="24">
        <v>58570.231293661302</v>
      </c>
      <c r="L69" s="24">
        <v>57971.394749800696</v>
      </c>
      <c r="M69" s="24">
        <v>62142.399695526103</v>
      </c>
      <c r="N69" s="24">
        <v>59106.2316512986</v>
      </c>
      <c r="O69" s="24">
        <v>58534.612675232202</v>
      </c>
      <c r="P69" s="25">
        <v>1.6215296817638301</v>
      </c>
      <c r="Q69" s="25">
        <v>-1.2906248383041099</v>
      </c>
      <c r="R69" s="25">
        <v>-0.20190157010191401</v>
      </c>
      <c r="S69" s="25">
        <v>-3.0415546136031099E-3</v>
      </c>
      <c r="U69" t="s">
        <v>60</v>
      </c>
      <c r="AG69" s="29" t="e">
        <f t="shared" si="19"/>
        <v>#DIV/0!</v>
      </c>
      <c r="AH69" s="29" t="e">
        <f t="shared" si="19"/>
        <v>#DIV/0!</v>
      </c>
      <c r="AI69" s="29" t="e">
        <f t="shared" si="19"/>
        <v>#DIV/0!</v>
      </c>
      <c r="AJ69" s="29" t="e">
        <f t="shared" si="19"/>
        <v>#DIV/0!</v>
      </c>
    </row>
    <row r="70" spans="4:36">
      <c r="D70" s="23" t="s">
        <v>186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5">
        <v>0</v>
      </c>
      <c r="Q70" s="25">
        <v>0</v>
      </c>
      <c r="R70" s="25">
        <v>0</v>
      </c>
      <c r="S70" s="25">
        <v>0</v>
      </c>
      <c r="AG70" s="29" t="e">
        <f t="shared" si="19"/>
        <v>#DIV/0!</v>
      </c>
      <c r="AH70" s="29" t="e">
        <f t="shared" si="19"/>
        <v>#DIV/0!</v>
      </c>
      <c r="AI70" s="29" t="e">
        <f t="shared" si="19"/>
        <v>#DIV/0!</v>
      </c>
      <c r="AJ70" s="29" t="e">
        <f t="shared" si="19"/>
        <v>#DIV/0!</v>
      </c>
    </row>
    <row r="71" spans="4:36">
      <c r="D71" s="23" t="s">
        <v>48</v>
      </c>
      <c r="E71" s="24">
        <v>3813.2</v>
      </c>
      <c r="F71" s="24">
        <v>4226.5</v>
      </c>
      <c r="G71" s="24">
        <v>3797.1</v>
      </c>
      <c r="H71" s="24">
        <v>3953.63675189283</v>
      </c>
      <c r="I71" s="24">
        <v>2578.0565908287399</v>
      </c>
      <c r="J71" s="24">
        <v>2764.0991299110001</v>
      </c>
      <c r="K71" s="24">
        <v>2644.4903631378102</v>
      </c>
      <c r="L71" s="24">
        <v>2226.8655106060601</v>
      </c>
      <c r="M71" s="24">
        <v>1881.7562219436199</v>
      </c>
      <c r="N71" s="24">
        <v>1696.8727283174401</v>
      </c>
      <c r="O71" s="24">
        <v>1676.6163292598401</v>
      </c>
      <c r="P71" s="25">
        <v>-4.2302191627929801E-2</v>
      </c>
      <c r="Q71" s="25">
        <v>-3.7980132435939402</v>
      </c>
      <c r="R71" s="25">
        <v>0.25474905216431598</v>
      </c>
      <c r="S71" s="25">
        <v>-2.25274161575827</v>
      </c>
      <c r="U71" t="s">
        <v>85</v>
      </c>
      <c r="AG71" s="29" t="e">
        <f t="shared" si="19"/>
        <v>#DIV/0!</v>
      </c>
      <c r="AH71" s="29" t="e">
        <f t="shared" si="19"/>
        <v>#DIV/0!</v>
      </c>
      <c r="AI71" s="29" t="e">
        <f t="shared" si="19"/>
        <v>#DIV/0!</v>
      </c>
      <c r="AJ71" s="29" t="e">
        <f t="shared" si="19"/>
        <v>#DIV/0!</v>
      </c>
    </row>
    <row r="72" spans="4:36">
      <c r="D72" s="63" t="s">
        <v>188</v>
      </c>
      <c r="E72" s="64">
        <v>10371.200000000001</v>
      </c>
      <c r="F72" s="64">
        <v>12169.9</v>
      </c>
      <c r="G72" s="64">
        <v>19179.5</v>
      </c>
      <c r="H72" s="64">
        <v>21628.250534918399</v>
      </c>
      <c r="I72" s="64">
        <v>23436.6977713624</v>
      </c>
      <c r="J72" s="64">
        <v>25381.5665760214</v>
      </c>
      <c r="K72" s="64">
        <v>26421.082013746101</v>
      </c>
      <c r="L72" s="64">
        <v>29886.602853415799</v>
      </c>
      <c r="M72" s="64">
        <v>32353.388024615899</v>
      </c>
      <c r="N72" s="64">
        <v>36089.757314889503</v>
      </c>
      <c r="O72" s="64">
        <v>38720.1470725814</v>
      </c>
      <c r="P72" s="25">
        <v>6.3410213521956802</v>
      </c>
      <c r="Q72" s="25">
        <v>2.0248379986240299</v>
      </c>
      <c r="R72" s="25">
        <v>1.2058036749469601</v>
      </c>
      <c r="S72" s="25">
        <v>1.92936530588272</v>
      </c>
    </row>
    <row r="73" spans="4:36">
      <c r="D73" s="57" t="s">
        <v>190</v>
      </c>
      <c r="E73" s="50">
        <v>7704.4776317199503</v>
      </c>
      <c r="F73" s="50">
        <v>10051.700000000001</v>
      </c>
      <c r="G73" s="50">
        <v>9539.1</v>
      </c>
      <c r="H73" s="50">
        <v>8520.4852924671795</v>
      </c>
      <c r="I73" s="50">
        <v>8167.8554485777304</v>
      </c>
      <c r="J73" s="50">
        <v>7387.4425338744604</v>
      </c>
      <c r="K73" s="50">
        <v>7053.6951627646204</v>
      </c>
      <c r="L73" s="50">
        <v>6918.6457088742</v>
      </c>
      <c r="M73" s="50">
        <v>6533.9869690005598</v>
      </c>
      <c r="N73" s="50">
        <v>6179.3691666463801</v>
      </c>
      <c r="O73" s="50">
        <v>5919.8705702360803</v>
      </c>
      <c r="P73" s="25">
        <v>2.1589499391718099</v>
      </c>
      <c r="Q73" s="25">
        <v>-1.5399472390720399</v>
      </c>
      <c r="R73" s="25">
        <v>-1.4558462408094399</v>
      </c>
      <c r="S73" s="25">
        <v>-0.87235783694080704</v>
      </c>
    </row>
    <row r="74" spans="4:36">
      <c r="D74" s="57" t="s">
        <v>192</v>
      </c>
      <c r="E74" s="50">
        <v>9018.6</v>
      </c>
      <c r="F74" s="50">
        <v>8607.4</v>
      </c>
      <c r="G74" s="50">
        <v>9560</v>
      </c>
      <c r="H74" s="50">
        <v>7050.1980662103197</v>
      </c>
      <c r="I74" s="50">
        <v>7322.0804517665401</v>
      </c>
      <c r="J74" s="50">
        <v>7369.3705377093902</v>
      </c>
      <c r="K74" s="50">
        <v>7419.4783482673001</v>
      </c>
      <c r="L74" s="50">
        <v>7578.7342900494396</v>
      </c>
      <c r="M74" s="50">
        <v>7911.7698674600997</v>
      </c>
      <c r="N74" s="50">
        <v>7945.9179109384304</v>
      </c>
      <c r="O74" s="50">
        <v>8340.6803084351995</v>
      </c>
      <c r="P74" s="25">
        <v>0.58468882824866997</v>
      </c>
      <c r="Q74" s="25">
        <v>-2.6316836566074202</v>
      </c>
      <c r="R74" s="25">
        <v>0.13222983591505399</v>
      </c>
      <c r="S74" s="25">
        <v>0.58689569160723698</v>
      </c>
    </row>
    <row r="75" spans="4:36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25"/>
      <c r="Q75" s="25"/>
      <c r="R75" s="25"/>
      <c r="S75" s="25"/>
    </row>
    <row r="76" spans="4:36">
      <c r="D76" s="68" t="s">
        <v>196</v>
      </c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25"/>
      <c r="Q76" s="25"/>
      <c r="R76" s="25"/>
      <c r="S76" s="25"/>
      <c r="AG76" s="29" t="e">
        <f t="shared" ref="AG76:AJ81" si="20">X76/AB76</f>
        <v>#DIV/0!</v>
      </c>
      <c r="AH76" s="29" t="e">
        <f t="shared" si="20"/>
        <v>#DIV/0!</v>
      </c>
      <c r="AI76" s="29" t="e">
        <f t="shared" si="20"/>
        <v>#DIV/0!</v>
      </c>
      <c r="AJ76" s="29" t="e">
        <f t="shared" si="20"/>
        <v>#DIV/0!</v>
      </c>
    </row>
    <row r="77" spans="4:36">
      <c r="D77" s="49" t="s">
        <v>198</v>
      </c>
      <c r="E77" s="69">
        <v>28400.400000000001</v>
      </c>
      <c r="F77" s="69">
        <v>27838.7</v>
      </c>
      <c r="G77" s="69">
        <v>29559.5</v>
      </c>
      <c r="H77" s="69">
        <v>30751.060437639298</v>
      </c>
      <c r="I77" s="69">
        <v>31625.927859550298</v>
      </c>
      <c r="J77" s="69">
        <v>32480.610515750701</v>
      </c>
      <c r="K77" s="69">
        <v>33102.205191740402</v>
      </c>
      <c r="L77" s="69">
        <v>33945.5858660421</v>
      </c>
      <c r="M77" s="69">
        <v>35523.953986426597</v>
      </c>
      <c r="N77" s="69">
        <v>37274.233353733798</v>
      </c>
      <c r="O77" s="69">
        <v>38922.898584569397</v>
      </c>
      <c r="P77" s="25">
        <v>0.40082066207960398</v>
      </c>
      <c r="Q77" s="25">
        <v>0.67800919422578199</v>
      </c>
      <c r="R77" s="25">
        <v>0.45726845823943502</v>
      </c>
      <c r="S77" s="25">
        <v>0.813202815677183</v>
      </c>
      <c r="AG77" s="29" t="e">
        <f t="shared" si="20"/>
        <v>#DIV/0!</v>
      </c>
      <c r="AH77" s="29" t="e">
        <f t="shared" si="20"/>
        <v>#DIV/0!</v>
      </c>
      <c r="AI77" s="29" t="e">
        <f t="shared" si="20"/>
        <v>#DIV/0!</v>
      </c>
      <c r="AJ77" s="29" t="e">
        <f t="shared" si="20"/>
        <v>#DIV/0!</v>
      </c>
    </row>
    <row r="78" spans="4:36">
      <c r="D78" s="23" t="s">
        <v>181</v>
      </c>
      <c r="E78" s="73">
        <v>3.4999999999986402</v>
      </c>
      <c r="F78" s="73">
        <v>60.300000000001802</v>
      </c>
      <c r="G78" s="73">
        <v>64.099999999999298</v>
      </c>
      <c r="H78" s="73">
        <v>55.326670211719602</v>
      </c>
      <c r="I78" s="73">
        <v>0</v>
      </c>
      <c r="J78" s="73">
        <v>0</v>
      </c>
      <c r="K78" s="73">
        <v>0</v>
      </c>
      <c r="L78" s="73">
        <v>0</v>
      </c>
      <c r="M78" s="73">
        <v>0</v>
      </c>
      <c r="N78" s="73">
        <v>0</v>
      </c>
      <c r="O78" s="73">
        <v>0</v>
      </c>
      <c r="P78" s="25">
        <v>33.745444519830698</v>
      </c>
      <c r="Q78" s="25">
        <v>-100</v>
      </c>
      <c r="R78" s="25">
        <v>0</v>
      </c>
      <c r="S78" s="25">
        <v>0</v>
      </c>
      <c r="AG78" s="29" t="e">
        <f t="shared" si="20"/>
        <v>#DIV/0!</v>
      </c>
      <c r="AH78" s="29" t="e">
        <f t="shared" si="20"/>
        <v>#DIV/0!</v>
      </c>
      <c r="AI78" s="29" t="e">
        <f t="shared" si="20"/>
        <v>#DIV/0!</v>
      </c>
      <c r="AJ78" s="29" t="e">
        <f t="shared" si="20"/>
        <v>#DIV/0!</v>
      </c>
    </row>
    <row r="79" spans="4:36">
      <c r="D79" s="23" t="s">
        <v>183</v>
      </c>
      <c r="E79" s="73">
        <v>4914.6000000000104</v>
      </c>
      <c r="F79" s="73">
        <v>6376.4000000000096</v>
      </c>
      <c r="G79" s="73">
        <v>5686.8000000000202</v>
      </c>
      <c r="H79" s="73">
        <v>5141.9576570113704</v>
      </c>
      <c r="I79" s="73">
        <v>5667.3127986311902</v>
      </c>
      <c r="J79" s="73">
        <v>5638.3544855579403</v>
      </c>
      <c r="K79" s="73">
        <v>5667.7629137506101</v>
      </c>
      <c r="L79" s="73">
        <v>4191.2031882171104</v>
      </c>
      <c r="M79" s="73">
        <v>3620.8415537072501</v>
      </c>
      <c r="N79" s="73">
        <v>2780.7935631138098</v>
      </c>
      <c r="O79" s="73">
        <v>2220.3757248439601</v>
      </c>
      <c r="P79" s="25">
        <v>1.4700741744239301</v>
      </c>
      <c r="Q79" s="25">
        <v>-3.43203852439911E-2</v>
      </c>
      <c r="R79" s="25">
        <v>7.9420185359335704E-4</v>
      </c>
      <c r="S79" s="25">
        <v>-4.5775111613378296</v>
      </c>
      <c r="AG79" s="29" t="e">
        <f t="shared" si="20"/>
        <v>#DIV/0!</v>
      </c>
      <c r="AH79" s="29" t="e">
        <f t="shared" si="20"/>
        <v>#DIV/0!</v>
      </c>
      <c r="AI79" s="29" t="e">
        <f t="shared" si="20"/>
        <v>#DIV/0!</v>
      </c>
      <c r="AJ79" s="29" t="e">
        <f t="shared" si="20"/>
        <v>#DIV/0!</v>
      </c>
    </row>
    <row r="80" spans="4:36">
      <c r="D80" s="23" t="s">
        <v>184</v>
      </c>
      <c r="E80" s="73">
        <v>13626.8</v>
      </c>
      <c r="F80" s="73">
        <v>9886.2000000000007</v>
      </c>
      <c r="G80" s="73">
        <v>6884.5</v>
      </c>
      <c r="H80" s="73">
        <v>6760.4069112110301</v>
      </c>
      <c r="I80" s="73">
        <v>5757.8412889393203</v>
      </c>
      <c r="J80" s="73">
        <v>4599.6894667471497</v>
      </c>
      <c r="K80" s="73">
        <v>4019.3496130630101</v>
      </c>
      <c r="L80" s="73">
        <v>3156.0489572638198</v>
      </c>
      <c r="M80" s="73">
        <v>2773.06282374691</v>
      </c>
      <c r="N80" s="73">
        <v>1533.3831281243599</v>
      </c>
      <c r="O80" s="73">
        <v>919.44086976237304</v>
      </c>
      <c r="P80" s="25">
        <v>-6.5997900970877801</v>
      </c>
      <c r="Q80" s="25">
        <v>-1.77122488758871</v>
      </c>
      <c r="R80" s="25">
        <v>-3.5305928876806099</v>
      </c>
      <c r="S80" s="25">
        <v>-7.1101201713704203</v>
      </c>
      <c r="AG80" s="29" t="e">
        <f t="shared" si="20"/>
        <v>#DIV/0!</v>
      </c>
      <c r="AH80" s="29" t="e">
        <f t="shared" si="20"/>
        <v>#DIV/0!</v>
      </c>
      <c r="AI80" s="29" t="e">
        <f t="shared" si="20"/>
        <v>#DIV/0!</v>
      </c>
      <c r="AJ80" s="29" t="e">
        <f t="shared" si="20"/>
        <v>#DIV/0!</v>
      </c>
    </row>
    <row r="81" spans="4:36">
      <c r="D81" s="23" t="s">
        <v>186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25">
        <v>0</v>
      </c>
      <c r="Q81" s="25">
        <v>0</v>
      </c>
      <c r="R81" s="25">
        <v>0</v>
      </c>
      <c r="S81" s="25">
        <v>0</v>
      </c>
      <c r="AG81" s="29" t="e">
        <f t="shared" si="20"/>
        <v>#DIV/0!</v>
      </c>
      <c r="AH81" s="29" t="e">
        <f t="shared" si="20"/>
        <v>#DIV/0!</v>
      </c>
      <c r="AI81" s="29" t="e">
        <f t="shared" si="20"/>
        <v>#DIV/0!</v>
      </c>
      <c r="AJ81" s="29" t="e">
        <f t="shared" si="20"/>
        <v>#DIV/0!</v>
      </c>
    </row>
    <row r="82" spans="4:36">
      <c r="D82" s="23" t="s">
        <v>203</v>
      </c>
      <c r="E82" s="73">
        <v>9855.5</v>
      </c>
      <c r="F82" s="73">
        <v>11515.8</v>
      </c>
      <c r="G82" s="73">
        <v>16924.099999999999</v>
      </c>
      <c r="H82" s="73">
        <v>18793.369199205099</v>
      </c>
      <c r="I82" s="73">
        <v>20200.773771979799</v>
      </c>
      <c r="J82" s="73">
        <v>22242.566563445602</v>
      </c>
      <c r="K82" s="73">
        <v>23415.0926649268</v>
      </c>
      <c r="L82" s="73">
        <v>26598.333720561201</v>
      </c>
      <c r="M82" s="73">
        <v>29130.0496089724</v>
      </c>
      <c r="N82" s="73">
        <v>32960.056662495597</v>
      </c>
      <c r="O82" s="73">
        <v>35783.081989963102</v>
      </c>
      <c r="P82" s="25">
        <v>5.5559435143274403</v>
      </c>
      <c r="Q82" s="25">
        <v>1.78557684062908</v>
      </c>
      <c r="R82" s="25">
        <v>1.48755448772586</v>
      </c>
      <c r="S82" s="25">
        <v>2.1431138202889302</v>
      </c>
      <c r="U82" t="s">
        <v>146</v>
      </c>
      <c r="X82">
        <f t="shared" ref="X82:AE82" si="21">SUM(X76:X77)</f>
        <v>0</v>
      </c>
      <c r="Y82">
        <f t="shared" si="21"/>
        <v>0</v>
      </c>
      <c r="Z82">
        <f t="shared" si="21"/>
        <v>0</v>
      </c>
      <c r="AA82">
        <f t="shared" si="21"/>
        <v>0</v>
      </c>
      <c r="AB82">
        <f t="shared" si="21"/>
        <v>0</v>
      </c>
      <c r="AC82">
        <f t="shared" si="21"/>
        <v>0</v>
      </c>
      <c r="AD82">
        <f t="shared" si="21"/>
        <v>0</v>
      </c>
      <c r="AE82">
        <f t="shared" si="21"/>
        <v>0</v>
      </c>
    </row>
    <row r="83" spans="4:36">
      <c r="D83" s="74" t="s">
        <v>205</v>
      </c>
      <c r="E83" s="73">
        <v>3800.4</v>
      </c>
      <c r="F83" s="73">
        <v>3101.2</v>
      </c>
      <c r="G83" s="73">
        <v>4395.2</v>
      </c>
      <c r="H83" s="73">
        <v>4138.5870500521496</v>
      </c>
      <c r="I83" s="73">
        <v>4089.1941871865502</v>
      </c>
      <c r="J83" s="73">
        <v>4213.4661467623901</v>
      </c>
      <c r="K83" s="73">
        <v>4278.4018617971496</v>
      </c>
      <c r="L83" s="73">
        <v>4415.4502634031796</v>
      </c>
      <c r="M83" s="73">
        <v>4525.8394609102697</v>
      </c>
      <c r="N83" s="73">
        <v>4585.8876028708401</v>
      </c>
      <c r="O83" s="73">
        <v>4633.2829866349302</v>
      </c>
      <c r="P83" s="25">
        <v>1.46469010201173</v>
      </c>
      <c r="Q83" s="25">
        <v>-0.71905341078001295</v>
      </c>
      <c r="R83" s="25">
        <v>0.45334062037585299</v>
      </c>
      <c r="S83" s="25">
        <v>0.399225501009282</v>
      </c>
    </row>
    <row r="84" spans="4:36">
      <c r="D84" s="74" t="s">
        <v>206</v>
      </c>
      <c r="E84" s="73">
        <v>1735.8</v>
      </c>
      <c r="F84" s="73">
        <v>3391.9</v>
      </c>
      <c r="G84" s="73">
        <v>6670.4</v>
      </c>
      <c r="H84" s="73">
        <v>10105.4425213334</v>
      </c>
      <c r="I84" s="73">
        <v>11260.2552354421</v>
      </c>
      <c r="J84" s="73">
        <v>11536.6731573751</v>
      </c>
      <c r="K84" s="73">
        <v>11556.7091802867</v>
      </c>
      <c r="L84" s="73">
        <v>14037.1673025655</v>
      </c>
      <c r="M84" s="73">
        <v>15411.7241565983</v>
      </c>
      <c r="N84" s="73">
        <v>15916.983514808901</v>
      </c>
      <c r="O84" s="73">
        <v>16058.1903551877</v>
      </c>
      <c r="P84" s="25">
        <v>14.4103250240412</v>
      </c>
      <c r="Q84" s="25">
        <v>5.3754969329906004</v>
      </c>
      <c r="R84" s="25">
        <v>0.26020654943099703</v>
      </c>
      <c r="S84" s="25">
        <v>1.6583650742024501</v>
      </c>
    </row>
    <row r="85" spans="4:36">
      <c r="D85" s="74" t="s">
        <v>207</v>
      </c>
      <c r="E85" s="73">
        <v>48.4</v>
      </c>
      <c r="F85" s="73">
        <v>201.5</v>
      </c>
      <c r="G85" s="73">
        <v>784.7</v>
      </c>
      <c r="H85" s="73">
        <v>1258.00783763302</v>
      </c>
      <c r="I85" s="73">
        <v>1259.51627587801</v>
      </c>
      <c r="J85" s="73">
        <v>2200.5448663340899</v>
      </c>
      <c r="K85" s="73">
        <v>2814.9732377355399</v>
      </c>
      <c r="L85" s="73">
        <v>2903.43313018763</v>
      </c>
      <c r="M85" s="73">
        <v>3420.0882135686402</v>
      </c>
      <c r="N85" s="73">
        <v>3992.9178149846998</v>
      </c>
      <c r="O85" s="73">
        <v>5336.0052101686997</v>
      </c>
      <c r="P85" s="25">
        <v>32.1252521395011</v>
      </c>
      <c r="Q85" s="25">
        <v>4.8455526243646396</v>
      </c>
      <c r="R85" s="25">
        <v>8.3744854820295505</v>
      </c>
      <c r="S85" s="25">
        <v>3.2492959068100902</v>
      </c>
    </row>
    <row r="86" spans="4:36">
      <c r="D86" s="74" t="s">
        <v>209</v>
      </c>
      <c r="E86" s="73">
        <v>12.4</v>
      </c>
      <c r="F86" s="73">
        <v>30</v>
      </c>
      <c r="G86" s="73">
        <v>298</v>
      </c>
      <c r="H86" s="73">
        <v>2199.42501276434</v>
      </c>
      <c r="I86" s="73">
        <v>2501.89133527275</v>
      </c>
      <c r="J86" s="73">
        <v>3167.7897151771799</v>
      </c>
      <c r="K86" s="73">
        <v>3595.4830939243202</v>
      </c>
      <c r="L86" s="73">
        <v>4008.76217367975</v>
      </c>
      <c r="M86" s="73">
        <v>4447.8839152901901</v>
      </c>
      <c r="N86" s="73">
        <v>7467.7021160045397</v>
      </c>
      <c r="O86" s="73">
        <v>8735.6343742983099</v>
      </c>
      <c r="P86" s="25">
        <v>37.429339074713702</v>
      </c>
      <c r="Q86" s="25">
        <v>23.710117073828201</v>
      </c>
      <c r="R86" s="25">
        <v>3.6928666094327798</v>
      </c>
      <c r="S86" s="25">
        <v>4.5386433822165699</v>
      </c>
    </row>
    <row r="87" spans="4:36">
      <c r="D87" s="74" t="s">
        <v>211</v>
      </c>
      <c r="E87" s="75">
        <v>4258.5</v>
      </c>
      <c r="F87" s="75">
        <v>4791.2</v>
      </c>
      <c r="G87" s="75">
        <v>4775.8</v>
      </c>
      <c r="H87" s="75">
        <v>1091.9067774222401</v>
      </c>
      <c r="I87" s="75">
        <v>1089.91673820044</v>
      </c>
      <c r="J87" s="75">
        <v>1124.09267779685</v>
      </c>
      <c r="K87" s="75">
        <v>1169.5252911830901</v>
      </c>
      <c r="L87" s="75">
        <v>1233.52085072506</v>
      </c>
      <c r="M87" s="75">
        <v>1324.51386260503</v>
      </c>
      <c r="N87" s="75">
        <v>996.56561382660595</v>
      </c>
      <c r="O87" s="75">
        <v>1019.96906367342</v>
      </c>
      <c r="P87" s="25">
        <v>1.15304200364217</v>
      </c>
      <c r="Q87" s="25">
        <v>-13.734981636531</v>
      </c>
      <c r="R87" s="25">
        <v>0.70745699760077496</v>
      </c>
      <c r="S87" s="25">
        <v>-0.68179334733936603</v>
      </c>
    </row>
    <row r="88" spans="4:36">
      <c r="D88" s="57" t="s">
        <v>213</v>
      </c>
      <c r="E88" s="69">
        <v>152068.70000000001</v>
      </c>
      <c r="F88" s="69">
        <v>160240.70000000001</v>
      </c>
      <c r="G88" s="69">
        <v>149804.1</v>
      </c>
      <c r="H88" s="69">
        <v>131764.00659679301</v>
      </c>
      <c r="I88" s="69">
        <v>133150.969997462</v>
      </c>
      <c r="J88" s="69">
        <v>125040.46107120199</v>
      </c>
      <c r="K88" s="69">
        <v>120544.400494384</v>
      </c>
      <c r="L88" s="69">
        <v>118217.203763802</v>
      </c>
      <c r="M88" s="69">
        <v>115090.94225525099</v>
      </c>
      <c r="N88" s="69">
        <v>112865.91589627</v>
      </c>
      <c r="O88" s="69">
        <v>110333.36307116599</v>
      </c>
      <c r="P88" s="25">
        <v>-0.149927015848661</v>
      </c>
      <c r="Q88" s="25">
        <v>-1.1715319253102401</v>
      </c>
      <c r="R88" s="25">
        <v>-0.98972410625806095</v>
      </c>
      <c r="S88" s="25">
        <v>-0.44158113905963298</v>
      </c>
    </row>
    <row r="89" spans="4:36">
      <c r="D89" s="23" t="s">
        <v>181</v>
      </c>
      <c r="E89" s="73">
        <v>13132.7</v>
      </c>
      <c r="F89" s="73">
        <v>16366.5</v>
      </c>
      <c r="G89" s="73">
        <v>14301</v>
      </c>
      <c r="H89" s="73">
        <v>16050.3539932569</v>
      </c>
      <c r="I89" s="73">
        <v>18637.008148551799</v>
      </c>
      <c r="J89" s="73">
        <v>12627.8279953701</v>
      </c>
      <c r="K89" s="73">
        <v>11323.355333613101</v>
      </c>
      <c r="L89" s="73">
        <v>9644.7385959251296</v>
      </c>
      <c r="M89" s="73">
        <v>3492.8978217061099</v>
      </c>
      <c r="N89" s="73">
        <v>3471.3908988000699</v>
      </c>
      <c r="O89" s="73">
        <v>1575.4633665235999</v>
      </c>
      <c r="P89" s="25">
        <v>0.85588353518208904</v>
      </c>
      <c r="Q89" s="25">
        <v>2.6835746023637701</v>
      </c>
      <c r="R89" s="25">
        <v>-4.8607126250945099</v>
      </c>
      <c r="S89" s="25">
        <v>-9.3909329672196993</v>
      </c>
    </row>
    <row r="90" spans="4:36">
      <c r="D90" s="23" t="s">
        <v>183</v>
      </c>
      <c r="E90" s="73">
        <v>87598.9</v>
      </c>
      <c r="F90" s="73">
        <v>79154</v>
      </c>
      <c r="G90" s="73">
        <v>67826.3</v>
      </c>
      <c r="H90" s="73">
        <v>59508.674061825397</v>
      </c>
      <c r="I90" s="73">
        <v>54635.612636237398</v>
      </c>
      <c r="J90" s="73">
        <v>51628.461918420602</v>
      </c>
      <c r="K90" s="73">
        <v>48867.111778882499</v>
      </c>
      <c r="L90" s="73">
        <v>47998.237999263998</v>
      </c>
      <c r="M90" s="73">
        <v>46806.053095531403</v>
      </c>
      <c r="N90" s="73">
        <v>46656.649238417602</v>
      </c>
      <c r="O90" s="73">
        <v>46146.530801692097</v>
      </c>
      <c r="P90" s="25">
        <v>-2.5257398739316201</v>
      </c>
      <c r="Q90" s="25">
        <v>-2.1394236797058199</v>
      </c>
      <c r="R90" s="25">
        <v>-1.1096109630329301</v>
      </c>
      <c r="S90" s="25">
        <v>-0.28600434385450701</v>
      </c>
    </row>
    <row r="91" spans="4:36">
      <c r="D91" s="74" t="s">
        <v>217</v>
      </c>
      <c r="E91" s="73">
        <v>89450.6</v>
      </c>
      <c r="F91" s="73">
        <v>94306.6</v>
      </c>
      <c r="G91" s="73">
        <v>84882</v>
      </c>
      <c r="H91" s="73">
        <v>68524.645370526399</v>
      </c>
      <c r="I91" s="73">
        <v>61760.663822621202</v>
      </c>
      <c r="J91" s="73">
        <v>57024.084784806997</v>
      </c>
      <c r="K91" s="73">
        <v>52777.861573581002</v>
      </c>
      <c r="L91" s="73">
        <v>50363.155917073404</v>
      </c>
      <c r="M91" s="73">
        <v>47574.863895152201</v>
      </c>
      <c r="N91" s="73">
        <v>45689.935396654299</v>
      </c>
      <c r="O91" s="73">
        <v>43692.002072651099</v>
      </c>
      <c r="P91" s="25">
        <v>-0.52287284498291298</v>
      </c>
      <c r="Q91" s="25">
        <v>-3.1299251884795001</v>
      </c>
      <c r="R91" s="25">
        <v>-1.55946089208576</v>
      </c>
      <c r="S91" s="25">
        <v>-0.94018609110836404</v>
      </c>
    </row>
    <row r="92" spans="4:36">
      <c r="D92" s="74" t="s">
        <v>219</v>
      </c>
      <c r="E92" s="73">
        <v>-1851.7</v>
      </c>
      <c r="F92" s="73">
        <v>-15152.6</v>
      </c>
      <c r="G92" s="73">
        <v>-17055.7</v>
      </c>
      <c r="H92" s="73">
        <v>-9015.9713087009895</v>
      </c>
      <c r="I92" s="73">
        <v>-7125.0511863838001</v>
      </c>
      <c r="J92" s="73">
        <v>-5395.6228663864904</v>
      </c>
      <c r="K92" s="73">
        <v>-3910.7497946984599</v>
      </c>
      <c r="L92" s="73">
        <v>-2364.91791780939</v>
      </c>
      <c r="M92" s="73">
        <v>-768.81079962087802</v>
      </c>
      <c r="N92" s="73">
        <v>966.71384176337904</v>
      </c>
      <c r="O92" s="73">
        <v>2454.5287290409501</v>
      </c>
      <c r="P92" s="25">
        <v>24.861886476467301</v>
      </c>
      <c r="Q92" s="25">
        <v>-8.3585728287631493</v>
      </c>
      <c r="R92" s="25">
        <v>-5.8224898931503901</v>
      </c>
      <c r="S92" s="25">
        <v>0</v>
      </c>
    </row>
    <row r="93" spans="4:36">
      <c r="D93" s="23" t="s">
        <v>184</v>
      </c>
      <c r="E93" s="73">
        <v>47008.2</v>
      </c>
      <c r="F93" s="73">
        <v>59839.6</v>
      </c>
      <c r="G93" s="73">
        <v>61599.6</v>
      </c>
      <c r="H93" s="73">
        <v>49416.460454104403</v>
      </c>
      <c r="I93" s="73">
        <v>54064.368622461203</v>
      </c>
      <c r="J93" s="73">
        <v>54881.072014924197</v>
      </c>
      <c r="K93" s="73">
        <v>54703.453669931703</v>
      </c>
      <c r="L93" s="73">
        <v>55059.092525152599</v>
      </c>
      <c r="M93" s="73">
        <v>59686.896700426703</v>
      </c>
      <c r="N93" s="73">
        <v>57911.302378341301</v>
      </c>
      <c r="O93" s="73">
        <v>57997.687491072502</v>
      </c>
      <c r="P93" s="25">
        <v>2.74020478079346</v>
      </c>
      <c r="Q93" s="25">
        <v>-1.29632467239773</v>
      </c>
      <c r="R93" s="25">
        <v>0.117584052054687</v>
      </c>
      <c r="S93" s="25">
        <v>0.29280931690718298</v>
      </c>
    </row>
    <row r="94" spans="4:36">
      <c r="D94" s="23" t="s">
        <v>48</v>
      </c>
      <c r="E94" s="73">
        <v>3813.2</v>
      </c>
      <c r="F94" s="73">
        <v>4226.5</v>
      </c>
      <c r="G94" s="73">
        <v>3797.1</v>
      </c>
      <c r="H94" s="73">
        <v>3953.63675189283</v>
      </c>
      <c r="I94" s="73">
        <v>2578.0565908287299</v>
      </c>
      <c r="J94" s="73">
        <v>2764.0991299110001</v>
      </c>
      <c r="K94" s="73">
        <v>2644.4903631378102</v>
      </c>
      <c r="L94" s="73">
        <v>2226.8655106060501</v>
      </c>
      <c r="M94" s="73">
        <v>1881.7562219436199</v>
      </c>
      <c r="N94" s="73">
        <v>1696.8727283174401</v>
      </c>
      <c r="O94" s="73">
        <v>1676.6163292598401</v>
      </c>
      <c r="P94" s="25">
        <v>-4.2302191627929801E-2</v>
      </c>
      <c r="Q94" s="25">
        <v>-3.7980132435939402</v>
      </c>
      <c r="R94" s="25">
        <v>0.25474905216431598</v>
      </c>
      <c r="S94" s="25">
        <v>-2.2527416157582798</v>
      </c>
    </row>
    <row r="95" spans="4:36">
      <c r="D95" s="49" t="s">
        <v>226</v>
      </c>
      <c r="E95" s="78">
        <v>86.469291112925603</v>
      </c>
      <c r="F95" s="78">
        <v>84.464930392113999</v>
      </c>
      <c r="G95" s="78">
        <v>84.284802819468894</v>
      </c>
      <c r="H95" s="78">
        <v>81.078024949450295</v>
      </c>
      <c r="I95" s="78">
        <v>80.806819238098399</v>
      </c>
      <c r="J95" s="78">
        <v>79.380148834360099</v>
      </c>
      <c r="K95" s="78">
        <v>78.455622209212507</v>
      </c>
      <c r="L95" s="78">
        <v>77.691270021653096</v>
      </c>
      <c r="M95" s="78">
        <v>76.414050088761101</v>
      </c>
      <c r="N95" s="78">
        <v>75.173707006466998</v>
      </c>
      <c r="O95" s="78">
        <v>73.922100049412805</v>
      </c>
      <c r="P95" s="25"/>
      <c r="Q95" s="25"/>
      <c r="R95" s="25"/>
      <c r="S95" s="25"/>
    </row>
    <row r="96" spans="4:36">
      <c r="D96" s="4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25"/>
      <c r="Q96" s="25"/>
      <c r="R96" s="25"/>
      <c r="S96" s="25"/>
    </row>
    <row r="97" spans="3:19">
      <c r="D97" s="68" t="s">
        <v>229</v>
      </c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25"/>
      <c r="Q97" s="25"/>
      <c r="R97" s="25"/>
      <c r="S97" s="25"/>
    </row>
    <row r="98" spans="3:19">
      <c r="D98" s="49" t="s">
        <v>231</v>
      </c>
      <c r="E98" s="50">
        <v>269941</v>
      </c>
      <c r="F98" s="50">
        <v>296840</v>
      </c>
      <c r="G98" s="50">
        <v>298773</v>
      </c>
      <c r="H98" s="50">
        <v>288972.39521615102</v>
      </c>
      <c r="I98" s="50">
        <v>316523.41603749298</v>
      </c>
      <c r="J98" s="50">
        <v>313784.29578664101</v>
      </c>
      <c r="K98" s="50">
        <v>323148.87243115902</v>
      </c>
      <c r="L98" s="50">
        <v>351614.37797753199</v>
      </c>
      <c r="M98" s="50">
        <v>378763.34244987101</v>
      </c>
      <c r="N98" s="50">
        <v>399987.57554224198</v>
      </c>
      <c r="O98" s="50">
        <v>417852.53109947499</v>
      </c>
      <c r="P98" s="25">
        <v>1.01997333689261</v>
      </c>
      <c r="Q98" s="25">
        <v>0.57879996586489602</v>
      </c>
      <c r="R98" s="25">
        <v>0.20737371478549699</v>
      </c>
      <c r="S98" s="25">
        <v>1.29336985916029</v>
      </c>
    </row>
    <row r="99" spans="3:19">
      <c r="D99" s="23" t="s">
        <v>233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5">
        <v>0</v>
      </c>
      <c r="Q99" s="25">
        <v>0</v>
      </c>
      <c r="R99" s="25">
        <v>0</v>
      </c>
      <c r="S99" s="25">
        <v>0</v>
      </c>
    </row>
    <row r="100" spans="3:19">
      <c r="D100" s="23" t="s">
        <v>181</v>
      </c>
      <c r="E100" s="24">
        <v>26272</v>
      </c>
      <c r="F100" s="24">
        <v>43606</v>
      </c>
      <c r="G100" s="24">
        <v>39734</v>
      </c>
      <c r="H100" s="24">
        <v>58855.803237411303</v>
      </c>
      <c r="I100" s="24">
        <v>67162.826428955101</v>
      </c>
      <c r="J100" s="24">
        <v>45093.273648298702</v>
      </c>
      <c r="K100" s="24">
        <v>44667.6530477216</v>
      </c>
      <c r="L100" s="24">
        <v>38750.780303287902</v>
      </c>
      <c r="M100" s="24">
        <v>9867.4614237767892</v>
      </c>
      <c r="N100" s="24">
        <v>9203.7542295982203</v>
      </c>
      <c r="O100" s="24">
        <v>0</v>
      </c>
      <c r="P100" s="25">
        <v>4.2238028085717501</v>
      </c>
      <c r="Q100" s="25">
        <v>5.3893358596659402</v>
      </c>
      <c r="R100" s="25">
        <v>-3.99664355985013</v>
      </c>
      <c r="S100" s="25">
        <v>-100</v>
      </c>
    </row>
    <row r="101" spans="3:19">
      <c r="D101" s="23" t="s">
        <v>236</v>
      </c>
      <c r="E101" s="24">
        <v>85878</v>
      </c>
      <c r="F101" s="24">
        <v>47124</v>
      </c>
      <c r="G101" s="24">
        <v>21714</v>
      </c>
      <c r="H101" s="24">
        <v>8781.4612180416407</v>
      </c>
      <c r="I101" s="24">
        <v>7791.3199957498</v>
      </c>
      <c r="J101" s="24">
        <v>8009.0519923489801</v>
      </c>
      <c r="K101" s="24">
        <v>7759.9231945264901</v>
      </c>
      <c r="L101" s="24">
        <v>5066.9810470132197</v>
      </c>
      <c r="M101" s="24">
        <v>4492.0049892798997</v>
      </c>
      <c r="N101" s="24">
        <v>2811.1992184372898</v>
      </c>
      <c r="O101" s="24">
        <v>864.43166316100996</v>
      </c>
      <c r="P101" s="25">
        <v>-12.846307641218299</v>
      </c>
      <c r="Q101" s="25">
        <v>-9.7417059423275294</v>
      </c>
      <c r="R101" s="25">
        <v>-4.0370413546242399E-2</v>
      </c>
      <c r="S101" s="25">
        <v>-10.3926441706093</v>
      </c>
    </row>
    <row r="102" spans="3:19">
      <c r="D102" s="23" t="s">
        <v>239</v>
      </c>
      <c r="E102" s="24">
        <v>106398</v>
      </c>
      <c r="F102" s="24">
        <v>156191</v>
      </c>
      <c r="G102" s="24">
        <v>158215</v>
      </c>
      <c r="H102" s="24">
        <v>110292.936807472</v>
      </c>
      <c r="I102" s="24">
        <v>126166.109688055</v>
      </c>
      <c r="J102" s="24">
        <v>124245.647080262</v>
      </c>
      <c r="K102" s="24">
        <v>122447.148971496</v>
      </c>
      <c r="L102" s="24">
        <v>136376.71087450499</v>
      </c>
      <c r="M102" s="24">
        <v>167625.92175917301</v>
      </c>
      <c r="N102" s="24">
        <v>146745.221236054</v>
      </c>
      <c r="O102" s="24">
        <v>143733.52292275999</v>
      </c>
      <c r="P102" s="25">
        <v>4.0474447639069</v>
      </c>
      <c r="Q102" s="25">
        <v>-2.2381287804604</v>
      </c>
      <c r="R102" s="25">
        <v>-0.29875154329236397</v>
      </c>
      <c r="S102" s="25">
        <v>0.80462761778581404</v>
      </c>
    </row>
    <row r="103" spans="3:19">
      <c r="D103" s="23" t="s">
        <v>240</v>
      </c>
      <c r="E103" s="24">
        <v>1908</v>
      </c>
      <c r="F103" s="24">
        <v>6153</v>
      </c>
      <c r="G103" s="24">
        <v>11586</v>
      </c>
      <c r="H103" s="24">
        <v>18671.3872968367</v>
      </c>
      <c r="I103" s="24">
        <v>21446.056838126398</v>
      </c>
      <c r="J103" s="24">
        <v>24171.263047906501</v>
      </c>
      <c r="K103" s="24">
        <v>25555.705360331202</v>
      </c>
      <c r="L103" s="24">
        <v>43427.1546208293</v>
      </c>
      <c r="M103" s="24">
        <v>58282.0391980938</v>
      </c>
      <c r="N103" s="24">
        <v>61677.272929686602</v>
      </c>
      <c r="O103" s="24">
        <v>63655.093008614902</v>
      </c>
      <c r="P103" s="25">
        <v>19.766543367133899</v>
      </c>
      <c r="Q103" s="25">
        <v>6.3509546957792899</v>
      </c>
      <c r="R103" s="25">
        <v>1.7686566779769901</v>
      </c>
      <c r="S103" s="25">
        <v>4.6688046051860796</v>
      </c>
    </row>
    <row r="104" spans="3:19">
      <c r="D104" s="23" t="s">
        <v>242</v>
      </c>
      <c r="E104" s="24">
        <v>44199</v>
      </c>
      <c r="F104" s="24">
        <v>36067</v>
      </c>
      <c r="G104" s="24">
        <v>51116</v>
      </c>
      <c r="H104" s="24">
        <v>48123.105233164497</v>
      </c>
      <c r="I104" s="24">
        <v>47548.769618448299</v>
      </c>
      <c r="J104" s="24">
        <v>48993.792404213797</v>
      </c>
      <c r="K104" s="24">
        <v>49748.858858106403</v>
      </c>
      <c r="L104" s="24">
        <v>51342.444923292896</v>
      </c>
      <c r="M104" s="24">
        <v>52626.040243142597</v>
      </c>
      <c r="N104" s="24">
        <v>53324.274451986501</v>
      </c>
      <c r="O104" s="24">
        <v>53875.383565522498</v>
      </c>
      <c r="P104" s="25">
        <v>1.46457527798456</v>
      </c>
      <c r="Q104" s="25">
        <v>-0.72080610768211495</v>
      </c>
      <c r="R104" s="25">
        <v>0.45334062037585299</v>
      </c>
      <c r="S104" s="25">
        <v>0.399225501009282</v>
      </c>
    </row>
    <row r="105" spans="3:19">
      <c r="D105" s="23" t="s">
        <v>207</v>
      </c>
      <c r="E105" s="24">
        <v>563</v>
      </c>
      <c r="F105" s="24">
        <v>2344</v>
      </c>
      <c r="G105" s="24">
        <v>9126</v>
      </c>
      <c r="H105" s="24">
        <v>14627.998112011899</v>
      </c>
      <c r="I105" s="24">
        <v>14645.5380916048</v>
      </c>
      <c r="J105" s="24">
        <v>25587.731003884699</v>
      </c>
      <c r="K105" s="24">
        <v>32732.246950413301</v>
      </c>
      <c r="L105" s="24">
        <v>33760.850351018897</v>
      </c>
      <c r="M105" s="24">
        <v>39768.467599635303</v>
      </c>
      <c r="N105" s="24">
        <v>46429.276918426702</v>
      </c>
      <c r="O105" s="24">
        <v>62046.572211264</v>
      </c>
      <c r="P105" s="25">
        <v>32.1226290556489</v>
      </c>
      <c r="Q105" s="25">
        <v>4.8437356706102497</v>
      </c>
      <c r="R105" s="25">
        <v>8.3744854820295505</v>
      </c>
      <c r="S105" s="25">
        <v>3.2492959068100902</v>
      </c>
    </row>
    <row r="106" spans="3:19">
      <c r="D106" s="23" t="s">
        <v>245</v>
      </c>
      <c r="E106" s="24">
        <v>17.441860465116299</v>
      </c>
      <c r="F106" s="24">
        <v>31.395348837209301</v>
      </c>
      <c r="G106" s="24">
        <v>1905.8139534883701</v>
      </c>
      <c r="H106" s="24">
        <v>23409.301311213301</v>
      </c>
      <c r="I106" s="24">
        <v>25552.393376553599</v>
      </c>
      <c r="J106" s="24">
        <v>31473.134609725799</v>
      </c>
      <c r="K106" s="24">
        <v>34026.934048563897</v>
      </c>
      <c r="L106" s="24">
        <v>36679.053857585102</v>
      </c>
      <c r="M106" s="24">
        <v>39891.005236769299</v>
      </c>
      <c r="N106" s="24">
        <v>74047.388558052102</v>
      </c>
      <c r="O106" s="24">
        <v>87928.339728152598</v>
      </c>
      <c r="P106" s="25">
        <v>59.9001125556236</v>
      </c>
      <c r="Q106" s="25">
        <v>29.638831613652702</v>
      </c>
      <c r="R106" s="25">
        <v>2.9056270746526298</v>
      </c>
      <c r="S106" s="25">
        <v>4.8613157361361496</v>
      </c>
    </row>
    <row r="107" spans="3:19">
      <c r="D107" s="23" t="s">
        <v>246</v>
      </c>
      <c r="E107" s="24">
        <v>4705.55813953488</v>
      </c>
      <c r="F107" s="24">
        <v>5323.6046511627901</v>
      </c>
      <c r="G107" s="24">
        <v>5376.1860465116297</v>
      </c>
      <c r="H107" s="24">
        <v>6210.40200000001</v>
      </c>
      <c r="I107" s="24">
        <v>6210.402</v>
      </c>
      <c r="J107" s="24">
        <v>6210.402</v>
      </c>
      <c r="K107" s="24">
        <v>6210.402</v>
      </c>
      <c r="L107" s="24">
        <v>6210.402</v>
      </c>
      <c r="M107" s="24">
        <v>6210.402</v>
      </c>
      <c r="N107" s="24">
        <v>5749.1880000000001</v>
      </c>
      <c r="O107" s="24">
        <v>5749.1880000000101</v>
      </c>
      <c r="P107" s="25">
        <v>1.3412634744185601</v>
      </c>
      <c r="Q107" s="25">
        <v>1.45291790449971</v>
      </c>
      <c r="R107" s="25">
        <v>0</v>
      </c>
      <c r="S107" s="25">
        <v>-0.38509161665930502</v>
      </c>
    </row>
    <row r="108" spans="3:19">
      <c r="D108" s="63" t="s">
        <v>247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25">
        <v>0</v>
      </c>
      <c r="Q108" s="25">
        <v>0</v>
      </c>
      <c r="R108" s="25">
        <v>0</v>
      </c>
      <c r="S108" s="25">
        <v>0</v>
      </c>
    </row>
    <row r="109" spans="3:19">
      <c r="D109" s="57" t="s">
        <v>248</v>
      </c>
      <c r="E109" s="50">
        <v>71896.080900000001</v>
      </c>
      <c r="F109" s="50">
        <v>82950.445200000002</v>
      </c>
      <c r="G109" s="50">
        <v>104919.73367</v>
      </c>
      <c r="H109" s="50">
        <v>127453.70041999999</v>
      </c>
      <c r="I109" s="50">
        <v>122841.02061984599</v>
      </c>
      <c r="J109" s="50">
        <v>119386.922368203</v>
      </c>
      <c r="K109" s="50">
        <v>114442.051318069</v>
      </c>
      <c r="L109" s="50">
        <v>108494.989659484</v>
      </c>
      <c r="M109" s="50">
        <v>119182.306018466</v>
      </c>
      <c r="N109" s="50">
        <v>143184.83765222301</v>
      </c>
      <c r="O109" s="50">
        <v>156206.575874723</v>
      </c>
      <c r="P109" s="25">
        <v>3.85207928114222</v>
      </c>
      <c r="Q109" s="25">
        <v>1.58945340998102</v>
      </c>
      <c r="R109" s="25">
        <v>-0.70572211522552697</v>
      </c>
      <c r="S109" s="25">
        <v>1.56771542929133</v>
      </c>
    </row>
    <row r="110" spans="3:19">
      <c r="C110" t="s">
        <v>95</v>
      </c>
      <c r="D110" s="23" t="s">
        <v>233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5">
        <v>0</v>
      </c>
      <c r="Q110" s="25">
        <v>0</v>
      </c>
      <c r="R110" s="25">
        <v>0</v>
      </c>
      <c r="S110" s="25">
        <v>0</v>
      </c>
    </row>
    <row r="111" spans="3:19">
      <c r="D111" s="23" t="s">
        <v>249</v>
      </c>
      <c r="E111" s="24">
        <v>16770.043000000001</v>
      </c>
      <c r="F111" s="24">
        <v>18701.498</v>
      </c>
      <c r="G111" s="24">
        <v>26469.59</v>
      </c>
      <c r="H111" s="24">
        <v>46374.752999999997</v>
      </c>
      <c r="I111" s="24">
        <v>47828.592912949498</v>
      </c>
      <c r="J111" s="24">
        <v>54392.9122944357</v>
      </c>
      <c r="K111" s="24">
        <v>59078.262149784903</v>
      </c>
      <c r="L111" s="24">
        <v>60761.955882324401</v>
      </c>
      <c r="M111" s="24">
        <v>64204.137770589303</v>
      </c>
      <c r="N111" s="24">
        <v>88544.754746299106</v>
      </c>
      <c r="O111" s="24">
        <v>102309.83595345099</v>
      </c>
      <c r="P111" s="25">
        <v>4.6697781852933904</v>
      </c>
      <c r="Q111" s="25">
        <v>6.0947854781396398</v>
      </c>
      <c r="R111" s="25">
        <v>2.13486300766552</v>
      </c>
      <c r="S111" s="25">
        <v>2.7837559731535002</v>
      </c>
    </row>
    <row r="112" spans="3:19">
      <c r="C112" t="s">
        <v>145</v>
      </c>
      <c r="D112" s="74" t="s">
        <v>242</v>
      </c>
      <c r="E112" s="24">
        <v>16390</v>
      </c>
      <c r="F112" s="24">
        <v>17036</v>
      </c>
      <c r="G112" s="24">
        <v>17563</v>
      </c>
      <c r="H112" s="24">
        <v>18512</v>
      </c>
      <c r="I112" s="24">
        <v>18808.292812593201</v>
      </c>
      <c r="J112" s="24">
        <v>18808.292812593201</v>
      </c>
      <c r="K112" s="24">
        <v>18938.8047718485</v>
      </c>
      <c r="L112" s="24">
        <v>19204.671150248902</v>
      </c>
      <c r="M112" s="24">
        <v>19417.9800148594</v>
      </c>
      <c r="N112" s="24">
        <v>19524.139482315801</v>
      </c>
      <c r="O112" s="24">
        <v>19587.9223661338</v>
      </c>
      <c r="P112" s="25">
        <v>0.69362474705356703</v>
      </c>
      <c r="Q112" s="25">
        <v>0.68738636112095597</v>
      </c>
      <c r="R112" s="25">
        <v>6.9174915917269403E-2</v>
      </c>
      <c r="S112" s="25">
        <v>0.168642996399404</v>
      </c>
    </row>
    <row r="113" spans="3:19">
      <c r="C113" t="s">
        <v>146</v>
      </c>
      <c r="D113" s="74" t="s">
        <v>207</v>
      </c>
      <c r="E113" s="24">
        <v>363</v>
      </c>
      <c r="F113" s="24">
        <v>1635</v>
      </c>
      <c r="G113" s="24">
        <v>5794</v>
      </c>
      <c r="H113" s="24">
        <v>8957.7999999999993</v>
      </c>
      <c r="I113" s="24">
        <v>8963.4827562516202</v>
      </c>
      <c r="J113" s="24">
        <v>12569.6664818425</v>
      </c>
      <c r="K113" s="24">
        <v>15577.442076106499</v>
      </c>
      <c r="L113" s="24">
        <v>15846.2694302456</v>
      </c>
      <c r="M113" s="24">
        <v>17735.692239690401</v>
      </c>
      <c r="N113" s="24">
        <v>19793.164398544501</v>
      </c>
      <c r="O113" s="24">
        <v>25957.2787707973</v>
      </c>
      <c r="P113" s="25">
        <v>31.918950203706999</v>
      </c>
      <c r="Q113" s="25">
        <v>4.4599538536469296</v>
      </c>
      <c r="R113" s="25">
        <v>5.6822219749431504</v>
      </c>
      <c r="S113" s="25">
        <v>2.5860128821760799</v>
      </c>
    </row>
    <row r="114" spans="3:19">
      <c r="C114" t="s">
        <v>105</v>
      </c>
      <c r="D114" s="74" t="s">
        <v>245</v>
      </c>
      <c r="E114" s="24">
        <v>17.042999999999999</v>
      </c>
      <c r="F114" s="24">
        <v>30.498000000000001</v>
      </c>
      <c r="G114" s="24">
        <v>3112.59</v>
      </c>
      <c r="H114" s="24">
        <v>18904.953000000001</v>
      </c>
      <c r="I114" s="24">
        <v>20056.8173441047</v>
      </c>
      <c r="J114" s="24">
        <v>23014.953000000001</v>
      </c>
      <c r="K114" s="24">
        <v>24562.015301829899</v>
      </c>
      <c r="L114" s="24">
        <v>25711.015301829899</v>
      </c>
      <c r="M114" s="24">
        <v>27050.465516039501</v>
      </c>
      <c r="N114" s="24">
        <v>49227.450865438797</v>
      </c>
      <c r="O114" s="24">
        <v>56764.634816520003</v>
      </c>
      <c r="P114" s="25">
        <v>68.328474421105597</v>
      </c>
      <c r="Q114" s="25">
        <v>20.479736817170998</v>
      </c>
      <c r="R114" s="25">
        <v>2.04698967528953</v>
      </c>
      <c r="S114" s="25">
        <v>4.2775196651744896</v>
      </c>
    </row>
    <row r="115" spans="3:19">
      <c r="D115" s="74" t="s">
        <v>250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5">
        <v>0</v>
      </c>
      <c r="Q115" s="25">
        <v>0</v>
      </c>
      <c r="R115" s="25">
        <v>0</v>
      </c>
      <c r="S115" s="25">
        <v>0</v>
      </c>
    </row>
    <row r="116" spans="3:19">
      <c r="D116" s="23" t="s">
        <v>251</v>
      </c>
      <c r="E116" s="24">
        <v>55126.037900000003</v>
      </c>
      <c r="F116" s="24">
        <v>64248.947200000002</v>
      </c>
      <c r="G116" s="24">
        <v>78450.143670000005</v>
      </c>
      <c r="H116" s="24">
        <v>81078.947419999997</v>
      </c>
      <c r="I116" s="24">
        <v>75012.427706896706</v>
      </c>
      <c r="J116" s="24">
        <v>64994.0100737678</v>
      </c>
      <c r="K116" s="24">
        <v>55363.7891682841</v>
      </c>
      <c r="L116" s="24">
        <v>47733.033777160003</v>
      </c>
      <c r="M116" s="24">
        <v>54978.168247876798</v>
      </c>
      <c r="N116" s="24">
        <v>54640.0829059237</v>
      </c>
      <c r="O116" s="24">
        <v>53896.739921271503</v>
      </c>
      <c r="P116" s="25">
        <v>3.5913985573961602</v>
      </c>
      <c r="Q116" s="25">
        <v>-0.44709263153543999</v>
      </c>
      <c r="R116" s="25">
        <v>-2.9916185740245802</v>
      </c>
      <c r="S116" s="25">
        <v>-0.13418869971874001</v>
      </c>
    </row>
    <row r="117" spans="3:19">
      <c r="C117" t="s">
        <v>147</v>
      </c>
      <c r="D117" s="74" t="s">
        <v>252</v>
      </c>
      <c r="E117" s="24">
        <v>6475.5609110702499</v>
      </c>
      <c r="F117" s="24">
        <v>5888</v>
      </c>
      <c r="G117" s="24">
        <v>7351</v>
      </c>
      <c r="H117" s="24">
        <v>17215.776192658501</v>
      </c>
      <c r="I117" s="24">
        <v>16885.202552984301</v>
      </c>
      <c r="J117" s="24">
        <v>18388.575488248</v>
      </c>
      <c r="K117" s="24">
        <v>14400.6024435937</v>
      </c>
      <c r="L117" s="24">
        <v>11009.5330740954</v>
      </c>
      <c r="M117" s="24">
        <v>11258.177652067299</v>
      </c>
      <c r="N117" s="24">
        <v>13463.5218024566</v>
      </c>
      <c r="O117" s="24">
        <v>13377.0485821649</v>
      </c>
      <c r="P117" s="25">
        <v>1.2760846241870001</v>
      </c>
      <c r="Q117" s="25">
        <v>8.6715809485061808</v>
      </c>
      <c r="R117" s="25">
        <v>-1.5790758537747001</v>
      </c>
      <c r="S117" s="25">
        <v>-0.36796930752288598</v>
      </c>
    </row>
    <row r="118" spans="3:19">
      <c r="D118" s="74" t="s">
        <v>253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5">
        <v>0</v>
      </c>
      <c r="Q118" s="25">
        <v>0</v>
      </c>
      <c r="R118" s="25">
        <v>0</v>
      </c>
      <c r="S118" s="25">
        <v>0</v>
      </c>
    </row>
    <row r="119" spans="3:19">
      <c r="C119" t="s">
        <v>148</v>
      </c>
      <c r="D119" s="23" t="s">
        <v>254</v>
      </c>
      <c r="E119" s="24">
        <v>9518.17</v>
      </c>
      <c r="F119" s="24">
        <v>8278.69</v>
      </c>
      <c r="G119" s="24">
        <v>9511.49</v>
      </c>
      <c r="H119" s="24">
        <v>9511.49</v>
      </c>
      <c r="I119" s="24">
        <v>8858.0188836439702</v>
      </c>
      <c r="J119" s="24">
        <v>5103.4988836439697</v>
      </c>
      <c r="K119" s="24">
        <v>5098.3688836439696</v>
      </c>
      <c r="L119" s="24">
        <v>4803.0488836439699</v>
      </c>
      <c r="M119" s="24">
        <v>2226.1288836439699</v>
      </c>
      <c r="N119" s="24">
        <v>2214.1688836439698</v>
      </c>
      <c r="O119" s="24">
        <v>1901.3688836439701</v>
      </c>
      <c r="P119" s="25">
        <v>-7.0203732396190198E-3</v>
      </c>
      <c r="Q119" s="25">
        <v>-0.70924692939865497</v>
      </c>
      <c r="R119" s="25">
        <v>-5.3742215469535104</v>
      </c>
      <c r="S119" s="25">
        <v>-4.8120976575135499</v>
      </c>
    </row>
    <row r="120" spans="3:19">
      <c r="C120" t="s">
        <v>149</v>
      </c>
      <c r="D120" s="23" t="s">
        <v>255</v>
      </c>
      <c r="E120" s="24">
        <v>22819.30989</v>
      </c>
      <c r="F120" s="24">
        <v>36431.050660000001</v>
      </c>
      <c r="G120" s="24">
        <v>51676.916389999999</v>
      </c>
      <c r="H120" s="24">
        <v>52044.520140000001</v>
      </c>
      <c r="I120" s="24">
        <v>51352.575464723202</v>
      </c>
      <c r="J120" s="24">
        <v>47623.093404199499</v>
      </c>
      <c r="K120" s="24">
        <v>41739.442986253198</v>
      </c>
      <c r="L120" s="24">
        <v>35862.127868081101</v>
      </c>
      <c r="M120" s="24">
        <v>45213.078353154197</v>
      </c>
      <c r="N120" s="24">
        <v>45081.499711662102</v>
      </c>
      <c r="O120" s="24">
        <v>45061.631377116901</v>
      </c>
      <c r="P120" s="25">
        <v>8.5174071601178003</v>
      </c>
      <c r="Q120" s="25">
        <v>-6.29411846667427E-2</v>
      </c>
      <c r="R120" s="25">
        <v>-2.05135285187349</v>
      </c>
      <c r="S120" s="25">
        <v>0.38365699739355602</v>
      </c>
    </row>
    <row r="121" spans="3:19">
      <c r="C121" t="s">
        <v>100</v>
      </c>
      <c r="D121" s="23" t="s">
        <v>256</v>
      </c>
      <c r="E121" s="24">
        <v>21762.839680000001</v>
      </c>
      <c r="F121" s="24">
        <v>17998.42193</v>
      </c>
      <c r="G121" s="24">
        <v>14747.614680000001</v>
      </c>
      <c r="H121" s="24">
        <v>13927.99768</v>
      </c>
      <c r="I121" s="24">
        <v>8629.2116280374794</v>
      </c>
      <c r="J121" s="24">
        <v>6039.6877909933601</v>
      </c>
      <c r="K121" s="24">
        <v>2331.9670034559199</v>
      </c>
      <c r="L121" s="24">
        <v>797.77677413312904</v>
      </c>
      <c r="M121" s="24">
        <v>603.40888901077199</v>
      </c>
      <c r="N121" s="24">
        <v>483.39818350521301</v>
      </c>
      <c r="O121" s="24">
        <v>128.12163478751401</v>
      </c>
      <c r="P121" s="25">
        <v>-3.8164899333129498</v>
      </c>
      <c r="Q121" s="25">
        <v>-5.2182039984333999</v>
      </c>
      <c r="R121" s="25">
        <v>-12.2645459286035</v>
      </c>
      <c r="S121" s="25">
        <v>-13.5042032461291</v>
      </c>
    </row>
    <row r="122" spans="3:19">
      <c r="C122" t="s">
        <v>150</v>
      </c>
      <c r="D122" s="23" t="s">
        <v>257</v>
      </c>
      <c r="E122" s="24">
        <v>435.71832999999998</v>
      </c>
      <c r="F122" s="24">
        <v>869.78461000000004</v>
      </c>
      <c r="G122" s="24">
        <v>1774.1225999999999</v>
      </c>
      <c r="H122" s="24">
        <v>4809.9395999999997</v>
      </c>
      <c r="I122" s="24">
        <v>5387.6217304920201</v>
      </c>
      <c r="J122" s="24">
        <v>5442.7299949309599</v>
      </c>
      <c r="K122" s="24">
        <v>5409.0102949309603</v>
      </c>
      <c r="L122" s="24">
        <v>5485.0802513018598</v>
      </c>
      <c r="M122" s="24">
        <v>6150.5521220678802</v>
      </c>
      <c r="N122" s="24">
        <v>6157.0161271123998</v>
      </c>
      <c r="O122" s="24">
        <v>6113.6180257230599</v>
      </c>
      <c r="P122" s="25">
        <v>15.0741510973481</v>
      </c>
      <c r="Q122" s="25">
        <v>11.7484085153132</v>
      </c>
      <c r="R122" s="25">
        <v>3.9628710324479698E-2</v>
      </c>
      <c r="S122" s="25">
        <v>0.61414121127640897</v>
      </c>
    </row>
    <row r="123" spans="3:19">
      <c r="D123" s="23" t="s">
        <v>258</v>
      </c>
      <c r="E123" s="24">
        <v>0</v>
      </c>
      <c r="F123" s="24">
        <v>0</v>
      </c>
      <c r="G123" s="24">
        <v>12</v>
      </c>
      <c r="H123" s="24">
        <v>12</v>
      </c>
      <c r="I123" s="24">
        <v>12</v>
      </c>
      <c r="J123" s="24">
        <v>12</v>
      </c>
      <c r="K123" s="24">
        <v>12</v>
      </c>
      <c r="L123" s="24">
        <v>12</v>
      </c>
      <c r="M123" s="24">
        <v>12</v>
      </c>
      <c r="N123" s="24">
        <v>12</v>
      </c>
      <c r="O123" s="24">
        <v>0</v>
      </c>
      <c r="P123" s="25">
        <v>0</v>
      </c>
      <c r="Q123" s="25">
        <v>0</v>
      </c>
      <c r="R123" s="25">
        <v>0</v>
      </c>
      <c r="S123" s="25">
        <v>-100</v>
      </c>
    </row>
    <row r="124" spans="3:19">
      <c r="C124" t="s">
        <v>65</v>
      </c>
      <c r="D124" s="23" t="s">
        <v>259</v>
      </c>
      <c r="E124" s="24">
        <v>590</v>
      </c>
      <c r="F124" s="24">
        <v>671</v>
      </c>
      <c r="G124" s="24">
        <v>728</v>
      </c>
      <c r="H124" s="24">
        <v>773</v>
      </c>
      <c r="I124" s="24">
        <v>773</v>
      </c>
      <c r="J124" s="24">
        <v>773</v>
      </c>
      <c r="K124" s="24">
        <v>773</v>
      </c>
      <c r="L124" s="24">
        <v>773</v>
      </c>
      <c r="M124" s="24">
        <v>773</v>
      </c>
      <c r="N124" s="24">
        <v>692</v>
      </c>
      <c r="O124" s="24">
        <v>692</v>
      </c>
      <c r="P124" s="25">
        <v>2.1240281767530602</v>
      </c>
      <c r="Q124" s="25">
        <v>0.60158228561286697</v>
      </c>
      <c r="R124" s="25">
        <v>0</v>
      </c>
      <c r="S124" s="25">
        <v>-0.55193666650219497</v>
      </c>
    </row>
    <row r="125" spans="3:19">
      <c r="D125" s="84" t="s">
        <v>260</v>
      </c>
      <c r="E125" s="85">
        <v>40.757264778650303</v>
      </c>
      <c r="F125" s="85">
        <v>39.065257168976899</v>
      </c>
      <c r="G125" s="85">
        <v>31.283523839009899</v>
      </c>
      <c r="H125" s="85">
        <v>24.845227296776201</v>
      </c>
      <c r="I125" s="85">
        <v>28.225129010028599</v>
      </c>
      <c r="J125" s="85">
        <v>28.992684975654399</v>
      </c>
      <c r="K125" s="85">
        <v>31.1765544963812</v>
      </c>
      <c r="L125" s="85">
        <v>35.868418423066402</v>
      </c>
      <c r="M125" s="85">
        <v>35.461924146246801</v>
      </c>
      <c r="N125" s="85">
        <v>31.263551079611702</v>
      </c>
      <c r="O125" s="85">
        <v>30.025769997549901</v>
      </c>
      <c r="P125" s="25"/>
      <c r="Q125" s="25"/>
      <c r="R125" s="25"/>
      <c r="S125" s="25"/>
    </row>
    <row r="126" spans="3:19">
      <c r="D126" s="84" t="s">
        <v>261</v>
      </c>
      <c r="E126" s="78">
        <v>39.390116857777201</v>
      </c>
      <c r="F126" s="78">
        <v>37.714835693661499</v>
      </c>
      <c r="G126" s="78">
        <v>37.702888761644303</v>
      </c>
      <c r="H126" s="78">
        <v>45.481362798046199</v>
      </c>
      <c r="I126" s="78">
        <v>45.5852183484131</v>
      </c>
      <c r="J126" s="78">
        <v>46.709781916171899</v>
      </c>
      <c r="K126" s="78">
        <v>46.9110222886803</v>
      </c>
      <c r="L126" s="78">
        <v>49.813398361451199</v>
      </c>
      <c r="M126" s="78">
        <v>54.044628337973599</v>
      </c>
      <c r="N126" s="78">
        <v>54.311372447697401</v>
      </c>
      <c r="O126" s="78">
        <v>54.961104736032802</v>
      </c>
      <c r="P126" s="25"/>
      <c r="Q126" s="25"/>
      <c r="R126" s="25"/>
      <c r="S126" s="25"/>
    </row>
    <row r="127" spans="3:19">
      <c r="D127" s="84" t="s">
        <v>262</v>
      </c>
      <c r="E127" s="78">
        <v>8.3000000000000007</v>
      </c>
      <c r="F127" s="78">
        <v>9.0178103977951896</v>
      </c>
      <c r="G127" s="78">
        <v>11.5</v>
      </c>
      <c r="H127" s="78">
        <v>15.3078580308393</v>
      </c>
      <c r="I127" s="78">
        <v>15.4853850182534</v>
      </c>
      <c r="J127" s="78">
        <v>11.524325931144601</v>
      </c>
      <c r="K127" s="78">
        <v>11.123819889885601</v>
      </c>
      <c r="L127" s="78">
        <v>9.76584120159721</v>
      </c>
      <c r="M127" s="78">
        <v>9.1592769860858301</v>
      </c>
      <c r="N127" s="78">
        <v>7.1817933692051703</v>
      </c>
      <c r="O127" s="78">
        <v>6.9184686972074001</v>
      </c>
      <c r="P127" s="25"/>
      <c r="Q127" s="25"/>
      <c r="R127" s="25"/>
      <c r="S127" s="25"/>
    </row>
    <row r="128" spans="3:19">
      <c r="D128" s="84" t="s">
        <v>263</v>
      </c>
      <c r="E128" s="78">
        <v>0</v>
      </c>
      <c r="F128" s="78">
        <v>0</v>
      </c>
      <c r="G128" s="78">
        <v>0</v>
      </c>
      <c r="H128" s="78">
        <v>0</v>
      </c>
      <c r="I128" s="78">
        <v>0</v>
      </c>
      <c r="J128" s="78">
        <v>0</v>
      </c>
      <c r="K128" s="78">
        <v>0</v>
      </c>
      <c r="L128" s="78">
        <v>0</v>
      </c>
      <c r="M128" s="78">
        <v>0</v>
      </c>
      <c r="N128" s="78">
        <v>0</v>
      </c>
      <c r="O128" s="78">
        <v>0</v>
      </c>
      <c r="P128" s="25"/>
      <c r="Q128" s="25"/>
      <c r="R128" s="25"/>
      <c r="S128" s="25"/>
    </row>
    <row r="129" spans="4:19">
      <c r="D129" s="84" t="s">
        <v>264</v>
      </c>
      <c r="E129" s="85">
        <v>19.038604732145199</v>
      </c>
      <c r="F129" s="85">
        <v>16.8168036652742</v>
      </c>
      <c r="G129" s="85">
        <v>26.478296231587201</v>
      </c>
      <c r="H129" s="85">
        <v>38.426574922551701</v>
      </c>
      <c r="I129" s="85">
        <v>36.459596376611699</v>
      </c>
      <c r="J129" s="85">
        <v>43.480927789484198</v>
      </c>
      <c r="K129" s="85">
        <v>45.884160480554399</v>
      </c>
      <c r="L129" s="85">
        <v>48.7522457809389</v>
      </c>
      <c r="M129" s="85">
        <v>51.952745216806399</v>
      </c>
      <c r="N129" s="85">
        <v>60.308723472506102</v>
      </c>
      <c r="O129" s="85">
        <v>65.394979370964407</v>
      </c>
      <c r="P129" s="25"/>
      <c r="Q129" s="25"/>
      <c r="R129" s="25"/>
      <c r="S129" s="25"/>
    </row>
    <row r="130" spans="4:19">
      <c r="D130" s="57" t="s">
        <v>265</v>
      </c>
      <c r="E130" s="50">
        <v>49150.40000999</v>
      </c>
      <c r="F130" s="50">
        <v>58911.3</v>
      </c>
      <c r="G130" s="50">
        <v>53964.3</v>
      </c>
      <c r="H130" s="50">
        <v>38349.403173311999</v>
      </c>
      <c r="I130" s="50">
        <v>43160.476572470099</v>
      </c>
      <c r="J130" s="50">
        <v>38246.269015298203</v>
      </c>
      <c r="K130" s="50">
        <v>37882.592905374899</v>
      </c>
      <c r="L130" s="50">
        <v>39679.193010088798</v>
      </c>
      <c r="M130" s="50">
        <v>39221.461924559102</v>
      </c>
      <c r="N130" s="50">
        <v>35815.796556268797</v>
      </c>
      <c r="O130" s="50">
        <v>33485.848491440804</v>
      </c>
      <c r="P130" s="25">
        <v>0.93875624988755102</v>
      </c>
      <c r="Q130" s="25">
        <v>-2.2092068989625999</v>
      </c>
      <c r="R130" s="25">
        <v>-1.29586507774203</v>
      </c>
      <c r="S130" s="25">
        <v>-0.614945423141811</v>
      </c>
    </row>
    <row r="131" spans="4:19">
      <c r="D131" s="23" t="s">
        <v>181</v>
      </c>
      <c r="E131" s="24">
        <v>6045</v>
      </c>
      <c r="F131" s="24">
        <v>10399.1</v>
      </c>
      <c r="G131" s="24">
        <v>9484</v>
      </c>
      <c r="H131" s="24">
        <v>12962.7905959868</v>
      </c>
      <c r="I131" s="24">
        <v>14694.0972219508</v>
      </c>
      <c r="J131" s="24">
        <v>9220.73639611613</v>
      </c>
      <c r="K131" s="24">
        <v>9086.6095138104101</v>
      </c>
      <c r="L131" s="24">
        <v>7816.5775646279399</v>
      </c>
      <c r="M131" s="24">
        <v>1905.0700438050101</v>
      </c>
      <c r="N131" s="24">
        <v>1916.14517161034</v>
      </c>
      <c r="O131" s="24">
        <v>0</v>
      </c>
      <c r="P131" s="25">
        <v>4.6067053647510301</v>
      </c>
      <c r="Q131" s="25">
        <v>4.4756631253323604</v>
      </c>
      <c r="R131" s="25">
        <v>-4.6927594266245203</v>
      </c>
      <c r="S131" s="25">
        <v>-100</v>
      </c>
    </row>
    <row r="132" spans="4:19">
      <c r="D132" s="23" t="s">
        <v>236</v>
      </c>
      <c r="E132" s="24">
        <v>18954.300009989998</v>
      </c>
      <c r="F132" s="24">
        <v>12079.2</v>
      </c>
      <c r="G132" s="24">
        <v>7365</v>
      </c>
      <c r="H132" s="24">
        <v>1905.4928498382101</v>
      </c>
      <c r="I132" s="24">
        <v>1674.9678954871899</v>
      </c>
      <c r="J132" s="24">
        <v>1740.60943571088</v>
      </c>
      <c r="K132" s="24">
        <v>1681.9396756897299</v>
      </c>
      <c r="L132" s="24">
        <v>1080.34752851915</v>
      </c>
      <c r="M132" s="24">
        <v>928.74648695820997</v>
      </c>
      <c r="N132" s="24">
        <v>587.86091907164905</v>
      </c>
      <c r="O132" s="24">
        <v>190.44846464124399</v>
      </c>
      <c r="P132" s="25">
        <v>-9.0198810969455501</v>
      </c>
      <c r="Q132" s="25">
        <v>-13.765038540545399</v>
      </c>
      <c r="R132" s="25">
        <v>4.15456083585619E-2</v>
      </c>
      <c r="S132" s="25">
        <v>-10.319431425313001</v>
      </c>
    </row>
    <row r="133" spans="4:19">
      <c r="D133" s="23" t="s">
        <v>239</v>
      </c>
      <c r="E133" s="24">
        <v>19667.900000000001</v>
      </c>
      <c r="F133" s="24">
        <v>29584.9</v>
      </c>
      <c r="G133" s="24">
        <v>28966.3</v>
      </c>
      <c r="H133" s="24">
        <v>18745.493245941201</v>
      </c>
      <c r="I133" s="24">
        <v>21521.2957938414</v>
      </c>
      <c r="J133" s="24">
        <v>21344.319484975</v>
      </c>
      <c r="K133" s="24">
        <v>20870.881527109999</v>
      </c>
      <c r="L133" s="24">
        <v>21318.171225400001</v>
      </c>
      <c r="M133" s="24">
        <v>25133.059350748001</v>
      </c>
      <c r="N133" s="24">
        <v>21650.170400056901</v>
      </c>
      <c r="O133" s="24">
        <v>21235.7884741747</v>
      </c>
      <c r="P133" s="25">
        <v>3.9473694434026401</v>
      </c>
      <c r="Q133" s="25">
        <v>-2.9272039137725199</v>
      </c>
      <c r="R133" s="25">
        <v>-0.30640948292334202</v>
      </c>
      <c r="S133" s="25">
        <v>8.6702238655544897E-2</v>
      </c>
    </row>
    <row r="134" spans="4:19">
      <c r="D134" s="23" t="s">
        <v>206</v>
      </c>
      <c r="E134" s="24">
        <v>437.6</v>
      </c>
      <c r="F134" s="24">
        <v>2269.9</v>
      </c>
      <c r="G134" s="24">
        <v>3526.5</v>
      </c>
      <c r="H134" s="24">
        <v>3795.05652154577</v>
      </c>
      <c r="I134" s="24">
        <v>4329.5457011907702</v>
      </c>
      <c r="J134" s="24">
        <v>5000.0337384961804</v>
      </c>
      <c r="K134" s="24">
        <v>5302.59222876473</v>
      </c>
      <c r="L134" s="24">
        <v>8523.5267315417004</v>
      </c>
      <c r="M134" s="24">
        <v>10314.0160830479</v>
      </c>
      <c r="N134" s="24">
        <v>11117.69414553</v>
      </c>
      <c r="O134" s="24">
        <v>11515.6856326248</v>
      </c>
      <c r="P134" s="25">
        <v>23.204524657627399</v>
      </c>
      <c r="Q134" s="25">
        <v>2.0727566996627398</v>
      </c>
      <c r="R134" s="25">
        <v>2.04802178462469</v>
      </c>
      <c r="S134" s="25">
        <v>3.95373034901663</v>
      </c>
    </row>
    <row r="135" spans="4:19">
      <c r="D135" s="63" t="s">
        <v>259</v>
      </c>
      <c r="E135" s="24">
        <v>4045.6</v>
      </c>
      <c r="F135" s="24">
        <v>4578.2</v>
      </c>
      <c r="G135" s="24">
        <v>4622.5</v>
      </c>
      <c r="H135" s="24">
        <v>940.56996000000004</v>
      </c>
      <c r="I135" s="24">
        <v>940.56996000000004</v>
      </c>
      <c r="J135" s="24">
        <v>940.56996000000004</v>
      </c>
      <c r="K135" s="24">
        <v>940.56996000000004</v>
      </c>
      <c r="L135" s="24">
        <v>940.56995999999901</v>
      </c>
      <c r="M135" s="24">
        <v>940.56995999999901</v>
      </c>
      <c r="N135" s="24">
        <v>543.92592000000002</v>
      </c>
      <c r="O135" s="24">
        <v>543.92592000000002</v>
      </c>
      <c r="P135" s="25">
        <v>1.34198296855688</v>
      </c>
      <c r="Q135" s="25">
        <v>-14.7191700136162</v>
      </c>
      <c r="R135" s="25">
        <v>0</v>
      </c>
      <c r="S135" s="25">
        <v>-2.7012115472667699</v>
      </c>
    </row>
    <row r="136" spans="4:19">
      <c r="D136" s="63" t="s">
        <v>266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5">
        <v>0</v>
      </c>
      <c r="Q136" s="25">
        <v>0</v>
      </c>
      <c r="R136" s="25">
        <v>0</v>
      </c>
      <c r="S136" s="25">
        <v>0</v>
      </c>
    </row>
    <row r="137" spans="4:19">
      <c r="D137" s="57" t="s">
        <v>267</v>
      </c>
      <c r="E137" s="50">
        <v>101609</v>
      </c>
      <c r="F137" s="50">
        <v>106908.5</v>
      </c>
      <c r="G137" s="50">
        <v>97409</v>
      </c>
      <c r="H137" s="50">
        <v>78677.398361610394</v>
      </c>
      <c r="I137" s="50">
        <v>74424.185648892497</v>
      </c>
      <c r="J137" s="50">
        <v>69542.637337852095</v>
      </c>
      <c r="K137" s="50">
        <v>64389.658617171503</v>
      </c>
      <c r="L137" s="50">
        <v>60256.296228211002</v>
      </c>
      <c r="M137" s="50">
        <v>56820.165018044398</v>
      </c>
      <c r="N137" s="50">
        <v>54265.503779776402</v>
      </c>
      <c r="O137" s="50">
        <v>51982.681062100302</v>
      </c>
      <c r="P137" s="25">
        <v>-0.42124531294678302</v>
      </c>
      <c r="Q137" s="25">
        <v>-2.6554816456336701</v>
      </c>
      <c r="R137" s="25">
        <v>-1.4378421350142701</v>
      </c>
      <c r="S137" s="25">
        <v>-1.0645057702378999</v>
      </c>
    </row>
    <row r="138" spans="4:19">
      <c r="D138" s="63" t="s">
        <v>268</v>
      </c>
      <c r="E138" s="24">
        <v>95900.4</v>
      </c>
      <c r="F138" s="24">
        <v>101958.5</v>
      </c>
      <c r="G138" s="24">
        <v>91471.8</v>
      </c>
      <c r="H138" s="24">
        <v>74873.140285762798</v>
      </c>
      <c r="I138" s="24">
        <v>68985.072442788907</v>
      </c>
      <c r="J138" s="24">
        <v>64332.864387201102</v>
      </c>
      <c r="K138" s="24">
        <v>60123.300926303302</v>
      </c>
      <c r="L138" s="24">
        <v>56259.638224623202</v>
      </c>
      <c r="M138" s="24">
        <v>52961.947453964101</v>
      </c>
      <c r="N138" s="24">
        <v>50165.033431540003</v>
      </c>
      <c r="O138" s="24">
        <v>47646.382328979002</v>
      </c>
      <c r="P138" s="25">
        <v>-0.47167833568699802</v>
      </c>
      <c r="Q138" s="25">
        <v>-2.7819759235980901</v>
      </c>
      <c r="R138" s="25">
        <v>-1.3655177619260599</v>
      </c>
      <c r="S138" s="25">
        <v>-1.1562176478697801</v>
      </c>
    </row>
    <row r="139" spans="4:19">
      <c r="D139" s="63" t="s">
        <v>269</v>
      </c>
      <c r="E139" s="24">
        <v>0</v>
      </c>
      <c r="F139" s="24">
        <v>176.7</v>
      </c>
      <c r="G139" s="24">
        <v>1419.4</v>
      </c>
      <c r="H139" s="24">
        <v>1592.9070492083499</v>
      </c>
      <c r="I139" s="24">
        <v>2221.4769605960601</v>
      </c>
      <c r="J139" s="24">
        <v>2077.2678630455098</v>
      </c>
      <c r="K139" s="24">
        <v>2024.97202404278</v>
      </c>
      <c r="L139" s="24">
        <v>2013.9772313953499</v>
      </c>
      <c r="M139" s="24">
        <v>1996.85614608739</v>
      </c>
      <c r="N139" s="24">
        <v>2115.0239568120801</v>
      </c>
      <c r="O139" s="24">
        <v>2156.26923852047</v>
      </c>
      <c r="P139" s="25">
        <v>0</v>
      </c>
      <c r="Q139" s="25">
        <v>4.5812193828224803</v>
      </c>
      <c r="R139" s="25">
        <v>-0.92188818318380505</v>
      </c>
      <c r="S139" s="25">
        <v>0.31461206214631299</v>
      </c>
    </row>
    <row r="140" spans="4:19">
      <c r="D140" s="63" t="s">
        <v>270</v>
      </c>
      <c r="E140" s="24">
        <v>0</v>
      </c>
      <c r="F140" s="24">
        <v>0</v>
      </c>
      <c r="G140" s="24">
        <v>109.5</v>
      </c>
      <c r="H140" s="24">
        <v>120.85941009667501</v>
      </c>
      <c r="I140" s="24">
        <v>123.304206531571</v>
      </c>
      <c r="J140" s="24">
        <v>123.948997032694</v>
      </c>
      <c r="K140" s="24">
        <v>123.16874390595601</v>
      </c>
      <c r="L140" s="24">
        <v>147.99871756536399</v>
      </c>
      <c r="M140" s="24">
        <v>185.03348349772699</v>
      </c>
      <c r="N140" s="24">
        <v>178.270559807013</v>
      </c>
      <c r="O140" s="24">
        <v>162.128698505274</v>
      </c>
      <c r="P140" s="25">
        <v>0</v>
      </c>
      <c r="Q140" s="25">
        <v>1.1943761475427199</v>
      </c>
      <c r="R140" s="25">
        <v>-1.09914856132876E-2</v>
      </c>
      <c r="S140" s="25">
        <v>1.38366088310371</v>
      </c>
    </row>
    <row r="141" spans="4:19">
      <c r="D141" s="63" t="s">
        <v>271</v>
      </c>
      <c r="E141" s="24">
        <v>5708.6000000000504</v>
      </c>
      <c r="F141" s="24">
        <v>4773.3000000000202</v>
      </c>
      <c r="G141" s="24">
        <v>4408.3</v>
      </c>
      <c r="H141" s="24">
        <v>2090.4916165426198</v>
      </c>
      <c r="I141" s="24">
        <v>3094.3320389759601</v>
      </c>
      <c r="J141" s="24">
        <v>3008.5560905727302</v>
      </c>
      <c r="K141" s="24">
        <v>2118.2169229194701</v>
      </c>
      <c r="L141" s="24">
        <v>1834.6820546271399</v>
      </c>
      <c r="M141" s="24">
        <v>1676.32793449519</v>
      </c>
      <c r="N141" s="24">
        <v>1807.17583161736</v>
      </c>
      <c r="O141" s="24">
        <v>2017.9007960956201</v>
      </c>
      <c r="P141" s="25">
        <v>-2.551725646485</v>
      </c>
      <c r="Q141" s="25">
        <v>-3.4772743510730999</v>
      </c>
      <c r="R141" s="25">
        <v>-3.7190532936510801</v>
      </c>
      <c r="S141" s="25">
        <v>-0.242290498995446</v>
      </c>
    </row>
    <row r="142" spans="4:19">
      <c r="D142" s="89" t="s">
        <v>289</v>
      </c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</row>
  </sheetData>
  <mergeCells count="1">
    <mergeCell ref="P63:S63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38"/>
  <sheetViews>
    <sheetView zoomScale="70" zoomScaleNormal="70" workbookViewId="0">
      <selection activeCell="Q42" sqref="Q42"/>
    </sheetView>
  </sheetViews>
  <sheetFormatPr defaultRowHeight="14.25"/>
  <cols>
    <col min="1" max="3" width="10.625" customWidth="1"/>
    <col min="4" max="4" width="17.5" customWidth="1"/>
    <col min="5" max="36" width="10.625" customWidth="1"/>
  </cols>
  <sheetData>
    <row r="1" spans="2:11">
      <c r="C1" t="s">
        <v>126</v>
      </c>
      <c r="D1">
        <v>2015</v>
      </c>
      <c r="E1">
        <v>2020</v>
      </c>
      <c r="F1">
        <v>2025</v>
      </c>
      <c r="G1">
        <v>2030</v>
      </c>
      <c r="H1">
        <v>2035</v>
      </c>
      <c r="I1">
        <v>2040</v>
      </c>
      <c r="J1">
        <v>2045</v>
      </c>
      <c r="K1">
        <v>2050</v>
      </c>
    </row>
    <row r="2" spans="2:11">
      <c r="B2" t="s">
        <v>95</v>
      </c>
      <c r="C2" s="88"/>
      <c r="D2" s="88"/>
      <c r="E2" s="88"/>
      <c r="F2" s="88"/>
      <c r="G2" s="88"/>
      <c r="H2" s="88"/>
      <c r="I2" s="88"/>
      <c r="J2" s="88"/>
      <c r="K2" s="88"/>
    </row>
    <row r="3" spans="2:11">
      <c r="B3" t="s">
        <v>105</v>
      </c>
      <c r="C3" s="1">
        <f>INDEX($U$20:$U$33,MATCH(B3,$Q$20:$Q$33,0))</f>
        <v>931.56299999999999</v>
      </c>
      <c r="D3" s="31">
        <f t="shared" ref="D3:K4" si="0">INDEX($E$24:$L$53,MATCH($B3,$D$24:$D$53,0),MATCH(D$1,$E$23:$L$23,0))</f>
        <v>876</v>
      </c>
      <c r="E3" s="31">
        <f t="shared" si="0"/>
        <v>1089.65065061156</v>
      </c>
      <c r="F3" s="31">
        <f t="shared" si="0"/>
        <v>2692.0255474526298</v>
      </c>
      <c r="G3" s="31">
        <f t="shared" si="0"/>
        <v>2821.0255474526298</v>
      </c>
      <c r="H3" s="31">
        <f t="shared" si="0"/>
        <v>2888.0255474526298</v>
      </c>
      <c r="I3" s="31">
        <f t="shared" si="0"/>
        <v>2930.0255474526298</v>
      </c>
      <c r="J3" s="31">
        <f t="shared" si="0"/>
        <v>3196.7875074344702</v>
      </c>
      <c r="K3" s="31">
        <f t="shared" si="0"/>
        <v>4008.7875074344702</v>
      </c>
    </row>
    <row r="4" spans="2:11">
      <c r="B4" t="s">
        <v>120</v>
      </c>
      <c r="C4" s="1">
        <f>INDEX($U$20:$U$33,MATCH(B4,$Q$20:$Q$33,0))</f>
        <v>2421</v>
      </c>
      <c r="D4" s="31">
        <f t="shared" si="0"/>
        <v>2411.5</v>
      </c>
      <c r="E4" s="31">
        <f t="shared" si="0"/>
        <v>2582.7889976764</v>
      </c>
      <c r="F4" s="31">
        <f t="shared" si="0"/>
        <v>3663.84</v>
      </c>
      <c r="G4" s="31">
        <f t="shared" si="0"/>
        <v>4544.5888077801101</v>
      </c>
      <c r="H4" s="31">
        <f t="shared" si="0"/>
        <v>4544.5888077801101</v>
      </c>
      <c r="I4" s="31">
        <f t="shared" si="0"/>
        <v>5025.6844286095502</v>
      </c>
      <c r="J4" s="31">
        <f t="shared" si="0"/>
        <v>5986.2263881033696</v>
      </c>
      <c r="K4" s="31">
        <f t="shared" si="0"/>
        <v>6802.6646620974898</v>
      </c>
    </row>
    <row r="6" spans="2:11">
      <c r="B6" t="s">
        <v>80</v>
      </c>
      <c r="C6" s="1">
        <f>INDEX($U$20:$U$33,MATCH(B6,$Q$20:$Q$33,0))</f>
        <v>5656</v>
      </c>
      <c r="D6" s="31">
        <f t="shared" ref="D6:K8" si="1">INDEX($E$24:$L$53,MATCH($B6,$D$24:$D$53,0),MATCH(D$1,$E$23:$L$23,0))</f>
        <v>5448.8053337240826</v>
      </c>
      <c r="E6" s="31">
        <f t="shared" si="1"/>
        <v>5698.2677119202872</v>
      </c>
      <c r="F6" s="31">
        <f t="shared" si="1"/>
        <v>5698.2677119202872</v>
      </c>
      <c r="G6" s="31">
        <f t="shared" si="1"/>
        <v>5700.1679848773992</v>
      </c>
      <c r="H6" s="31">
        <f t="shared" si="1"/>
        <v>5738.8907189513684</v>
      </c>
      <c r="I6" s="31">
        <f t="shared" si="1"/>
        <v>5752.1909970841516</v>
      </c>
      <c r="J6" s="31">
        <f t="shared" si="1"/>
        <v>5752.1909970841516</v>
      </c>
      <c r="K6" s="31">
        <f t="shared" si="1"/>
        <v>5819.0469548194942</v>
      </c>
    </row>
    <row r="7" spans="2:11">
      <c r="B7" t="s">
        <v>75</v>
      </c>
      <c r="C7" s="1">
        <f>INDEX($U$20:$U$33,MATCH(B7,$Q$20:$Q$33,0))</f>
        <v>3992.46041105121</v>
      </c>
      <c r="D7" s="31">
        <f t="shared" si="1"/>
        <v>3846.2057253214416</v>
      </c>
      <c r="E7" s="31">
        <f t="shared" si="1"/>
        <v>4022.2963669400824</v>
      </c>
      <c r="F7" s="31">
        <f t="shared" si="1"/>
        <v>4022.2963669400824</v>
      </c>
      <c r="G7" s="31">
        <f t="shared" si="1"/>
        <v>4023.6377326670031</v>
      </c>
      <c r="H7" s="31">
        <f t="shared" si="1"/>
        <v>4050.9713576312861</v>
      </c>
      <c r="I7" s="31">
        <f t="shared" si="1"/>
        <v>4060.3597653224292</v>
      </c>
      <c r="J7" s="31">
        <f t="shared" si="1"/>
        <v>4060.3597653224292</v>
      </c>
      <c r="K7" s="31">
        <f t="shared" si="1"/>
        <v>4107.5520857788069</v>
      </c>
    </row>
    <row r="8" spans="2:11">
      <c r="B8" t="s">
        <v>85</v>
      </c>
      <c r="C8" s="1">
        <f>INDEX($U$20:$U$33,MATCH(B8,$Q$20:$Q$33,0))</f>
        <v>4000.53958894879</v>
      </c>
      <c r="D8" s="31">
        <f t="shared" si="1"/>
        <v>3853.9889409544758</v>
      </c>
      <c r="E8" s="31">
        <f t="shared" si="1"/>
        <v>4030.4359211396304</v>
      </c>
      <c r="F8" s="31">
        <f t="shared" si="1"/>
        <v>4030.4359211396304</v>
      </c>
      <c r="G8" s="31">
        <f t="shared" si="1"/>
        <v>4031.7800012659977</v>
      </c>
      <c r="H8" s="31">
        <f t="shared" si="1"/>
        <v>4059.1689387934462</v>
      </c>
      <c r="I8" s="31">
        <f t="shared" si="1"/>
        <v>4068.5763449487199</v>
      </c>
      <c r="J8" s="31">
        <f t="shared" si="1"/>
        <v>4068.5763449487199</v>
      </c>
      <c r="K8" s="31">
        <f t="shared" si="1"/>
        <v>4115.8641641986005</v>
      </c>
    </row>
    <row r="9" spans="2:11">
      <c r="C9">
        <f t="shared" ref="C9:K9" si="2">SUM(C6:C8)</f>
        <v>13649</v>
      </c>
      <c r="D9">
        <f t="shared" si="2"/>
        <v>13149</v>
      </c>
      <c r="E9">
        <f t="shared" si="2"/>
        <v>13751</v>
      </c>
      <c r="F9">
        <f t="shared" si="2"/>
        <v>13751</v>
      </c>
      <c r="G9">
        <f t="shared" si="2"/>
        <v>13755.5857188104</v>
      </c>
      <c r="H9">
        <f t="shared" si="2"/>
        <v>13849.0310153761</v>
      </c>
      <c r="I9">
        <f t="shared" si="2"/>
        <v>13881.127107355302</v>
      </c>
      <c r="J9">
        <f t="shared" si="2"/>
        <v>13881.127107355302</v>
      </c>
      <c r="K9">
        <f t="shared" si="2"/>
        <v>14042.463204796903</v>
      </c>
    </row>
    <row r="10" spans="2:11">
      <c r="B10" t="s">
        <v>60</v>
      </c>
      <c r="C10" s="1">
        <f>INDEX($U$20:$U$33,MATCH(B10,$Q$20:$Q$33,0))</f>
        <v>3996.3</v>
      </c>
      <c r="D10" s="31">
        <f t="shared" ref="D10:K10" si="3">INDEX($E$24:$L$53,MATCH($B10,$D$24:$D$53,0),MATCH(D$1,$E$23:$L$23,0))</f>
        <v>4073.8726499999998</v>
      </c>
      <c r="E10" s="31">
        <f t="shared" si="3"/>
        <v>3527.0057198664999</v>
      </c>
      <c r="F10" s="31">
        <f t="shared" si="3"/>
        <v>3194.6868892017701</v>
      </c>
      <c r="G10" s="31">
        <f t="shared" si="3"/>
        <v>2902.3660922104</v>
      </c>
      <c r="H10" s="31">
        <f t="shared" si="3"/>
        <v>3114.7595411872298</v>
      </c>
      <c r="I10" s="31">
        <f t="shared" si="3"/>
        <v>3045.50220700512</v>
      </c>
      <c r="J10" s="31">
        <f t="shared" si="3"/>
        <v>3062.8146136684099</v>
      </c>
      <c r="K10" s="31">
        <f t="shared" si="3"/>
        <v>2850.4510158637399</v>
      </c>
    </row>
    <row r="11" spans="2:11">
      <c r="B11" t="s">
        <v>441</v>
      </c>
    </row>
    <row r="12" spans="2:11">
      <c r="B12" t="s">
        <v>100</v>
      </c>
      <c r="C12" s="1">
        <f>INDEX($U$20:$U$33,MATCH(B12,$Q$20:$Q$33,0))</f>
        <v>174</v>
      </c>
      <c r="D12" s="31">
        <f t="shared" ref="D12:K14" si="4">INDEX($E$24:$L$53,MATCH($B12,$D$24:$D$53,0),MATCH(D$1,$E$23:$L$23,0))</f>
        <v>970.58312000000001</v>
      </c>
      <c r="E12" s="31">
        <f t="shared" si="4"/>
        <v>815.01612</v>
      </c>
      <c r="F12" s="31">
        <f t="shared" si="4"/>
        <v>482.888652858483</v>
      </c>
      <c r="G12" s="31">
        <f t="shared" si="4"/>
        <v>422.957882858483</v>
      </c>
      <c r="H12" s="31">
        <f t="shared" si="4"/>
        <v>384.78213285848301</v>
      </c>
      <c r="I12" s="31">
        <f t="shared" si="4"/>
        <v>8.4376999999999995</v>
      </c>
      <c r="J12" s="31">
        <f t="shared" si="4"/>
        <v>3.2204999999999999</v>
      </c>
      <c r="K12" s="31">
        <f t="shared" si="4"/>
        <v>0</v>
      </c>
    </row>
    <row r="13" spans="2:11">
      <c r="B13" t="s">
        <v>55</v>
      </c>
      <c r="C13" s="1">
        <f>INDEX($U$20:$U$33,MATCH(B13,$Q$20:$Q$33,0))</f>
        <v>616.39374999999995</v>
      </c>
      <c r="D13" s="31">
        <f t="shared" si="4"/>
        <v>396.1445356688493</v>
      </c>
      <c r="E13" s="31">
        <f t="shared" si="4"/>
        <v>486.35976488291192</v>
      </c>
      <c r="F13" s="31">
        <f t="shared" si="4"/>
        <v>478.17033788343144</v>
      </c>
      <c r="G13" s="31">
        <f t="shared" si="4"/>
        <v>508.69259006292907</v>
      </c>
      <c r="H13" s="31">
        <f t="shared" si="4"/>
        <v>504.38789552898044</v>
      </c>
      <c r="I13" s="31">
        <f t="shared" si="4"/>
        <v>646.13331068299544</v>
      </c>
      <c r="J13" s="31">
        <f t="shared" si="4"/>
        <v>620.1035116491372</v>
      </c>
      <c r="K13" s="31">
        <f t="shared" si="4"/>
        <v>529.18233019291483</v>
      </c>
    </row>
    <row r="14" spans="2:11">
      <c r="B14" t="s">
        <v>110</v>
      </c>
      <c r="C14" s="1">
        <f>INDEX($U$20:$U$33,MATCH(B14,$Q$20:$Q$33,0))</f>
        <v>368.98248725878699</v>
      </c>
      <c r="D14" s="31">
        <f t="shared" si="4"/>
        <v>237.13802433115077</v>
      </c>
      <c r="E14" s="31">
        <f t="shared" si="4"/>
        <v>291.1422053664491</v>
      </c>
      <c r="F14" s="31">
        <f t="shared" si="4"/>
        <v>286.23989228573964</v>
      </c>
      <c r="G14" s="31">
        <f t="shared" si="4"/>
        <v>304.51096743199309</v>
      </c>
      <c r="H14" s="31">
        <f t="shared" si="4"/>
        <v>301.93411311439871</v>
      </c>
      <c r="I14" s="31">
        <f t="shared" si="4"/>
        <v>386.7850316077446</v>
      </c>
      <c r="J14" s="31">
        <f t="shared" si="4"/>
        <v>371.20320588293902</v>
      </c>
      <c r="K14" s="31">
        <f t="shared" si="4"/>
        <v>316.77643131193724</v>
      </c>
    </row>
    <row r="15" spans="2:11">
      <c r="B15" t="s">
        <v>91</v>
      </c>
    </row>
    <row r="16" spans="2:11">
      <c r="B16" t="s">
        <v>70</v>
      </c>
      <c r="C16" s="1">
        <f>INDEX($U$20:$U$33,MATCH(B16,$Q$20:$Q$33,0))</f>
        <v>1100</v>
      </c>
      <c r="D16" s="31">
        <f t="shared" ref="D16:K16" si="5">INDEX($E$24:$L$53,MATCH($B16,$D$24:$D$53,0),MATCH(D$1,$E$23:$L$23,0))</f>
        <v>872.75400000000002</v>
      </c>
      <c r="E16" s="31">
        <f t="shared" si="5"/>
        <v>804.16070107564599</v>
      </c>
      <c r="F16" s="31">
        <f t="shared" si="5"/>
        <v>778.21670107564603</v>
      </c>
      <c r="G16" s="31">
        <f t="shared" si="5"/>
        <v>778.21670107564603</v>
      </c>
      <c r="H16" s="31">
        <f t="shared" si="5"/>
        <v>80.8567010756462</v>
      </c>
      <c r="I16" s="31">
        <f t="shared" si="5"/>
        <v>72.116701075646205</v>
      </c>
      <c r="J16" s="31">
        <f t="shared" si="5"/>
        <v>36.396701075646199</v>
      </c>
      <c r="K16" s="31">
        <f t="shared" si="5"/>
        <v>36.396701075646199</v>
      </c>
    </row>
    <row r="17" spans="2:22">
      <c r="B17" t="s">
        <v>65</v>
      </c>
      <c r="C17" s="88"/>
      <c r="D17" s="88"/>
      <c r="E17" s="88"/>
      <c r="F17" s="88"/>
      <c r="G17" s="88"/>
      <c r="H17" s="88"/>
      <c r="I17" s="88"/>
      <c r="J17" s="88"/>
      <c r="K17" s="88"/>
    </row>
    <row r="18" spans="2:22">
      <c r="B18" t="s">
        <v>115</v>
      </c>
      <c r="C18" s="88"/>
      <c r="D18" s="88"/>
      <c r="E18" s="88"/>
      <c r="F18" s="88"/>
      <c r="G18" s="88"/>
      <c r="H18" s="88"/>
      <c r="I18" s="88"/>
      <c r="J18" s="88"/>
      <c r="K18" s="88"/>
    </row>
    <row r="19" spans="2:22">
      <c r="M19" s="1"/>
      <c r="P19" t="s">
        <v>127</v>
      </c>
      <c r="Q19" t="s">
        <v>128</v>
      </c>
      <c r="R19" t="s">
        <v>33</v>
      </c>
      <c r="S19" t="s">
        <v>32</v>
      </c>
      <c r="T19" t="s">
        <v>8</v>
      </c>
      <c r="U19" t="s">
        <v>51</v>
      </c>
      <c r="V19" t="s">
        <v>129</v>
      </c>
    </row>
    <row r="20" spans="2:22">
      <c r="M20" s="1"/>
      <c r="P20" t="s">
        <v>52</v>
      </c>
      <c r="Q20" t="s">
        <v>55</v>
      </c>
      <c r="R20" t="s">
        <v>11</v>
      </c>
      <c r="S20" t="s">
        <v>12</v>
      </c>
      <c r="T20">
        <v>4120629.6161127202</v>
      </c>
      <c r="U20">
        <v>616.39374999999995</v>
      </c>
      <c r="V20">
        <v>6685.0606712230901</v>
      </c>
    </row>
    <row r="21" spans="2:22">
      <c r="P21" t="s">
        <v>68</v>
      </c>
      <c r="Q21" t="s">
        <v>70</v>
      </c>
      <c r="R21" t="s">
        <v>18</v>
      </c>
      <c r="S21" t="s">
        <v>12</v>
      </c>
      <c r="T21">
        <v>2733327.3221901301</v>
      </c>
      <c r="U21">
        <v>1100</v>
      </c>
      <c r="V21">
        <v>2484.8430201728402</v>
      </c>
    </row>
    <row r="22" spans="2:22">
      <c r="R22" t="s">
        <v>19</v>
      </c>
      <c r="S22" t="s">
        <v>12</v>
      </c>
      <c r="T22">
        <v>0</v>
      </c>
    </row>
    <row r="23" spans="2:22">
      <c r="C23" s="1"/>
      <c r="E23" s="21">
        <v>2015</v>
      </c>
      <c r="F23" s="21">
        <v>2020</v>
      </c>
      <c r="G23" s="21">
        <v>2025</v>
      </c>
      <c r="H23" s="21">
        <v>2030</v>
      </c>
      <c r="I23" s="21">
        <v>2035</v>
      </c>
      <c r="J23" s="21">
        <v>2040</v>
      </c>
      <c r="K23" s="21">
        <v>2045</v>
      </c>
      <c r="L23" s="21">
        <v>2050</v>
      </c>
      <c r="P23" t="s">
        <v>97</v>
      </c>
      <c r="Q23" t="s">
        <v>100</v>
      </c>
      <c r="R23" t="s">
        <v>20</v>
      </c>
      <c r="S23" t="s">
        <v>12</v>
      </c>
      <c r="T23">
        <v>832452.63103857404</v>
      </c>
      <c r="U23">
        <v>174</v>
      </c>
      <c r="V23">
        <v>4784.2105232102003</v>
      </c>
    </row>
    <row r="24" spans="2:22">
      <c r="C24" s="1"/>
      <c r="D24" t="s">
        <v>95</v>
      </c>
      <c r="E24" s="1">
        <f t="shared" ref="E24:L24" si="6">INDEX($E$61:$S$138,MATCH($D24,$C$61:$C$138,0),MATCH(E$23,$E$59:$S$59,0))</f>
        <v>0</v>
      </c>
      <c r="F24" s="1">
        <f t="shared" si="6"/>
        <v>0</v>
      </c>
      <c r="G24" s="1">
        <f t="shared" si="6"/>
        <v>0</v>
      </c>
      <c r="H24" s="1">
        <f t="shared" si="6"/>
        <v>0</v>
      </c>
      <c r="I24" s="1">
        <f t="shared" si="6"/>
        <v>0</v>
      </c>
      <c r="J24" s="1">
        <f t="shared" si="6"/>
        <v>0</v>
      </c>
      <c r="K24" s="1">
        <f t="shared" si="6"/>
        <v>0</v>
      </c>
      <c r="L24" s="1">
        <f t="shared" si="6"/>
        <v>0</v>
      </c>
      <c r="P24" t="s">
        <v>59</v>
      </c>
      <c r="Q24" t="s">
        <v>60</v>
      </c>
      <c r="R24" t="s">
        <v>21</v>
      </c>
      <c r="S24" t="s">
        <v>12</v>
      </c>
      <c r="T24">
        <v>9547025.7580425404</v>
      </c>
      <c r="U24">
        <v>3996.3</v>
      </c>
      <c r="V24">
        <v>2388.9662332764101</v>
      </c>
    </row>
    <row r="25" spans="2:22">
      <c r="C25" s="1"/>
      <c r="E25" s="1"/>
      <c r="F25" s="1"/>
      <c r="G25" s="1"/>
      <c r="H25" s="1"/>
      <c r="I25" s="1"/>
      <c r="J25" s="1"/>
      <c r="K25" s="1"/>
      <c r="L25" s="1"/>
      <c r="R25" t="s">
        <v>22</v>
      </c>
      <c r="S25" t="s">
        <v>12</v>
      </c>
      <c r="T25">
        <v>0</v>
      </c>
    </row>
    <row r="26" spans="2:22">
      <c r="C26" s="1"/>
      <c r="D26" t="s">
        <v>145</v>
      </c>
      <c r="E26" s="1">
        <f t="shared" ref="E26:L28" si="7">INDEX($E$61:$S$138,MATCH($D26,$C$61:$C$138,0),MATCH(E$23,$E$59:$S$59,0))</f>
        <v>13149</v>
      </c>
      <c r="F26" s="1">
        <f t="shared" si="7"/>
        <v>13751</v>
      </c>
      <c r="G26" s="1">
        <f t="shared" si="7"/>
        <v>13751</v>
      </c>
      <c r="H26" s="1">
        <f t="shared" si="7"/>
        <v>13755.5857188104</v>
      </c>
      <c r="I26" s="1">
        <f t="shared" si="7"/>
        <v>13849.0310153761</v>
      </c>
      <c r="J26" s="1">
        <f t="shared" si="7"/>
        <v>13881.1271073553</v>
      </c>
      <c r="K26" s="1">
        <f t="shared" si="7"/>
        <v>13881.1271073553</v>
      </c>
      <c r="L26" s="1">
        <f t="shared" si="7"/>
        <v>14042.463204796901</v>
      </c>
      <c r="P26" t="s">
        <v>103</v>
      </c>
      <c r="Q26" t="s">
        <v>105</v>
      </c>
      <c r="R26" t="s">
        <v>131</v>
      </c>
      <c r="S26" t="s">
        <v>12</v>
      </c>
      <c r="T26">
        <v>937098</v>
      </c>
      <c r="U26">
        <v>931.56299999999999</v>
      </c>
      <c r="V26">
        <v>1005.94162713633</v>
      </c>
    </row>
    <row r="27" spans="2:22">
      <c r="C27" s="1"/>
      <c r="D27" t="s">
        <v>146</v>
      </c>
      <c r="E27" s="1">
        <f t="shared" si="7"/>
        <v>2411.5</v>
      </c>
      <c r="F27" s="1">
        <f t="shared" si="7"/>
        <v>2582.7889976764</v>
      </c>
      <c r="G27" s="1">
        <f t="shared" si="7"/>
        <v>3663.84</v>
      </c>
      <c r="H27" s="1">
        <f t="shared" si="7"/>
        <v>4544.5888077801101</v>
      </c>
      <c r="I27" s="1">
        <f t="shared" si="7"/>
        <v>4544.5888077801101</v>
      </c>
      <c r="J27" s="1">
        <f t="shared" si="7"/>
        <v>5025.6844286095502</v>
      </c>
      <c r="K27" s="1">
        <f t="shared" si="7"/>
        <v>5986.2263881033696</v>
      </c>
      <c r="L27" s="1">
        <f t="shared" si="7"/>
        <v>6802.6646620974898</v>
      </c>
      <c r="P27" t="s">
        <v>86</v>
      </c>
      <c r="Q27" t="s">
        <v>85</v>
      </c>
      <c r="R27" t="s">
        <v>132</v>
      </c>
      <c r="S27" t="s">
        <v>12</v>
      </c>
      <c r="T27">
        <v>3847637.8580743899</v>
      </c>
      <c r="U27">
        <v>4000.53958894879</v>
      </c>
      <c r="V27">
        <v>961.77972309116001</v>
      </c>
    </row>
    <row r="28" spans="2:22">
      <c r="C28" s="1"/>
      <c r="D28" t="s">
        <v>105</v>
      </c>
      <c r="E28" s="1">
        <f t="shared" si="7"/>
        <v>876</v>
      </c>
      <c r="F28" s="1">
        <f t="shared" si="7"/>
        <v>1089.65065061156</v>
      </c>
      <c r="G28" s="1">
        <f t="shared" si="7"/>
        <v>2692.0255474526298</v>
      </c>
      <c r="H28" s="1">
        <f t="shared" si="7"/>
        <v>2821.0255474526298</v>
      </c>
      <c r="I28" s="1">
        <f t="shared" si="7"/>
        <v>2888.0255474526298</v>
      </c>
      <c r="J28" s="1">
        <f t="shared" si="7"/>
        <v>2930.0255474526298</v>
      </c>
      <c r="K28" s="1">
        <f t="shared" si="7"/>
        <v>3196.7875074344702</v>
      </c>
      <c r="L28" s="1">
        <f t="shared" si="7"/>
        <v>4008.7875074344702</v>
      </c>
      <c r="P28" t="s">
        <v>73</v>
      </c>
      <c r="Q28" t="s">
        <v>75</v>
      </c>
      <c r="R28" t="s">
        <v>25</v>
      </c>
      <c r="S28" t="s">
        <v>12</v>
      </c>
      <c r="T28">
        <v>9350141.4459256101</v>
      </c>
      <c r="U28">
        <v>3992.46041105121</v>
      </c>
      <c r="V28">
        <v>2341.9496959930302</v>
      </c>
    </row>
    <row r="29" spans="2:22">
      <c r="C29" s="1"/>
      <c r="D29" t="s">
        <v>80</v>
      </c>
      <c r="E29" s="1">
        <f t="shared" ref="E29:L31" si="8">INDEX(E$48:E$50,MATCH($D29,$D$48:$D$50,0))*E$26/SUM(E$48:E$50)</f>
        <v>5448.8053337240826</v>
      </c>
      <c r="F29" s="1">
        <f t="shared" si="8"/>
        <v>5698.2677119202872</v>
      </c>
      <c r="G29" s="1">
        <f t="shared" si="8"/>
        <v>5698.2677119202872</v>
      </c>
      <c r="H29" s="1">
        <f t="shared" si="8"/>
        <v>5700.1679848773992</v>
      </c>
      <c r="I29" s="1">
        <f t="shared" si="8"/>
        <v>5738.8907189513684</v>
      </c>
      <c r="J29" s="1">
        <f t="shared" si="8"/>
        <v>5752.1909970841516</v>
      </c>
      <c r="K29" s="1">
        <f t="shared" si="8"/>
        <v>5752.1909970841516</v>
      </c>
      <c r="L29" s="1">
        <f t="shared" si="8"/>
        <v>5819.0469548194942</v>
      </c>
      <c r="P29" t="s">
        <v>79</v>
      </c>
      <c r="Q29" t="s">
        <v>80</v>
      </c>
      <c r="R29" t="s">
        <v>26</v>
      </c>
      <c r="S29" t="s">
        <v>12</v>
      </c>
      <c r="T29">
        <v>26717190.677999999</v>
      </c>
      <c r="U29">
        <v>5656</v>
      </c>
      <c r="V29">
        <v>4723.6900067185297</v>
      </c>
    </row>
    <row r="30" spans="2:22">
      <c r="C30" s="1"/>
      <c r="D30" t="s">
        <v>75</v>
      </c>
      <c r="E30" s="1">
        <f t="shared" si="8"/>
        <v>3846.2057253214416</v>
      </c>
      <c r="F30" s="1">
        <f t="shared" si="8"/>
        <v>4022.2963669400824</v>
      </c>
      <c r="G30" s="1">
        <f t="shared" si="8"/>
        <v>4022.2963669400824</v>
      </c>
      <c r="H30" s="1">
        <f t="shared" si="8"/>
        <v>4023.6377326670031</v>
      </c>
      <c r="I30" s="1">
        <f t="shared" si="8"/>
        <v>4050.9713576312861</v>
      </c>
      <c r="J30" s="1">
        <f t="shared" si="8"/>
        <v>4060.3597653224292</v>
      </c>
      <c r="K30" s="1">
        <f t="shared" si="8"/>
        <v>4060.3597653224292</v>
      </c>
      <c r="L30" s="1">
        <f t="shared" si="8"/>
        <v>4107.5520857788069</v>
      </c>
      <c r="P30" t="s">
        <v>133</v>
      </c>
      <c r="Q30" t="s">
        <v>134</v>
      </c>
      <c r="R30" t="s">
        <v>135</v>
      </c>
      <c r="S30" t="s">
        <v>12</v>
      </c>
      <c r="T30">
        <v>0</v>
      </c>
      <c r="U30">
        <v>1</v>
      </c>
      <c r="V30">
        <v>0</v>
      </c>
    </row>
    <row r="31" spans="2:22">
      <c r="C31" s="1"/>
      <c r="D31" t="s">
        <v>85</v>
      </c>
      <c r="E31" s="1">
        <f t="shared" si="8"/>
        <v>3853.9889409544758</v>
      </c>
      <c r="F31" s="1">
        <f t="shared" si="8"/>
        <v>4030.4359211396304</v>
      </c>
      <c r="G31" s="1">
        <f t="shared" si="8"/>
        <v>4030.4359211396304</v>
      </c>
      <c r="H31" s="1">
        <f t="shared" si="8"/>
        <v>4031.7800012659977</v>
      </c>
      <c r="I31" s="1">
        <f t="shared" si="8"/>
        <v>4059.1689387934462</v>
      </c>
      <c r="J31" s="1">
        <f t="shared" si="8"/>
        <v>4068.5763449487199</v>
      </c>
      <c r="K31" s="1">
        <f t="shared" si="8"/>
        <v>4068.5763449487199</v>
      </c>
      <c r="L31" s="1">
        <f t="shared" si="8"/>
        <v>4115.8641641986005</v>
      </c>
      <c r="P31" t="s">
        <v>109</v>
      </c>
      <c r="Q31" t="s">
        <v>110</v>
      </c>
      <c r="R31" t="s">
        <v>24</v>
      </c>
      <c r="S31" t="s">
        <v>12</v>
      </c>
      <c r="T31">
        <v>1069365.737</v>
      </c>
      <c r="U31">
        <v>368.98248725878699</v>
      </c>
      <c r="V31">
        <v>2898.1476734693902</v>
      </c>
    </row>
    <row r="32" spans="2:22">
      <c r="C32" s="1"/>
      <c r="D32" t="s">
        <v>147</v>
      </c>
      <c r="E32" s="1">
        <f t="shared" ref="E32:L32" si="9">INDEX($E$61:$S$138,MATCH($D32,$C$61:$C$138,0),MATCH(E$23,$E$59:$S$59,0))</f>
        <v>3004.7984122930802</v>
      </c>
      <c r="F32" s="1">
        <f t="shared" si="9"/>
        <v>2841.0906400000699</v>
      </c>
      <c r="G32" s="1">
        <f t="shared" si="9"/>
        <v>2723.16301951692</v>
      </c>
      <c r="H32" s="1">
        <f t="shared" si="9"/>
        <v>2667.94678853603</v>
      </c>
      <c r="I32" s="1">
        <f t="shared" si="9"/>
        <v>3063.2534095896799</v>
      </c>
      <c r="J32" s="1">
        <f t="shared" si="9"/>
        <v>3472.84958874008</v>
      </c>
      <c r="K32" s="1">
        <f t="shared" si="9"/>
        <v>3549.8478597000199</v>
      </c>
      <c r="L32" s="1">
        <f t="shared" si="9"/>
        <v>3430.5060517873599</v>
      </c>
      <c r="P32" t="s">
        <v>118</v>
      </c>
      <c r="Q32" t="s">
        <v>120</v>
      </c>
      <c r="R32" t="s">
        <v>141</v>
      </c>
      <c r="S32" t="s">
        <v>12</v>
      </c>
      <c r="T32">
        <v>4840320.6849378198</v>
      </c>
      <c r="U32">
        <v>2421</v>
      </c>
      <c r="V32">
        <v>1999.3063547863801</v>
      </c>
    </row>
    <row r="33" spans="3:12">
      <c r="C33" s="1"/>
      <c r="E33" s="1"/>
      <c r="F33" s="1"/>
      <c r="G33" s="1"/>
      <c r="H33" s="1"/>
      <c r="I33" s="1"/>
      <c r="J33" s="1"/>
      <c r="K33" s="1"/>
      <c r="L33" s="1"/>
    </row>
    <row r="34" spans="3:12">
      <c r="C34" s="1"/>
      <c r="D34" t="s">
        <v>148</v>
      </c>
      <c r="E34" s="1">
        <f t="shared" ref="E34:L37" si="10">INDEX($E$61:$S$138,MATCH($D34,$C$61:$C$138,0),MATCH(E$23,$E$59:$S$59,0))</f>
        <v>872.75400000000002</v>
      </c>
      <c r="F34" s="1">
        <f t="shared" si="10"/>
        <v>804.16070107564599</v>
      </c>
      <c r="G34" s="1">
        <f t="shared" si="10"/>
        <v>778.21670107564603</v>
      </c>
      <c r="H34" s="1">
        <f t="shared" si="10"/>
        <v>778.21670107564603</v>
      </c>
      <c r="I34" s="1">
        <f t="shared" si="10"/>
        <v>80.8567010756462</v>
      </c>
      <c r="J34" s="1">
        <f t="shared" si="10"/>
        <v>72.116701075646205</v>
      </c>
      <c r="K34" s="1">
        <f t="shared" si="10"/>
        <v>36.396701075646199</v>
      </c>
      <c r="L34" s="1">
        <f t="shared" si="10"/>
        <v>36.396701075646199</v>
      </c>
    </row>
    <row r="35" spans="3:12">
      <c r="C35" s="1"/>
      <c r="D35" t="s">
        <v>60</v>
      </c>
      <c r="E35" s="1">
        <f t="shared" si="10"/>
        <v>4073.8726499999998</v>
      </c>
      <c r="F35" s="1">
        <f t="shared" si="10"/>
        <v>3527.0057198664999</v>
      </c>
      <c r="G35" s="1">
        <f t="shared" si="10"/>
        <v>3194.6868892017701</v>
      </c>
      <c r="H35" s="1">
        <f t="shared" si="10"/>
        <v>2902.3660922104</v>
      </c>
      <c r="I35" s="1">
        <f t="shared" si="10"/>
        <v>3114.7595411872298</v>
      </c>
      <c r="J35" s="1">
        <f t="shared" si="10"/>
        <v>3045.50220700512</v>
      </c>
      <c r="K35" s="1">
        <f t="shared" si="10"/>
        <v>3062.8146136684099</v>
      </c>
      <c r="L35" s="1">
        <f t="shared" si="10"/>
        <v>2850.4510158637399</v>
      </c>
    </row>
    <row r="36" spans="3:12">
      <c r="C36" s="1"/>
      <c r="D36" t="s">
        <v>100</v>
      </c>
      <c r="E36" s="1">
        <f t="shared" si="10"/>
        <v>970.58312000000001</v>
      </c>
      <c r="F36" s="1">
        <f t="shared" si="10"/>
        <v>815.01612</v>
      </c>
      <c r="G36" s="1">
        <f t="shared" si="10"/>
        <v>482.888652858483</v>
      </c>
      <c r="H36" s="1">
        <f t="shared" si="10"/>
        <v>422.957882858483</v>
      </c>
      <c r="I36" s="1">
        <f t="shared" si="10"/>
        <v>384.78213285848301</v>
      </c>
      <c r="J36" s="1">
        <f t="shared" si="10"/>
        <v>8.4376999999999995</v>
      </c>
      <c r="K36" s="1">
        <f t="shared" si="10"/>
        <v>3.2204999999999999</v>
      </c>
      <c r="L36" s="1">
        <f t="shared" si="10"/>
        <v>0</v>
      </c>
    </row>
    <row r="37" spans="3:12">
      <c r="C37" s="1"/>
      <c r="D37" t="s">
        <v>150</v>
      </c>
      <c r="E37" s="1">
        <f t="shared" si="10"/>
        <v>633.28255999999999</v>
      </c>
      <c r="F37" s="1">
        <f t="shared" si="10"/>
        <v>777.50197024936097</v>
      </c>
      <c r="G37" s="1">
        <f t="shared" si="10"/>
        <v>764.41023016917097</v>
      </c>
      <c r="H37" s="1">
        <f t="shared" si="10"/>
        <v>813.20355749492205</v>
      </c>
      <c r="I37" s="1">
        <f t="shared" si="10"/>
        <v>806.32200864337904</v>
      </c>
      <c r="J37" s="1">
        <f t="shared" si="10"/>
        <v>1032.9183422907399</v>
      </c>
      <c r="K37" s="1">
        <f t="shared" si="10"/>
        <v>991.30671753207605</v>
      </c>
      <c r="L37" s="1">
        <f t="shared" si="10"/>
        <v>845.95876150485196</v>
      </c>
    </row>
    <row r="38" spans="3:12">
      <c r="D38" t="s">
        <v>55</v>
      </c>
      <c r="E38" s="1">
        <f t="shared" ref="E38:L39" si="11">E46/SUM($E$46:$E$47)*E$37</f>
        <v>396.1445356688493</v>
      </c>
      <c r="F38" s="1">
        <f t="shared" si="11"/>
        <v>486.35976488291192</v>
      </c>
      <c r="G38" s="1">
        <f t="shared" si="11"/>
        <v>478.17033788343144</v>
      </c>
      <c r="H38" s="1">
        <f t="shared" si="11"/>
        <v>508.69259006292907</v>
      </c>
      <c r="I38" s="1">
        <f t="shared" si="11"/>
        <v>504.38789552898044</v>
      </c>
      <c r="J38" s="1">
        <f t="shared" si="11"/>
        <v>646.13331068299544</v>
      </c>
      <c r="K38" s="1">
        <f t="shared" si="11"/>
        <v>620.1035116491372</v>
      </c>
      <c r="L38" s="1">
        <f t="shared" si="11"/>
        <v>529.18233019291483</v>
      </c>
    </row>
    <row r="39" spans="3:12">
      <c r="D39" t="s">
        <v>110</v>
      </c>
      <c r="E39" s="1">
        <f t="shared" si="11"/>
        <v>237.13802433115077</v>
      </c>
      <c r="F39" s="1">
        <f t="shared" si="11"/>
        <v>291.1422053664491</v>
      </c>
      <c r="G39" s="1">
        <f t="shared" si="11"/>
        <v>286.23989228573964</v>
      </c>
      <c r="H39" s="1">
        <f t="shared" si="11"/>
        <v>304.51096743199309</v>
      </c>
      <c r="I39" s="1">
        <f t="shared" si="11"/>
        <v>301.93411311439871</v>
      </c>
      <c r="J39" s="1">
        <f t="shared" si="11"/>
        <v>386.7850316077446</v>
      </c>
      <c r="K39" s="1">
        <f t="shared" si="11"/>
        <v>371.20320588293902</v>
      </c>
      <c r="L39" s="1">
        <f t="shared" si="11"/>
        <v>316.77643131193724</v>
      </c>
    </row>
    <row r="40" spans="3:12">
      <c r="D40" t="s">
        <v>120</v>
      </c>
      <c r="E40" s="1">
        <f t="shared" ref="E40:L40" si="12">E27</f>
        <v>2411.5</v>
      </c>
      <c r="F40" s="1">
        <f t="shared" si="12"/>
        <v>2582.7889976764</v>
      </c>
      <c r="G40" s="1">
        <f t="shared" si="12"/>
        <v>3663.84</v>
      </c>
      <c r="H40" s="1">
        <f t="shared" si="12"/>
        <v>4544.5888077801101</v>
      </c>
      <c r="I40" s="1">
        <f t="shared" si="12"/>
        <v>4544.5888077801101</v>
      </c>
      <c r="J40" s="1">
        <f t="shared" si="12"/>
        <v>5025.6844286095502</v>
      </c>
      <c r="K40" s="1">
        <f t="shared" si="12"/>
        <v>5986.2263881033696</v>
      </c>
      <c r="L40" s="1">
        <f t="shared" si="12"/>
        <v>6802.6646620974898</v>
      </c>
    </row>
    <row r="41" spans="3:12">
      <c r="D41" t="s">
        <v>115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3:12">
      <c r="D42" t="s">
        <v>91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3:12">
      <c r="D43" t="s">
        <v>70</v>
      </c>
      <c r="E43" s="1">
        <f t="shared" ref="E43:L43" si="13">E34</f>
        <v>872.75400000000002</v>
      </c>
      <c r="F43" s="1">
        <f t="shared" si="13"/>
        <v>804.16070107564599</v>
      </c>
      <c r="G43" s="1">
        <f t="shared" si="13"/>
        <v>778.21670107564603</v>
      </c>
      <c r="H43" s="1">
        <f t="shared" si="13"/>
        <v>778.21670107564603</v>
      </c>
      <c r="I43" s="1">
        <f t="shared" si="13"/>
        <v>80.8567010756462</v>
      </c>
      <c r="J43" s="1">
        <f t="shared" si="13"/>
        <v>72.116701075646205</v>
      </c>
      <c r="K43" s="1">
        <f t="shared" si="13"/>
        <v>36.396701075646199</v>
      </c>
      <c r="L43" s="1">
        <f t="shared" si="13"/>
        <v>36.396701075646199</v>
      </c>
    </row>
    <row r="44" spans="3:12">
      <c r="D44" t="s">
        <v>65</v>
      </c>
      <c r="E44" s="1">
        <f t="shared" ref="E44:L44" si="14">INDEX($E$61:$S$138,MATCH($D44,$C$61:$C$138,0),MATCH(E$23,$E$59:$S$59,0))</f>
        <v>2</v>
      </c>
      <c r="F44" s="1">
        <f t="shared" si="14"/>
        <v>2</v>
      </c>
      <c r="G44" s="1">
        <f t="shared" si="14"/>
        <v>2</v>
      </c>
      <c r="H44" s="1">
        <f t="shared" si="14"/>
        <v>2</v>
      </c>
      <c r="I44" s="1">
        <f t="shared" si="14"/>
        <v>2</v>
      </c>
      <c r="J44" s="1">
        <f t="shared" si="14"/>
        <v>2</v>
      </c>
      <c r="K44" s="1">
        <f t="shared" si="14"/>
        <v>2</v>
      </c>
      <c r="L44" s="1">
        <f t="shared" si="14"/>
        <v>2</v>
      </c>
    </row>
    <row r="46" spans="3:12">
      <c r="C46" t="s">
        <v>155</v>
      </c>
      <c r="D46" t="s">
        <v>290</v>
      </c>
      <c r="E46" s="90">
        <v>616.39374999999995</v>
      </c>
      <c r="F46" s="90">
        <v>616.39374999999995</v>
      </c>
      <c r="G46" s="90">
        <v>616.39374999999995</v>
      </c>
      <c r="H46" s="90">
        <v>616.39374999999995</v>
      </c>
      <c r="I46" s="90">
        <v>616.39374999999995</v>
      </c>
      <c r="J46" s="90">
        <v>616.39374999999995</v>
      </c>
      <c r="K46" s="90">
        <v>616.39374999999995</v>
      </c>
      <c r="L46" s="90">
        <v>616.39374999999995</v>
      </c>
    </row>
    <row r="47" spans="3:12">
      <c r="D47" t="s">
        <v>291</v>
      </c>
      <c r="E47" s="90">
        <v>368.98248725878699</v>
      </c>
      <c r="F47" s="90">
        <v>368.98248725878699</v>
      </c>
      <c r="G47" s="90">
        <v>368.98248725878699</v>
      </c>
      <c r="H47" s="90">
        <v>368.98248725878699</v>
      </c>
      <c r="I47" s="90">
        <v>368.98248725878699</v>
      </c>
      <c r="J47" s="90">
        <v>368.98248725878699</v>
      </c>
      <c r="K47" s="90">
        <v>368.98248725878699</v>
      </c>
      <c r="L47" s="90">
        <v>368.98248725878699</v>
      </c>
    </row>
    <row r="48" spans="3:12">
      <c r="D48" t="s">
        <v>80</v>
      </c>
      <c r="E48">
        <v>5656</v>
      </c>
      <c r="F48">
        <v>5656</v>
      </c>
      <c r="G48">
        <v>5656</v>
      </c>
      <c r="H48">
        <v>5656</v>
      </c>
      <c r="I48">
        <v>5656</v>
      </c>
      <c r="J48">
        <v>5656</v>
      </c>
      <c r="K48">
        <v>5656</v>
      </c>
      <c r="L48">
        <v>5656</v>
      </c>
    </row>
    <row r="49" spans="4:36">
      <c r="D49" t="s">
        <v>75</v>
      </c>
      <c r="E49">
        <v>3992.46041105121</v>
      </c>
      <c r="F49">
        <v>3992.46041105121</v>
      </c>
      <c r="G49">
        <v>3992.46041105121</v>
      </c>
      <c r="H49">
        <v>3992.46041105121</v>
      </c>
      <c r="I49">
        <v>3992.46041105121</v>
      </c>
      <c r="J49">
        <v>3992.46041105121</v>
      </c>
      <c r="K49">
        <v>3992.46041105121</v>
      </c>
      <c r="L49">
        <v>3992.46041105121</v>
      </c>
    </row>
    <row r="50" spans="4:36">
      <c r="D50" t="s">
        <v>85</v>
      </c>
      <c r="E50">
        <v>4000.53958894879</v>
      </c>
      <c r="F50">
        <v>4000.53958894879</v>
      </c>
      <c r="G50">
        <v>4000.53958894879</v>
      </c>
      <c r="H50">
        <v>4000.53958894879</v>
      </c>
      <c r="I50">
        <v>4000.53958894879</v>
      </c>
      <c r="J50">
        <v>4000.53958894879</v>
      </c>
      <c r="K50">
        <v>4000.53958894879</v>
      </c>
      <c r="L50">
        <v>4000.53958894879</v>
      </c>
    </row>
    <row r="51" spans="4:36">
      <c r="E51">
        <f>SUM(E48:E50)</f>
        <v>13649</v>
      </c>
      <c r="F51">
        <f t="shared" ref="F51:L51" si="15">SUM(F48:F49)</f>
        <v>9648.46041105121</v>
      </c>
      <c r="G51">
        <f t="shared" si="15"/>
        <v>9648.46041105121</v>
      </c>
      <c r="H51">
        <f t="shared" si="15"/>
        <v>9648.46041105121</v>
      </c>
      <c r="I51">
        <f t="shared" si="15"/>
        <v>9648.46041105121</v>
      </c>
      <c r="J51">
        <f t="shared" si="15"/>
        <v>9648.46041105121</v>
      </c>
      <c r="K51">
        <f t="shared" si="15"/>
        <v>9648.46041105121</v>
      </c>
      <c r="L51">
        <f t="shared" si="15"/>
        <v>9648.46041105121</v>
      </c>
    </row>
    <row r="58" spans="4:36">
      <c r="D58" s="41" t="s">
        <v>164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 t="s">
        <v>292</v>
      </c>
    </row>
    <row r="59" spans="4:36">
      <c r="D59" s="21"/>
      <c r="E59" s="21">
        <v>2000</v>
      </c>
      <c r="F59" s="21">
        <v>2005</v>
      </c>
      <c r="G59" s="21">
        <v>2010</v>
      </c>
      <c r="H59" s="21">
        <v>2015</v>
      </c>
      <c r="I59" s="21">
        <v>2020</v>
      </c>
      <c r="J59" s="21">
        <v>2025</v>
      </c>
      <c r="K59" s="21">
        <v>2030</v>
      </c>
      <c r="L59" s="21">
        <v>2035</v>
      </c>
      <c r="M59" s="21">
        <v>2040</v>
      </c>
      <c r="N59" s="21">
        <v>2045</v>
      </c>
      <c r="O59" s="21">
        <v>2050</v>
      </c>
      <c r="P59" s="22" t="s">
        <v>44</v>
      </c>
      <c r="Q59" s="22" t="s">
        <v>45</v>
      </c>
      <c r="R59" s="22" t="s">
        <v>46</v>
      </c>
      <c r="S59" s="22" t="s">
        <v>47</v>
      </c>
    </row>
    <row r="60" spans="4:36"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207" t="s">
        <v>168</v>
      </c>
      <c r="Q60" s="207"/>
      <c r="R60" s="207"/>
      <c r="S60" s="207"/>
    </row>
    <row r="61" spans="4:36">
      <c r="D61" s="49" t="s">
        <v>172</v>
      </c>
      <c r="E61" s="50">
        <v>8.002186</v>
      </c>
      <c r="F61" s="50">
        <v>8.2013590000000001</v>
      </c>
      <c r="G61" s="50">
        <v>8.3516429999999993</v>
      </c>
      <c r="H61" s="50">
        <v>8.5745939999999994</v>
      </c>
      <c r="I61" s="50">
        <v>8.8192199999999996</v>
      </c>
      <c r="J61" s="50">
        <v>9.0673750000000002</v>
      </c>
      <c r="K61" s="50">
        <v>9.2928014999999995</v>
      </c>
      <c r="L61" s="50">
        <v>9.4770424999999996</v>
      </c>
      <c r="M61" s="50">
        <v>9.6179050000000004</v>
      </c>
      <c r="N61" s="50">
        <v>9.7124895000000002</v>
      </c>
      <c r="O61" s="50">
        <v>9.7470660000000002</v>
      </c>
      <c r="P61" s="25">
        <v>0.42835012388691102</v>
      </c>
      <c r="Q61" s="25">
        <v>0.54623791625969498</v>
      </c>
      <c r="R61" s="25">
        <v>0.52443675494786601</v>
      </c>
      <c r="S61" s="25">
        <v>0.238916193279093</v>
      </c>
    </row>
    <row r="62" spans="4:36">
      <c r="D62" s="49" t="s">
        <v>177</v>
      </c>
      <c r="E62" s="50">
        <v>256.922469602977</v>
      </c>
      <c r="F62" s="50">
        <v>279.22510018315899</v>
      </c>
      <c r="G62" s="50">
        <v>298.05477156000001</v>
      </c>
      <c r="H62" s="50">
        <v>316.10853064920002</v>
      </c>
      <c r="I62" s="50">
        <v>344.71791216457501</v>
      </c>
      <c r="J62" s="50">
        <v>372.50364996087802</v>
      </c>
      <c r="K62" s="50">
        <v>400.054103059326</v>
      </c>
      <c r="L62" s="50">
        <v>432.80774519754402</v>
      </c>
      <c r="M62" s="50">
        <v>469.00882218510299</v>
      </c>
      <c r="N62" s="50">
        <v>506.21069155121398</v>
      </c>
      <c r="O62" s="50">
        <v>542.51611176450001</v>
      </c>
      <c r="P62" s="25">
        <v>1.4961103628546399</v>
      </c>
      <c r="Q62" s="25">
        <v>1.4651209003930099</v>
      </c>
      <c r="R62" s="25">
        <v>1.49987042513657</v>
      </c>
      <c r="S62" s="25">
        <v>1.5347480699296401</v>
      </c>
    </row>
    <row r="63" spans="4:36">
      <c r="D63" s="57" t="s">
        <v>179</v>
      </c>
      <c r="E63" s="58">
        <v>28995.7</v>
      </c>
      <c r="F63" s="59">
        <v>34373.199999999997</v>
      </c>
      <c r="G63" s="59">
        <v>34603.599999999999</v>
      </c>
      <c r="H63" s="59">
        <v>32933.190401684697</v>
      </c>
      <c r="I63" s="59">
        <v>33356.700893993999</v>
      </c>
      <c r="J63" s="59">
        <v>32975.621640843703</v>
      </c>
      <c r="K63" s="59">
        <v>32674.510414803401</v>
      </c>
      <c r="L63" s="59">
        <v>32118.656321487</v>
      </c>
      <c r="M63" s="59">
        <v>32162.165455370501</v>
      </c>
      <c r="N63" s="59">
        <v>32259.529080824101</v>
      </c>
      <c r="O63" s="59">
        <v>32029.267563076501</v>
      </c>
      <c r="P63" s="25">
        <v>1.7838252496481699</v>
      </c>
      <c r="Q63" s="25">
        <v>-0.36631785668710398</v>
      </c>
      <c r="R63" s="25">
        <v>-0.20642068503521299</v>
      </c>
      <c r="S63" s="25">
        <v>-9.9676189124586798E-2</v>
      </c>
      <c r="AG63" s="29" t="e">
        <f t="shared" ref="AG63:AJ68" si="16">X63/AB63</f>
        <v>#DIV/0!</v>
      </c>
      <c r="AH63" s="29" t="e">
        <f t="shared" si="16"/>
        <v>#DIV/0!</v>
      </c>
      <c r="AI63" s="29" t="e">
        <f t="shared" si="16"/>
        <v>#DIV/0!</v>
      </c>
      <c r="AJ63" s="29" t="e">
        <f t="shared" si="16"/>
        <v>#DIV/0!</v>
      </c>
    </row>
    <row r="64" spans="4:36">
      <c r="D64" s="23" t="s">
        <v>181</v>
      </c>
      <c r="E64" s="24">
        <v>3597.2</v>
      </c>
      <c r="F64" s="24">
        <v>4000.1</v>
      </c>
      <c r="G64" s="24">
        <v>3364.5</v>
      </c>
      <c r="H64" s="24">
        <v>3333.4592848738398</v>
      </c>
      <c r="I64" s="24">
        <v>3337.05325599669</v>
      </c>
      <c r="J64" s="24">
        <v>3179.3683361017702</v>
      </c>
      <c r="K64" s="24">
        <v>2946.8592986967101</v>
      </c>
      <c r="L64" s="24">
        <v>1891.9030578977799</v>
      </c>
      <c r="M64" s="24">
        <v>1548.3754516501201</v>
      </c>
      <c r="N64" s="24">
        <v>1339.62869630362</v>
      </c>
      <c r="O64" s="24">
        <v>1202.3176119703801</v>
      </c>
      <c r="P64" s="25">
        <v>-0.66653276428969599</v>
      </c>
      <c r="Q64" s="25">
        <v>-8.1878508845412104E-2</v>
      </c>
      <c r="R64" s="25">
        <v>-1.2357827104997801</v>
      </c>
      <c r="S64" s="25">
        <v>-4.3834674312263804</v>
      </c>
      <c r="AG64" s="29" t="e">
        <f t="shared" si="16"/>
        <v>#DIV/0!</v>
      </c>
      <c r="AH64" s="29" t="e">
        <f t="shared" si="16"/>
        <v>#DIV/0!</v>
      </c>
      <c r="AI64" s="29" t="e">
        <f t="shared" si="16"/>
        <v>#DIV/0!</v>
      </c>
      <c r="AJ64" s="29" t="e">
        <f t="shared" si="16"/>
        <v>#DIV/0!</v>
      </c>
    </row>
    <row r="65" spans="4:36">
      <c r="D65" s="23" t="s">
        <v>183</v>
      </c>
      <c r="E65" s="24">
        <v>12172.6</v>
      </c>
      <c r="F65" s="24">
        <v>14448.2</v>
      </c>
      <c r="G65" s="24">
        <v>12833.1</v>
      </c>
      <c r="H65" s="24">
        <v>12274.688324761801</v>
      </c>
      <c r="I65" s="24">
        <v>11749.9009847978</v>
      </c>
      <c r="J65" s="24">
        <v>11253.6576776723</v>
      </c>
      <c r="K65" s="24">
        <v>10905.741491114601</v>
      </c>
      <c r="L65" s="24">
        <v>10873.5290088073</v>
      </c>
      <c r="M65" s="24">
        <v>10764.399640788701</v>
      </c>
      <c r="N65" s="24">
        <v>10681.1751775346</v>
      </c>
      <c r="O65" s="24">
        <v>10618.381986291801</v>
      </c>
      <c r="P65" s="25">
        <v>0.52980097160209005</v>
      </c>
      <c r="Q65" s="25">
        <v>-0.87795285589070704</v>
      </c>
      <c r="R65" s="25">
        <v>-0.74278184740453901</v>
      </c>
      <c r="S65" s="25">
        <v>-0.13342463004829599</v>
      </c>
      <c r="AG65" s="29" t="e">
        <f t="shared" si="16"/>
        <v>#DIV/0!</v>
      </c>
      <c r="AH65" s="29" t="e">
        <f t="shared" si="16"/>
        <v>#DIV/0!</v>
      </c>
      <c r="AI65" s="29" t="e">
        <f t="shared" si="16"/>
        <v>#DIV/0!</v>
      </c>
      <c r="AJ65" s="29" t="e">
        <f t="shared" si="16"/>
        <v>#DIV/0!</v>
      </c>
    </row>
    <row r="66" spans="4:36">
      <c r="D66" s="23" t="s">
        <v>184</v>
      </c>
      <c r="E66" s="24">
        <v>6518.6</v>
      </c>
      <c r="F66" s="24">
        <v>8159.1</v>
      </c>
      <c r="G66" s="24">
        <v>8214.5</v>
      </c>
      <c r="H66" s="24">
        <v>6454.2470469330101</v>
      </c>
      <c r="I66" s="24">
        <v>7657.1773547762004</v>
      </c>
      <c r="J66" s="24">
        <v>7515.31100368427</v>
      </c>
      <c r="K66" s="24">
        <v>7598.2261502002702</v>
      </c>
      <c r="L66" s="24">
        <v>8112.3020795866896</v>
      </c>
      <c r="M66" s="24">
        <v>8166.4891944895799</v>
      </c>
      <c r="N66" s="24">
        <v>8232.9293471153705</v>
      </c>
      <c r="O66" s="24">
        <v>7782.9354292935996</v>
      </c>
      <c r="P66" s="25">
        <v>2.3393561045354199</v>
      </c>
      <c r="Q66" s="25">
        <v>-0.70011232507158905</v>
      </c>
      <c r="R66" s="25">
        <v>-7.7256197407760102E-2</v>
      </c>
      <c r="S66" s="25">
        <v>0.120165905460867</v>
      </c>
      <c r="U66" t="s">
        <v>60</v>
      </c>
      <c r="AG66" s="29" t="e">
        <f t="shared" si="16"/>
        <v>#DIV/0!</v>
      </c>
      <c r="AH66" s="29" t="e">
        <f t="shared" si="16"/>
        <v>#DIV/0!</v>
      </c>
      <c r="AI66" s="29" t="e">
        <f t="shared" si="16"/>
        <v>#DIV/0!</v>
      </c>
      <c r="AJ66" s="29" t="e">
        <f t="shared" si="16"/>
        <v>#DIV/0!</v>
      </c>
    </row>
    <row r="67" spans="4:36">
      <c r="D67" s="23" t="s">
        <v>186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5">
        <v>0</v>
      </c>
      <c r="Q67" s="25">
        <v>0</v>
      </c>
      <c r="R67" s="25">
        <v>0</v>
      </c>
      <c r="S67" s="25">
        <v>0</v>
      </c>
      <c r="AG67" s="29" t="e">
        <f t="shared" si="16"/>
        <v>#DIV/0!</v>
      </c>
      <c r="AH67" s="29" t="e">
        <f t="shared" si="16"/>
        <v>#DIV/0!</v>
      </c>
      <c r="AI67" s="29" t="e">
        <f t="shared" si="16"/>
        <v>#DIV/0!</v>
      </c>
      <c r="AJ67" s="29" t="e">
        <f t="shared" si="16"/>
        <v>#DIV/0!</v>
      </c>
    </row>
    <row r="68" spans="4:36">
      <c r="D68" s="23" t="s">
        <v>48</v>
      </c>
      <c r="E68" s="24">
        <v>-117.6</v>
      </c>
      <c r="F68" s="24">
        <v>229.1</v>
      </c>
      <c r="G68" s="24">
        <v>200.4</v>
      </c>
      <c r="H68" s="24">
        <v>1060.9364082708801</v>
      </c>
      <c r="I68" s="24">
        <v>439.363171676641</v>
      </c>
      <c r="J68" s="24">
        <v>334.17032107147099</v>
      </c>
      <c r="K68" s="24">
        <v>280.37248060398201</v>
      </c>
      <c r="L68" s="24">
        <v>232.895106410381</v>
      </c>
      <c r="M68" s="24">
        <v>155.584716778737</v>
      </c>
      <c r="N68" s="24">
        <v>175.70369754617801</v>
      </c>
      <c r="O68" s="24">
        <v>205.68566226499499</v>
      </c>
      <c r="P68" s="25">
        <v>0</v>
      </c>
      <c r="Q68" s="25">
        <v>8.1664541985485801</v>
      </c>
      <c r="R68" s="25">
        <v>-4.3926736533438397</v>
      </c>
      <c r="S68" s="25">
        <v>-1.5369165870477901</v>
      </c>
      <c r="U68" t="s">
        <v>85</v>
      </c>
      <c r="AG68" s="29" t="e">
        <f t="shared" si="16"/>
        <v>#DIV/0!</v>
      </c>
      <c r="AH68" s="29" t="e">
        <f t="shared" si="16"/>
        <v>#DIV/0!</v>
      </c>
      <c r="AI68" s="29" t="e">
        <f t="shared" si="16"/>
        <v>#DIV/0!</v>
      </c>
      <c r="AJ68" s="29" t="e">
        <f t="shared" si="16"/>
        <v>#DIV/0!</v>
      </c>
    </row>
    <row r="69" spans="4:36">
      <c r="D69" s="63" t="s">
        <v>188</v>
      </c>
      <c r="E69" s="64">
        <v>6824.9</v>
      </c>
      <c r="F69" s="64">
        <v>7536.7</v>
      </c>
      <c r="G69" s="64">
        <v>9991.1</v>
      </c>
      <c r="H69" s="64">
        <v>9809.8593368451693</v>
      </c>
      <c r="I69" s="64">
        <v>10173.2061267466</v>
      </c>
      <c r="J69" s="64">
        <v>10693.114302313899</v>
      </c>
      <c r="K69" s="64">
        <v>10943.310994187799</v>
      </c>
      <c r="L69" s="64">
        <v>11008.027068784801</v>
      </c>
      <c r="M69" s="64">
        <v>11527.316451663301</v>
      </c>
      <c r="N69" s="64">
        <v>11830.092162324299</v>
      </c>
      <c r="O69" s="64">
        <v>12219.9468732557</v>
      </c>
      <c r="P69" s="25">
        <v>3.8847266443651001</v>
      </c>
      <c r="Q69" s="25">
        <v>0.18079039950817899</v>
      </c>
      <c r="R69" s="25">
        <v>0.73237874774589895</v>
      </c>
      <c r="S69" s="25">
        <v>0.55323072391741901</v>
      </c>
    </row>
    <row r="70" spans="4:36">
      <c r="D70" s="57" t="s">
        <v>190</v>
      </c>
      <c r="E70" s="50">
        <v>1306.0999999999999</v>
      </c>
      <c r="F70" s="50">
        <v>1565.5</v>
      </c>
      <c r="G70" s="50">
        <v>1504.2</v>
      </c>
      <c r="H70" s="50">
        <v>1593.1896106193899</v>
      </c>
      <c r="I70" s="50">
        <v>1492.7493385551099</v>
      </c>
      <c r="J70" s="50">
        <v>1409.99538736613</v>
      </c>
      <c r="K70" s="50">
        <v>1341.0319264478601</v>
      </c>
      <c r="L70" s="50">
        <v>1267.52139072062</v>
      </c>
      <c r="M70" s="50">
        <v>1229.07870884249</v>
      </c>
      <c r="N70" s="50">
        <v>1212.81501076418</v>
      </c>
      <c r="O70" s="50">
        <v>1192.9047918368501</v>
      </c>
      <c r="P70" s="25">
        <v>1.42217400178131</v>
      </c>
      <c r="Q70" s="25">
        <v>-7.6386631249647494E-2</v>
      </c>
      <c r="R70" s="25">
        <v>-1.06607868189701</v>
      </c>
      <c r="S70" s="25">
        <v>-0.58353119283641697</v>
      </c>
    </row>
    <row r="71" spans="4:36">
      <c r="D71" s="57" t="s">
        <v>192</v>
      </c>
      <c r="E71" s="50">
        <v>1718.3</v>
      </c>
      <c r="F71" s="50">
        <v>1716.6</v>
      </c>
      <c r="G71" s="50">
        <v>1849.5</v>
      </c>
      <c r="H71" s="50">
        <v>2036.9140388845501</v>
      </c>
      <c r="I71" s="50">
        <v>2202.34158594378</v>
      </c>
      <c r="J71" s="50">
        <v>2306.2401367365201</v>
      </c>
      <c r="K71" s="50">
        <v>2381.6297438413299</v>
      </c>
      <c r="L71" s="50">
        <v>2442.8988780739901</v>
      </c>
      <c r="M71" s="50">
        <v>2494.0851893410399</v>
      </c>
      <c r="N71" s="50">
        <v>2522.4777095202298</v>
      </c>
      <c r="O71" s="50">
        <v>2512.7119917332798</v>
      </c>
      <c r="P71" s="25">
        <v>0.73851267580420399</v>
      </c>
      <c r="Q71" s="25">
        <v>1.7613908983317801</v>
      </c>
      <c r="R71" s="25">
        <v>0.78570930264980599</v>
      </c>
      <c r="S71" s="25">
        <v>0.26824726580070302</v>
      </c>
    </row>
    <row r="72" spans="4:36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25"/>
      <c r="Q72" s="25"/>
      <c r="R72" s="25"/>
      <c r="S72" s="25"/>
    </row>
    <row r="73" spans="4:36">
      <c r="D73" s="68" t="s">
        <v>196</v>
      </c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25"/>
      <c r="Q73" s="25"/>
      <c r="R73" s="25"/>
      <c r="S73" s="25"/>
      <c r="AG73" s="29" t="e">
        <f t="shared" ref="AG73:AJ78" si="17">X73/AB73</f>
        <v>#DIV/0!</v>
      </c>
      <c r="AH73" s="29" t="e">
        <f t="shared" si="17"/>
        <v>#DIV/0!</v>
      </c>
      <c r="AI73" s="29" t="e">
        <f t="shared" si="17"/>
        <v>#DIV/0!</v>
      </c>
      <c r="AJ73" s="29" t="e">
        <f t="shared" si="17"/>
        <v>#DIV/0!</v>
      </c>
    </row>
    <row r="74" spans="4:36">
      <c r="D74" s="49" t="s">
        <v>198</v>
      </c>
      <c r="E74" s="69">
        <v>9776.1</v>
      </c>
      <c r="F74" s="69">
        <v>10012.200000000001</v>
      </c>
      <c r="G74" s="69">
        <v>12114.1</v>
      </c>
      <c r="H74" s="69">
        <v>11277.014774532099</v>
      </c>
      <c r="I74" s="69">
        <v>11443.3453799785</v>
      </c>
      <c r="J74" s="69">
        <v>11166.579215844</v>
      </c>
      <c r="K74" s="69">
        <v>10936.029136854901</v>
      </c>
      <c r="L74" s="69">
        <v>10619.838570834199</v>
      </c>
      <c r="M74" s="69">
        <v>10945.806838902699</v>
      </c>
      <c r="N74" s="69">
        <v>11175.9891213767</v>
      </c>
      <c r="O74" s="69">
        <v>11534.1528094315</v>
      </c>
      <c r="P74" s="25">
        <v>2.1674495189521101</v>
      </c>
      <c r="Q74" s="25">
        <v>-0.56799767791397804</v>
      </c>
      <c r="R74" s="25">
        <v>-0.45242951816003601</v>
      </c>
      <c r="S74" s="25">
        <v>0.26660315576545501</v>
      </c>
      <c r="AG74" s="29" t="e">
        <f t="shared" si="17"/>
        <v>#DIV/0!</v>
      </c>
      <c r="AH74" s="29" t="e">
        <f t="shared" si="17"/>
        <v>#DIV/0!</v>
      </c>
      <c r="AI74" s="29" t="e">
        <f t="shared" si="17"/>
        <v>#DIV/0!</v>
      </c>
      <c r="AJ74" s="29" t="e">
        <f t="shared" si="17"/>
        <v>#DIV/0!</v>
      </c>
    </row>
    <row r="75" spans="4:36">
      <c r="D75" s="23" t="s">
        <v>181</v>
      </c>
      <c r="E75" s="73">
        <v>292.599999999999</v>
      </c>
      <c r="F75" s="73">
        <v>0.20000000000033</v>
      </c>
      <c r="G75" s="73">
        <v>0.19999999999999099</v>
      </c>
      <c r="H75" s="73">
        <v>0</v>
      </c>
      <c r="I75" s="73">
        <v>0</v>
      </c>
      <c r="J75" s="73">
        <v>0</v>
      </c>
      <c r="K75" s="73">
        <v>0</v>
      </c>
      <c r="L75" s="73">
        <v>0</v>
      </c>
      <c r="M75" s="73">
        <v>0</v>
      </c>
      <c r="N75" s="73">
        <v>0</v>
      </c>
      <c r="O75" s="73">
        <v>0</v>
      </c>
      <c r="P75" s="25">
        <v>-51.752416391113698</v>
      </c>
      <c r="Q75" s="25">
        <v>-100</v>
      </c>
      <c r="R75" s="25">
        <v>0</v>
      </c>
      <c r="S75" s="25">
        <v>0</v>
      </c>
      <c r="AG75" s="29" t="e">
        <f t="shared" si="17"/>
        <v>#DIV/0!</v>
      </c>
      <c r="AH75" s="29" t="e">
        <f t="shared" si="17"/>
        <v>#DIV/0!</v>
      </c>
      <c r="AI75" s="29" t="e">
        <f t="shared" si="17"/>
        <v>#DIV/0!</v>
      </c>
      <c r="AJ75" s="29" t="e">
        <f t="shared" si="17"/>
        <v>#DIV/0!</v>
      </c>
    </row>
    <row r="76" spans="4:36">
      <c r="D76" s="23" t="s">
        <v>183</v>
      </c>
      <c r="E76" s="73">
        <v>1091.5</v>
      </c>
      <c r="F76" s="73">
        <v>1002.9</v>
      </c>
      <c r="G76" s="73">
        <v>1036.3</v>
      </c>
      <c r="H76" s="73">
        <v>812.64634793024595</v>
      </c>
      <c r="I76" s="73">
        <v>673.39384240301194</v>
      </c>
      <c r="J76" s="73">
        <v>343.90406666351799</v>
      </c>
      <c r="K76" s="73">
        <v>112.33201255875299</v>
      </c>
      <c r="L76" s="73">
        <v>38.180858002619402</v>
      </c>
      <c r="M76" s="73">
        <v>0</v>
      </c>
      <c r="N76" s="73">
        <v>0</v>
      </c>
      <c r="O76" s="73">
        <v>0</v>
      </c>
      <c r="P76" s="25">
        <v>-0.51761791562797699</v>
      </c>
      <c r="Q76" s="25">
        <v>-4.21922114078167</v>
      </c>
      <c r="R76" s="25">
        <v>-16.396696227348201</v>
      </c>
      <c r="S76" s="25">
        <v>-100</v>
      </c>
      <c r="AG76" s="29" t="e">
        <f t="shared" si="17"/>
        <v>#DIV/0!</v>
      </c>
      <c r="AH76" s="29" t="e">
        <f t="shared" si="17"/>
        <v>#DIV/0!</v>
      </c>
      <c r="AI76" s="29" t="e">
        <f t="shared" si="17"/>
        <v>#DIV/0!</v>
      </c>
      <c r="AJ76" s="29" t="e">
        <f t="shared" si="17"/>
        <v>#DIV/0!</v>
      </c>
    </row>
    <row r="77" spans="4:36">
      <c r="D77" s="23" t="s">
        <v>184</v>
      </c>
      <c r="E77" s="73">
        <v>1532.8</v>
      </c>
      <c r="F77" s="73">
        <v>1404.2</v>
      </c>
      <c r="G77" s="73">
        <v>1486</v>
      </c>
      <c r="H77" s="73">
        <v>1269.8068824289201</v>
      </c>
      <c r="I77" s="73">
        <v>1146.06910984396</v>
      </c>
      <c r="J77" s="73">
        <v>673.75473102683304</v>
      </c>
      <c r="K77" s="73">
        <v>457.96166534593698</v>
      </c>
      <c r="L77" s="73">
        <v>157.457219506661</v>
      </c>
      <c r="M77" s="73">
        <v>48.837300924393297</v>
      </c>
      <c r="N77" s="73">
        <v>0</v>
      </c>
      <c r="O77" s="73">
        <v>0</v>
      </c>
      <c r="P77" s="25">
        <v>-0.30960156224029101</v>
      </c>
      <c r="Q77" s="25">
        <v>-2.5640554101322302</v>
      </c>
      <c r="R77" s="25">
        <v>-8.7649253172002606</v>
      </c>
      <c r="S77" s="25">
        <v>-100</v>
      </c>
      <c r="AG77" s="29" t="e">
        <f t="shared" si="17"/>
        <v>#DIV/0!</v>
      </c>
      <c r="AH77" s="29" t="e">
        <f t="shared" si="17"/>
        <v>#DIV/0!</v>
      </c>
      <c r="AI77" s="29" t="e">
        <f t="shared" si="17"/>
        <v>#DIV/0!</v>
      </c>
      <c r="AJ77" s="29" t="e">
        <f t="shared" si="17"/>
        <v>#DIV/0!</v>
      </c>
    </row>
    <row r="78" spans="4:36">
      <c r="D78" s="23" t="s">
        <v>186</v>
      </c>
      <c r="E78" s="73">
        <v>0</v>
      </c>
      <c r="F78" s="73">
        <v>0</v>
      </c>
      <c r="G78" s="73">
        <v>0</v>
      </c>
      <c r="H78" s="73">
        <v>0</v>
      </c>
      <c r="I78" s="73">
        <v>0</v>
      </c>
      <c r="J78" s="73">
        <v>0</v>
      </c>
      <c r="K78" s="73">
        <v>0</v>
      </c>
      <c r="L78" s="73">
        <v>0</v>
      </c>
      <c r="M78" s="73">
        <v>0</v>
      </c>
      <c r="N78" s="73">
        <v>0</v>
      </c>
      <c r="O78" s="73">
        <v>0</v>
      </c>
      <c r="P78" s="25">
        <v>0</v>
      </c>
      <c r="Q78" s="25">
        <v>0</v>
      </c>
      <c r="R78" s="25">
        <v>0</v>
      </c>
      <c r="S78" s="25">
        <v>0</v>
      </c>
      <c r="AG78" s="29" t="e">
        <f t="shared" si="17"/>
        <v>#DIV/0!</v>
      </c>
      <c r="AH78" s="29" t="e">
        <f t="shared" si="17"/>
        <v>#DIV/0!</v>
      </c>
      <c r="AI78" s="29" t="e">
        <f t="shared" si="17"/>
        <v>#DIV/0!</v>
      </c>
      <c r="AJ78" s="29" t="e">
        <f t="shared" si="17"/>
        <v>#DIV/0!</v>
      </c>
    </row>
    <row r="79" spans="4:36">
      <c r="D79" s="23" t="s">
        <v>203</v>
      </c>
      <c r="E79" s="73">
        <v>6859.2</v>
      </c>
      <c r="F79" s="73">
        <v>7604.9</v>
      </c>
      <c r="G79" s="73">
        <v>9591.6</v>
      </c>
      <c r="H79" s="73">
        <v>9194.5615441729697</v>
      </c>
      <c r="I79" s="73">
        <v>9623.8824277315398</v>
      </c>
      <c r="J79" s="73">
        <v>10148.920418153701</v>
      </c>
      <c r="K79" s="73">
        <v>10365.735458950199</v>
      </c>
      <c r="L79" s="73">
        <v>10424.200493324901</v>
      </c>
      <c r="M79" s="73">
        <v>10896.969537978301</v>
      </c>
      <c r="N79" s="73">
        <v>11175.9891213767</v>
      </c>
      <c r="O79" s="73">
        <v>11534.1528094315</v>
      </c>
      <c r="P79" s="25">
        <v>3.4098145497221801</v>
      </c>
      <c r="Q79" s="25">
        <v>3.36061114893038E-2</v>
      </c>
      <c r="R79" s="25">
        <v>0.745343331356496</v>
      </c>
      <c r="S79" s="25">
        <v>0.535462223545635</v>
      </c>
      <c r="U79" t="s">
        <v>146</v>
      </c>
      <c r="X79">
        <f t="shared" ref="X79:AE79" si="18">SUM(X73:X74)</f>
        <v>0</v>
      </c>
      <c r="Y79">
        <f t="shared" si="18"/>
        <v>0</v>
      </c>
      <c r="Z79">
        <f t="shared" si="18"/>
        <v>0</v>
      </c>
      <c r="AA79">
        <f t="shared" si="18"/>
        <v>0</v>
      </c>
      <c r="AB79">
        <f t="shared" si="18"/>
        <v>0</v>
      </c>
      <c r="AC79">
        <f t="shared" si="18"/>
        <v>0</v>
      </c>
      <c r="AD79">
        <f t="shared" si="18"/>
        <v>0</v>
      </c>
      <c r="AE79">
        <f t="shared" si="18"/>
        <v>0</v>
      </c>
    </row>
    <row r="80" spans="4:36">
      <c r="D80" s="74" t="s">
        <v>205</v>
      </c>
      <c r="E80" s="73">
        <v>3597.2</v>
      </c>
      <c r="F80" s="73">
        <v>3153.7</v>
      </c>
      <c r="G80" s="73">
        <v>3298.6</v>
      </c>
      <c r="H80" s="73">
        <v>3526.7915116235699</v>
      </c>
      <c r="I80" s="73">
        <v>3716.5517710967702</v>
      </c>
      <c r="J80" s="73">
        <v>3829.8751308065498</v>
      </c>
      <c r="K80" s="73">
        <v>3831.5243513226001</v>
      </c>
      <c r="L80" s="73">
        <v>3865.7875242899199</v>
      </c>
      <c r="M80" s="73">
        <v>3878.1630687916499</v>
      </c>
      <c r="N80" s="73">
        <v>3879.0065495581398</v>
      </c>
      <c r="O80" s="73">
        <v>3936.7267747729002</v>
      </c>
      <c r="P80" s="25">
        <v>-0.862832340461261</v>
      </c>
      <c r="Q80" s="25">
        <v>1.2001259988275499</v>
      </c>
      <c r="R80" s="25">
        <v>0.30512889153782002</v>
      </c>
      <c r="S80" s="25">
        <v>0.13552617002383599</v>
      </c>
    </row>
    <row r="81" spans="4:19">
      <c r="D81" s="74" t="s">
        <v>206</v>
      </c>
      <c r="E81" s="73">
        <v>3168.7</v>
      </c>
      <c r="F81" s="73">
        <v>4214.1000000000004</v>
      </c>
      <c r="G81" s="73">
        <v>5913.5</v>
      </c>
      <c r="H81" s="73">
        <v>5018.3166346791204</v>
      </c>
      <c r="I81" s="73">
        <v>5101.4930305568796</v>
      </c>
      <c r="J81" s="73">
        <v>5029.22280804192</v>
      </c>
      <c r="K81" s="73">
        <v>4966.5495544604501</v>
      </c>
      <c r="L81" s="73">
        <v>4828.8058897961</v>
      </c>
      <c r="M81" s="73">
        <v>5121.4511835840904</v>
      </c>
      <c r="N81" s="73">
        <v>5201.1377887516301</v>
      </c>
      <c r="O81" s="73">
        <v>5320.3762483801002</v>
      </c>
      <c r="P81" s="25">
        <v>6.4379123313791604</v>
      </c>
      <c r="Q81" s="25">
        <v>-1.4661914285223301</v>
      </c>
      <c r="R81" s="25">
        <v>-0.26772002513631998</v>
      </c>
      <c r="S81" s="25">
        <v>0.34468608026445602</v>
      </c>
    </row>
    <row r="82" spans="4:19">
      <c r="D82" s="74" t="s">
        <v>207</v>
      </c>
      <c r="E82" s="73">
        <v>5.8</v>
      </c>
      <c r="F82" s="73">
        <v>114.4</v>
      </c>
      <c r="G82" s="73">
        <v>177.5</v>
      </c>
      <c r="H82" s="73">
        <v>340.406248888964</v>
      </c>
      <c r="I82" s="73">
        <v>382.065414743095</v>
      </c>
      <c r="J82" s="73">
        <v>621.83560790254</v>
      </c>
      <c r="K82" s="73">
        <v>864.28077312309904</v>
      </c>
      <c r="L82" s="73">
        <v>873.85156093685305</v>
      </c>
      <c r="M82" s="73">
        <v>938.65038324976501</v>
      </c>
      <c r="N82" s="73">
        <v>1169.4510241090099</v>
      </c>
      <c r="O82" s="73">
        <v>1325.2834734642499</v>
      </c>
      <c r="P82" s="25">
        <v>40.791694650147498</v>
      </c>
      <c r="Q82" s="25">
        <v>7.9677216422233004</v>
      </c>
      <c r="R82" s="25">
        <v>8.5054900029260203</v>
      </c>
      <c r="S82" s="25">
        <v>2.16042630509765</v>
      </c>
    </row>
    <row r="83" spans="4:19">
      <c r="D83" s="74" t="s">
        <v>209</v>
      </c>
      <c r="E83" s="73">
        <v>62.7</v>
      </c>
      <c r="F83" s="73">
        <v>92.9</v>
      </c>
      <c r="G83" s="73">
        <v>167.5</v>
      </c>
      <c r="H83" s="73">
        <v>259.76014631456701</v>
      </c>
      <c r="I83" s="73">
        <v>360.133376870701</v>
      </c>
      <c r="J83" s="73">
        <v>582.38470161915495</v>
      </c>
      <c r="K83" s="73">
        <v>574.646068552938</v>
      </c>
      <c r="L83" s="73">
        <v>632.82487135339295</v>
      </c>
      <c r="M83" s="73">
        <v>668.04886893126104</v>
      </c>
      <c r="N83" s="73">
        <v>718.883661233878</v>
      </c>
      <c r="O83" s="73">
        <v>827.31585721070098</v>
      </c>
      <c r="P83" s="25">
        <v>10.325200923532901</v>
      </c>
      <c r="Q83" s="25">
        <v>7.9555206302172499</v>
      </c>
      <c r="R83" s="25">
        <v>4.7836944430608597</v>
      </c>
      <c r="S83" s="25">
        <v>1.83886382781007</v>
      </c>
    </row>
    <row r="84" spans="4:19">
      <c r="D84" s="74" t="s">
        <v>211</v>
      </c>
      <c r="E84" s="75">
        <v>24.8</v>
      </c>
      <c r="F84" s="75">
        <v>29.8</v>
      </c>
      <c r="G84" s="75">
        <v>34.5</v>
      </c>
      <c r="H84" s="75">
        <v>49.287002666753601</v>
      </c>
      <c r="I84" s="75">
        <v>63.638834464102104</v>
      </c>
      <c r="J84" s="75">
        <v>85.602169783525298</v>
      </c>
      <c r="K84" s="75">
        <v>128.73471149108201</v>
      </c>
      <c r="L84" s="75">
        <v>222.930646948684</v>
      </c>
      <c r="M84" s="75">
        <v>290.65603342158897</v>
      </c>
      <c r="N84" s="75">
        <v>207.51009772399701</v>
      </c>
      <c r="O84" s="75">
        <v>124.450455603558</v>
      </c>
      <c r="P84" s="25">
        <v>3.3562494479080902</v>
      </c>
      <c r="Q84" s="25">
        <v>6.3139641784396598</v>
      </c>
      <c r="R84" s="25">
        <v>7.2994126577467799</v>
      </c>
      <c r="S84" s="25">
        <v>-0.16908737120255901</v>
      </c>
    </row>
    <row r="85" spans="4:19">
      <c r="D85" s="57" t="s">
        <v>213</v>
      </c>
      <c r="E85" s="69">
        <v>18969.8</v>
      </c>
      <c r="F85" s="69">
        <v>24517.3</v>
      </c>
      <c r="G85" s="69">
        <v>21576.799999999999</v>
      </c>
      <c r="H85" s="69">
        <v>21656.175627152501</v>
      </c>
      <c r="I85" s="69">
        <v>21913.3555140155</v>
      </c>
      <c r="J85" s="69">
        <v>21809.042424999701</v>
      </c>
      <c r="K85" s="69">
        <v>21738.481277948598</v>
      </c>
      <c r="L85" s="69">
        <v>21498.817750652699</v>
      </c>
      <c r="M85" s="69">
        <v>21216.3586164677</v>
      </c>
      <c r="N85" s="69">
        <v>21083.5399594474</v>
      </c>
      <c r="O85" s="69">
        <v>20495.114753645001</v>
      </c>
      <c r="P85" s="25">
        <v>1.2960308377440799</v>
      </c>
      <c r="Q85" s="25">
        <v>0.15489612413641701</v>
      </c>
      <c r="R85" s="25">
        <v>-8.0090619677275501E-2</v>
      </c>
      <c r="S85" s="25">
        <v>-0.29405415030781001</v>
      </c>
    </row>
    <row r="86" spans="4:19">
      <c r="D86" s="23" t="s">
        <v>181</v>
      </c>
      <c r="E86" s="73">
        <v>3018.6</v>
      </c>
      <c r="F86" s="73">
        <v>3970.5</v>
      </c>
      <c r="G86" s="73">
        <v>3358</v>
      </c>
      <c r="H86" s="73">
        <v>3333.4592848738398</v>
      </c>
      <c r="I86" s="73">
        <v>3337.05325599669</v>
      </c>
      <c r="J86" s="73">
        <v>3179.3683361017702</v>
      </c>
      <c r="K86" s="73">
        <v>2946.8592986967101</v>
      </c>
      <c r="L86" s="73">
        <v>1891.9030578977799</v>
      </c>
      <c r="M86" s="73">
        <v>1548.3754516501201</v>
      </c>
      <c r="N86" s="73">
        <v>1339.62869630362</v>
      </c>
      <c r="O86" s="73">
        <v>1202.3176119703701</v>
      </c>
      <c r="P86" s="25">
        <v>1.07122103331145</v>
      </c>
      <c r="Q86" s="25">
        <v>-6.2554424253113999E-2</v>
      </c>
      <c r="R86" s="25">
        <v>-1.2357827104997801</v>
      </c>
      <c r="S86" s="25">
        <v>-4.3834674312263804</v>
      </c>
    </row>
    <row r="87" spans="4:19">
      <c r="D87" s="23" t="s">
        <v>183</v>
      </c>
      <c r="E87" s="73">
        <v>10850.2</v>
      </c>
      <c r="F87" s="73">
        <v>13203.7</v>
      </c>
      <c r="G87" s="73">
        <v>11509.8</v>
      </c>
      <c r="H87" s="73">
        <v>11462.041976831501</v>
      </c>
      <c r="I87" s="73">
        <v>11076.507142394799</v>
      </c>
      <c r="J87" s="73">
        <v>10909.7536110088</v>
      </c>
      <c r="K87" s="73">
        <v>10793.409478555899</v>
      </c>
      <c r="L87" s="73">
        <v>10835.348150804701</v>
      </c>
      <c r="M87" s="73">
        <v>10764.399640788701</v>
      </c>
      <c r="N87" s="73">
        <v>10681.1751775346</v>
      </c>
      <c r="O87" s="73">
        <v>10618.381986291801</v>
      </c>
      <c r="P87" s="25">
        <v>0.591898169419669</v>
      </c>
      <c r="Q87" s="25">
        <v>-0.38298926438603598</v>
      </c>
      <c r="R87" s="25">
        <v>-0.25857189917572998</v>
      </c>
      <c r="S87" s="25">
        <v>-8.1711925249883202E-2</v>
      </c>
    </row>
    <row r="88" spans="4:19">
      <c r="D88" s="74" t="s">
        <v>217</v>
      </c>
      <c r="E88" s="73">
        <v>7791.1</v>
      </c>
      <c r="F88" s="73">
        <v>8099.6</v>
      </c>
      <c r="G88" s="73">
        <v>7010.5</v>
      </c>
      <c r="H88" s="73">
        <v>8000.9921718858805</v>
      </c>
      <c r="I88" s="73">
        <v>7820.5996618148301</v>
      </c>
      <c r="J88" s="73">
        <v>7856.4416114458199</v>
      </c>
      <c r="K88" s="73">
        <v>7859.2403720958901</v>
      </c>
      <c r="L88" s="73">
        <v>7888.9174867523898</v>
      </c>
      <c r="M88" s="73">
        <v>7824.8214877846503</v>
      </c>
      <c r="N88" s="73">
        <v>7757.1151950476296</v>
      </c>
      <c r="O88" s="73">
        <v>7686.4877582092904</v>
      </c>
      <c r="P88" s="25">
        <v>-1.05017704132947</v>
      </c>
      <c r="Q88" s="25">
        <v>1.09952290164592</v>
      </c>
      <c r="R88" s="25">
        <v>4.9299371001887402E-2</v>
      </c>
      <c r="S88" s="25">
        <v>-0.11106830477426401</v>
      </c>
    </row>
    <row r="89" spans="4:19">
      <c r="D89" s="74" t="s">
        <v>219</v>
      </c>
      <c r="E89" s="73">
        <v>3059.1</v>
      </c>
      <c r="F89" s="73">
        <v>5104.1000000000004</v>
      </c>
      <c r="G89" s="73">
        <v>4499.3</v>
      </c>
      <c r="H89" s="73">
        <v>3461.0498049456501</v>
      </c>
      <c r="I89" s="73">
        <v>3255.9074805799801</v>
      </c>
      <c r="J89" s="73">
        <v>3053.31199956299</v>
      </c>
      <c r="K89" s="73">
        <v>2934.16910645999</v>
      </c>
      <c r="L89" s="73">
        <v>2946.43066405234</v>
      </c>
      <c r="M89" s="73">
        <v>2939.5781530040699</v>
      </c>
      <c r="N89" s="73">
        <v>2924.05998248694</v>
      </c>
      <c r="O89" s="73">
        <v>2931.8942280825199</v>
      </c>
      <c r="P89" s="25">
        <v>3.9333983373115902</v>
      </c>
      <c r="Q89" s="25">
        <v>-3.18275721690702</v>
      </c>
      <c r="R89" s="25">
        <v>-1.03507304244955</v>
      </c>
      <c r="S89" s="25">
        <v>-3.8779574172420599E-3</v>
      </c>
    </row>
    <row r="90" spans="4:19">
      <c r="D90" s="23" t="s">
        <v>184</v>
      </c>
      <c r="E90" s="73">
        <v>5252.9</v>
      </c>
      <c r="F90" s="73">
        <v>7152.5</v>
      </c>
      <c r="G90" s="73">
        <v>6114.5</v>
      </c>
      <c r="H90" s="73">
        <v>5184.4401645040898</v>
      </c>
      <c r="I90" s="73">
        <v>6511.1082449322403</v>
      </c>
      <c r="J90" s="73">
        <v>6841.5562726574399</v>
      </c>
      <c r="K90" s="73">
        <v>7140.2644848543296</v>
      </c>
      <c r="L90" s="73">
        <v>7954.8448600800302</v>
      </c>
      <c r="M90" s="73">
        <v>8117.6518935651802</v>
      </c>
      <c r="N90" s="73">
        <v>8232.9293471153705</v>
      </c>
      <c r="O90" s="73">
        <v>7782.9354292935996</v>
      </c>
      <c r="P90" s="25">
        <v>1.5304197395654899</v>
      </c>
      <c r="Q90" s="25">
        <v>0.63044579017408298</v>
      </c>
      <c r="R90" s="25">
        <v>0.92666862503023595</v>
      </c>
      <c r="S90" s="25">
        <v>0.43184855599720501</v>
      </c>
    </row>
    <row r="91" spans="4:19">
      <c r="D91" s="23" t="s">
        <v>48</v>
      </c>
      <c r="E91" s="73">
        <v>-117.6</v>
      </c>
      <c r="F91" s="73">
        <v>229.1</v>
      </c>
      <c r="G91" s="73">
        <v>200.4</v>
      </c>
      <c r="H91" s="73">
        <v>1060.9364082708801</v>
      </c>
      <c r="I91" s="73">
        <v>439.36317167663998</v>
      </c>
      <c r="J91" s="73">
        <v>334.17032107147099</v>
      </c>
      <c r="K91" s="73">
        <v>280.37248060398201</v>
      </c>
      <c r="L91" s="73">
        <v>232.89510641038299</v>
      </c>
      <c r="M91" s="73">
        <v>155.58471677873601</v>
      </c>
      <c r="N91" s="73">
        <v>175.70369754617701</v>
      </c>
      <c r="O91" s="73">
        <v>205.68566226499701</v>
      </c>
      <c r="P91" s="25">
        <v>0</v>
      </c>
      <c r="Q91" s="25">
        <v>8.1664541985485801</v>
      </c>
      <c r="R91" s="25">
        <v>-4.39267365334383</v>
      </c>
      <c r="S91" s="25">
        <v>-1.5369165870477399</v>
      </c>
    </row>
    <row r="92" spans="4:19">
      <c r="D92" s="49" t="s">
        <v>226</v>
      </c>
      <c r="E92" s="78">
        <v>65.422804070948501</v>
      </c>
      <c r="F92" s="78">
        <v>71.326789475521593</v>
      </c>
      <c r="G92" s="78">
        <v>62.3542059207712</v>
      </c>
      <c r="H92" s="78">
        <v>65.757903692333201</v>
      </c>
      <c r="I92" s="78">
        <v>65.694013276837794</v>
      </c>
      <c r="J92" s="78">
        <v>66.136865174323006</v>
      </c>
      <c r="K92" s="78">
        <v>66.530396330283807</v>
      </c>
      <c r="L92" s="78">
        <v>66.935607565470605</v>
      </c>
      <c r="M92" s="78">
        <v>65.966822557108003</v>
      </c>
      <c r="N92" s="78">
        <v>65.356006613190303</v>
      </c>
      <c r="O92" s="78">
        <v>63.9887088060417</v>
      </c>
      <c r="P92" s="25"/>
      <c r="Q92" s="25"/>
      <c r="R92" s="25"/>
      <c r="S92" s="25"/>
    </row>
    <row r="93" spans="4:19">
      <c r="D93" s="4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25"/>
      <c r="Q93" s="25"/>
      <c r="R93" s="25"/>
      <c r="S93" s="25"/>
    </row>
    <row r="94" spans="4:19">
      <c r="D94" s="68" t="s">
        <v>229</v>
      </c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25"/>
      <c r="Q94" s="25"/>
      <c r="R94" s="25"/>
      <c r="S94" s="25"/>
    </row>
    <row r="95" spans="4:19">
      <c r="D95" s="49" t="s">
        <v>231</v>
      </c>
      <c r="E95" s="50">
        <v>59873.999980020002</v>
      </c>
      <c r="F95" s="50">
        <v>64065.999980020002</v>
      </c>
      <c r="G95" s="50">
        <v>67933</v>
      </c>
      <c r="H95" s="50">
        <v>59617.646095812903</v>
      </c>
      <c r="I95" s="50">
        <v>71620.630572723094</v>
      </c>
      <c r="J95" s="50">
        <v>75843.922842815606</v>
      </c>
      <c r="K95" s="50">
        <v>79932.757305083607</v>
      </c>
      <c r="L95" s="50">
        <v>81673.692576675006</v>
      </c>
      <c r="M95" s="50">
        <v>85747.261273415803</v>
      </c>
      <c r="N95" s="50">
        <v>89063.562333388894</v>
      </c>
      <c r="O95" s="50">
        <v>90574.548171903603</v>
      </c>
      <c r="P95" s="25">
        <v>1.2708026487400199</v>
      </c>
      <c r="Q95" s="25">
        <v>0.53001205680784902</v>
      </c>
      <c r="R95" s="25">
        <v>1.10407621381163</v>
      </c>
      <c r="S95" s="25">
        <v>0.62689431250322303</v>
      </c>
    </row>
    <row r="96" spans="4:19">
      <c r="D96" s="23" t="s">
        <v>233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5">
        <v>0</v>
      </c>
      <c r="Q96" s="25">
        <v>0</v>
      </c>
      <c r="R96" s="25">
        <v>0</v>
      </c>
      <c r="S96" s="25">
        <v>0</v>
      </c>
    </row>
    <row r="97" spans="3:19">
      <c r="D97" s="23" t="s">
        <v>181</v>
      </c>
      <c r="E97" s="24">
        <v>5727</v>
      </c>
      <c r="F97" s="24">
        <v>7165</v>
      </c>
      <c r="G97" s="24">
        <v>4918</v>
      </c>
      <c r="H97" s="24">
        <v>4193.8964184914403</v>
      </c>
      <c r="I97" s="24">
        <v>4939.5315773277198</v>
      </c>
      <c r="J97" s="24">
        <v>3318.8755322349002</v>
      </c>
      <c r="K97" s="24">
        <v>3289.83400329082</v>
      </c>
      <c r="L97" s="24">
        <v>89.655202153400495</v>
      </c>
      <c r="M97" s="24">
        <v>82.428328573959604</v>
      </c>
      <c r="N97" s="24">
        <v>30.141512620885301</v>
      </c>
      <c r="O97" s="24">
        <v>29.541836407857001</v>
      </c>
      <c r="P97" s="25">
        <v>-1.5113614331549901</v>
      </c>
      <c r="Q97" s="25">
        <v>4.3695148616174101E-2</v>
      </c>
      <c r="R97" s="25">
        <v>-3.9828475928609399</v>
      </c>
      <c r="S97" s="25">
        <v>-20.993435914144001</v>
      </c>
    </row>
    <row r="98" spans="3:19">
      <c r="D98" s="23" t="s">
        <v>236</v>
      </c>
      <c r="E98" s="24">
        <v>1701.9999800200001</v>
      </c>
      <c r="F98" s="24">
        <v>1640.9999800200001</v>
      </c>
      <c r="G98" s="24">
        <v>1273</v>
      </c>
      <c r="H98" s="24">
        <v>208.076353233047</v>
      </c>
      <c r="I98" s="24">
        <v>215.40096285487601</v>
      </c>
      <c r="J98" s="24">
        <v>77.029533325009496</v>
      </c>
      <c r="K98" s="24">
        <v>67.414650426081394</v>
      </c>
      <c r="L98" s="24">
        <v>63.660709629165297</v>
      </c>
      <c r="M98" s="24">
        <v>0.293694992329604</v>
      </c>
      <c r="N98" s="24">
        <v>0.293694992329604</v>
      </c>
      <c r="O98" s="24">
        <v>0</v>
      </c>
      <c r="P98" s="25">
        <v>-2.8625082014108201</v>
      </c>
      <c r="Q98" s="25">
        <v>-16.277550983926499</v>
      </c>
      <c r="R98" s="25">
        <v>-10.967070251339701</v>
      </c>
      <c r="S98" s="25">
        <v>-100</v>
      </c>
    </row>
    <row r="99" spans="3:19">
      <c r="D99" s="23" t="s">
        <v>239</v>
      </c>
      <c r="E99" s="24">
        <v>8864</v>
      </c>
      <c r="F99" s="24">
        <v>14347</v>
      </c>
      <c r="G99" s="24">
        <v>16137</v>
      </c>
      <c r="H99" s="24">
        <v>6773.8910056218801</v>
      </c>
      <c r="I99" s="24">
        <v>14077.578124885</v>
      </c>
      <c r="J99" s="24">
        <v>13564.9691687249</v>
      </c>
      <c r="K99" s="24">
        <v>14589.336481603699</v>
      </c>
      <c r="L99" s="24">
        <v>19402.5962730717</v>
      </c>
      <c r="M99" s="24">
        <v>19936.604597157901</v>
      </c>
      <c r="N99" s="24">
        <v>19782.744635283299</v>
      </c>
      <c r="O99" s="24">
        <v>17463.7816549991</v>
      </c>
      <c r="P99" s="25">
        <v>6.1742752502444498</v>
      </c>
      <c r="Q99" s="25">
        <v>-1.35603629765443</v>
      </c>
      <c r="R99" s="25">
        <v>0.357713835533224</v>
      </c>
      <c r="S99" s="25">
        <v>0.90324603183635799</v>
      </c>
    </row>
    <row r="100" spans="3:19">
      <c r="D100" s="23" t="s">
        <v>240</v>
      </c>
      <c r="E100" s="24">
        <v>1675</v>
      </c>
      <c r="F100" s="24">
        <v>2882</v>
      </c>
      <c r="G100" s="24">
        <v>5088</v>
      </c>
      <c r="H100" s="24">
        <v>2591.5291228024698</v>
      </c>
      <c r="I100" s="24">
        <v>3543.9075675797199</v>
      </c>
      <c r="J100" s="24">
        <v>3982.9992025598899</v>
      </c>
      <c r="K100" s="24">
        <v>4060.2141588221498</v>
      </c>
      <c r="L100" s="24">
        <v>3580.5438463436499</v>
      </c>
      <c r="M100" s="24">
        <v>6204.8177155616004</v>
      </c>
      <c r="N100" s="24">
        <v>6646.1773876076604</v>
      </c>
      <c r="O100" s="24">
        <v>6823.8505731282003</v>
      </c>
      <c r="P100" s="25">
        <v>11.7514660098685</v>
      </c>
      <c r="Q100" s="25">
        <v>-3.55193292210173</v>
      </c>
      <c r="R100" s="25">
        <v>1.3693485540596999</v>
      </c>
      <c r="S100" s="25">
        <v>2.62992897289385</v>
      </c>
    </row>
    <row r="101" spans="3:19">
      <c r="D101" s="23" t="s">
        <v>242</v>
      </c>
      <c r="E101" s="24">
        <v>41836</v>
      </c>
      <c r="F101" s="24">
        <v>36677</v>
      </c>
      <c r="G101" s="24">
        <v>38363</v>
      </c>
      <c r="H101" s="24">
        <v>41009.203623529902</v>
      </c>
      <c r="I101" s="24">
        <v>43215.7182685671</v>
      </c>
      <c r="J101" s="24">
        <v>44533.431753564502</v>
      </c>
      <c r="K101" s="24">
        <v>44552.608736309303</v>
      </c>
      <c r="L101" s="24">
        <v>44951.017724301397</v>
      </c>
      <c r="M101" s="24">
        <v>45094.919404553999</v>
      </c>
      <c r="N101" s="24">
        <v>45104.727320443497</v>
      </c>
      <c r="O101" s="24">
        <v>45775.892729917497</v>
      </c>
      <c r="P101" s="25">
        <v>-0.862893115921892</v>
      </c>
      <c r="Q101" s="25">
        <v>1.1982301874474</v>
      </c>
      <c r="R101" s="25">
        <v>0.30512889153782002</v>
      </c>
      <c r="S101" s="25">
        <v>0.13552617002383599</v>
      </c>
    </row>
    <row r="102" spans="3:19">
      <c r="D102" s="23" t="s">
        <v>207</v>
      </c>
      <c r="E102" s="24">
        <v>67</v>
      </c>
      <c r="F102" s="24">
        <v>1331</v>
      </c>
      <c r="G102" s="24">
        <v>2064</v>
      </c>
      <c r="H102" s="24">
        <v>3958.2121963833001</v>
      </c>
      <c r="I102" s="24">
        <v>4442.6211016638999</v>
      </c>
      <c r="J102" s="24">
        <v>7230.6466035179001</v>
      </c>
      <c r="K102" s="24">
        <v>10049.7764316639</v>
      </c>
      <c r="L102" s="24">
        <v>10161.0646620564</v>
      </c>
      <c r="M102" s="24">
        <v>10914.539340113501</v>
      </c>
      <c r="N102" s="24">
        <v>13598.267722197799</v>
      </c>
      <c r="O102" s="24">
        <v>15410.2729472588</v>
      </c>
      <c r="P102" s="25">
        <v>40.8845888915206</v>
      </c>
      <c r="Q102" s="25">
        <v>7.9674783376971803</v>
      </c>
      <c r="R102" s="25">
        <v>8.5054900029260203</v>
      </c>
      <c r="S102" s="25">
        <v>2.16042630509765</v>
      </c>
    </row>
    <row r="103" spans="3:19">
      <c r="D103" s="23" t="s">
        <v>245</v>
      </c>
      <c r="E103" s="24">
        <v>3.4883720930232598</v>
      </c>
      <c r="F103" s="24">
        <v>20.930232558139501</v>
      </c>
      <c r="G103" s="24">
        <v>88.3720930232558</v>
      </c>
      <c r="H103" s="24">
        <v>871.44937575079905</v>
      </c>
      <c r="I103" s="24">
        <v>1174.4849698447099</v>
      </c>
      <c r="J103" s="24">
        <v>3124.5830488884499</v>
      </c>
      <c r="K103" s="24">
        <v>3312.1848429676002</v>
      </c>
      <c r="L103" s="24">
        <v>3413.76615911928</v>
      </c>
      <c r="M103" s="24">
        <v>3502.2701924624898</v>
      </c>
      <c r="N103" s="24">
        <v>3889.8220602433598</v>
      </c>
      <c r="O103" s="24">
        <v>5059.8204301921696</v>
      </c>
      <c r="P103" s="25">
        <v>38.155835548919697</v>
      </c>
      <c r="Q103" s="25">
        <v>29.524890030750299</v>
      </c>
      <c r="R103" s="25">
        <v>10.9243034409266</v>
      </c>
      <c r="S103" s="25">
        <v>2.1412167239347202</v>
      </c>
    </row>
    <row r="104" spans="3:19">
      <c r="D104" s="23" t="s">
        <v>246</v>
      </c>
      <c r="E104" s="24">
        <v>-0.48837209302325602</v>
      </c>
      <c r="F104" s="24">
        <v>2.0697674418604599</v>
      </c>
      <c r="G104" s="24">
        <v>1.62790697674419</v>
      </c>
      <c r="H104" s="24">
        <v>11.388000000000099</v>
      </c>
      <c r="I104" s="24">
        <v>11.388000000000099</v>
      </c>
      <c r="J104" s="24">
        <v>11.3879999999999</v>
      </c>
      <c r="K104" s="24">
        <v>11.3879999999999</v>
      </c>
      <c r="L104" s="24">
        <v>11.387999999999501</v>
      </c>
      <c r="M104" s="24">
        <v>11.3879999999999</v>
      </c>
      <c r="N104" s="24">
        <v>11.3880000000004</v>
      </c>
      <c r="O104" s="24">
        <v>11.3879999999999</v>
      </c>
      <c r="P104" s="25">
        <v>0</v>
      </c>
      <c r="Q104" s="25">
        <v>21.473567818450899</v>
      </c>
      <c r="R104" s="25">
        <v>-1.99840144432528E-13</v>
      </c>
      <c r="S104" s="25">
        <v>0</v>
      </c>
    </row>
    <row r="105" spans="3:19">
      <c r="D105" s="63" t="s">
        <v>247</v>
      </c>
      <c r="E105" s="64">
        <v>0</v>
      </c>
      <c r="F105" s="64">
        <v>0</v>
      </c>
      <c r="G105" s="64">
        <v>0</v>
      </c>
      <c r="H105" s="64">
        <v>0</v>
      </c>
      <c r="I105" s="64">
        <v>0</v>
      </c>
      <c r="J105" s="64">
        <v>0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25">
        <v>0</v>
      </c>
      <c r="Q105" s="25">
        <v>0</v>
      </c>
      <c r="R105" s="25">
        <v>0</v>
      </c>
      <c r="S105" s="25">
        <v>0</v>
      </c>
    </row>
    <row r="106" spans="3:19">
      <c r="D106" s="57" t="s">
        <v>248</v>
      </c>
      <c r="E106" s="50">
        <v>17910.803209999998</v>
      </c>
      <c r="F106" s="50">
        <v>19091.852770000001</v>
      </c>
      <c r="G106" s="50">
        <v>21503.01626</v>
      </c>
      <c r="H106" s="50">
        <v>22988.992330000001</v>
      </c>
      <c r="I106" s="50">
        <v>23349.124159479499</v>
      </c>
      <c r="J106" s="50">
        <v>25329.068020757699</v>
      </c>
      <c r="K106" s="50">
        <v>26039.944307682599</v>
      </c>
      <c r="L106" s="50">
        <v>25670.365754373499</v>
      </c>
      <c r="M106" s="50">
        <v>25997.812033789</v>
      </c>
      <c r="N106" s="50">
        <v>27159.879535169301</v>
      </c>
      <c r="O106" s="50">
        <v>28588.721852773098</v>
      </c>
      <c r="P106" s="25">
        <v>1.8446997369045099</v>
      </c>
      <c r="Q106" s="25">
        <v>0.82706400981693595</v>
      </c>
      <c r="R106" s="25">
        <v>1.09669210307701</v>
      </c>
      <c r="S106" s="25">
        <v>0.46799479404691102</v>
      </c>
    </row>
    <row r="107" spans="3:19">
      <c r="C107" t="s">
        <v>95</v>
      </c>
      <c r="D107" s="23" t="s">
        <v>233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5">
        <v>0</v>
      </c>
      <c r="Q107" s="25">
        <v>0</v>
      </c>
      <c r="R107" s="25">
        <v>0</v>
      </c>
      <c r="S107" s="25">
        <v>0</v>
      </c>
    </row>
    <row r="108" spans="3:19">
      <c r="D108" s="23" t="s">
        <v>249</v>
      </c>
      <c r="E108" s="24">
        <v>11668</v>
      </c>
      <c r="F108" s="24">
        <v>12440</v>
      </c>
      <c r="G108" s="24">
        <v>13841</v>
      </c>
      <c r="H108" s="24">
        <v>16436.5</v>
      </c>
      <c r="I108" s="24">
        <v>17423.439648288</v>
      </c>
      <c r="J108" s="24">
        <v>20106.865547452599</v>
      </c>
      <c r="K108" s="24">
        <v>21121.200074043099</v>
      </c>
      <c r="L108" s="24">
        <v>21281.6453706088</v>
      </c>
      <c r="M108" s="24">
        <v>21836.8370834175</v>
      </c>
      <c r="N108" s="24">
        <v>23064.141002893099</v>
      </c>
      <c r="O108" s="24">
        <v>24853.915374328899</v>
      </c>
      <c r="P108" s="25">
        <v>1.72251866162072</v>
      </c>
      <c r="Q108" s="25">
        <v>2.3285081713787701</v>
      </c>
      <c r="R108" s="25">
        <v>1.9432487140453001</v>
      </c>
      <c r="S108" s="25">
        <v>0.81700956298405003</v>
      </c>
    </row>
    <row r="109" spans="3:19">
      <c r="C109" t="s">
        <v>145</v>
      </c>
      <c r="D109" s="74" t="s">
        <v>242</v>
      </c>
      <c r="E109" s="24">
        <v>11613</v>
      </c>
      <c r="F109" s="24">
        <v>11632</v>
      </c>
      <c r="G109" s="24">
        <v>12706</v>
      </c>
      <c r="H109" s="24">
        <v>13149</v>
      </c>
      <c r="I109" s="24">
        <v>13751</v>
      </c>
      <c r="J109" s="24">
        <v>13751</v>
      </c>
      <c r="K109" s="24">
        <v>13755.5857188104</v>
      </c>
      <c r="L109" s="24">
        <v>13849.0310153761</v>
      </c>
      <c r="M109" s="24">
        <v>13881.1271073553</v>
      </c>
      <c r="N109" s="24">
        <v>13881.1271073553</v>
      </c>
      <c r="O109" s="24">
        <v>14042.463204796901</v>
      </c>
      <c r="P109" s="25">
        <v>0.90354920847910403</v>
      </c>
      <c r="Q109" s="25">
        <v>0.79350394572739202</v>
      </c>
      <c r="R109" s="25">
        <v>3.33432535082334E-3</v>
      </c>
      <c r="S109" s="25">
        <v>0.103257521055933</v>
      </c>
    </row>
    <row r="110" spans="3:19">
      <c r="C110" t="s">
        <v>146</v>
      </c>
      <c r="D110" s="74" t="s">
        <v>207</v>
      </c>
      <c r="E110" s="24">
        <v>50</v>
      </c>
      <c r="F110" s="24">
        <v>778</v>
      </c>
      <c r="G110" s="24">
        <v>981</v>
      </c>
      <c r="H110" s="24">
        <v>2411.5</v>
      </c>
      <c r="I110" s="24">
        <v>2582.7889976764</v>
      </c>
      <c r="J110" s="24">
        <v>3663.84</v>
      </c>
      <c r="K110" s="24">
        <v>4544.5888077801101</v>
      </c>
      <c r="L110" s="24">
        <v>4544.5888077801101</v>
      </c>
      <c r="M110" s="24">
        <v>5025.6844286095502</v>
      </c>
      <c r="N110" s="24">
        <v>5986.2263881033696</v>
      </c>
      <c r="O110" s="24">
        <v>6802.6646620974898</v>
      </c>
      <c r="P110" s="25">
        <v>34.6697023715302</v>
      </c>
      <c r="Q110" s="25">
        <v>10.1645822777381</v>
      </c>
      <c r="R110" s="25">
        <v>5.8133749802040899</v>
      </c>
      <c r="S110" s="25">
        <v>2.0373622979791701</v>
      </c>
    </row>
    <row r="111" spans="3:19">
      <c r="C111" t="s">
        <v>105</v>
      </c>
      <c r="D111" s="74" t="s">
        <v>245</v>
      </c>
      <c r="E111" s="24">
        <v>5</v>
      </c>
      <c r="F111" s="24">
        <v>30</v>
      </c>
      <c r="G111" s="24">
        <v>154</v>
      </c>
      <c r="H111" s="24">
        <v>876</v>
      </c>
      <c r="I111" s="24">
        <v>1089.65065061156</v>
      </c>
      <c r="J111" s="24">
        <v>2692.0255474526298</v>
      </c>
      <c r="K111" s="24">
        <v>2821.0255474526298</v>
      </c>
      <c r="L111" s="24">
        <v>2888.0255474526298</v>
      </c>
      <c r="M111" s="24">
        <v>2930.0255474526298</v>
      </c>
      <c r="N111" s="24">
        <v>3196.7875074344702</v>
      </c>
      <c r="O111" s="24">
        <v>4008.7875074344702</v>
      </c>
      <c r="P111" s="25">
        <v>40.881858331891799</v>
      </c>
      <c r="Q111" s="25">
        <v>21.612063099080299</v>
      </c>
      <c r="R111" s="25">
        <v>9.9795589413757693</v>
      </c>
      <c r="S111" s="25">
        <v>1.7724667103426599</v>
      </c>
    </row>
    <row r="112" spans="3:19">
      <c r="D112" s="74" t="s">
        <v>250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5">
        <v>0</v>
      </c>
      <c r="Q112" s="25">
        <v>0</v>
      </c>
      <c r="R112" s="25">
        <v>0</v>
      </c>
      <c r="S112" s="25">
        <v>0</v>
      </c>
    </row>
    <row r="113" spans="3:19">
      <c r="D113" s="23" t="s">
        <v>251</v>
      </c>
      <c r="E113" s="24">
        <v>6242.80321</v>
      </c>
      <c r="F113" s="24">
        <v>6651.8527700000004</v>
      </c>
      <c r="G113" s="24">
        <v>7662.0162600000003</v>
      </c>
      <c r="H113" s="24">
        <v>6552.49233</v>
      </c>
      <c r="I113" s="24">
        <v>5925.6845111915</v>
      </c>
      <c r="J113" s="24">
        <v>5222.2024733050703</v>
      </c>
      <c r="K113" s="24">
        <v>4918.7442336394497</v>
      </c>
      <c r="L113" s="24">
        <v>4388.7203837647403</v>
      </c>
      <c r="M113" s="24">
        <v>4160.9749503715102</v>
      </c>
      <c r="N113" s="24">
        <v>4095.7385322761302</v>
      </c>
      <c r="O113" s="24">
        <v>3734.8064784442399</v>
      </c>
      <c r="P113" s="25">
        <v>2.06958345609798</v>
      </c>
      <c r="Q113" s="25">
        <v>-2.5370515277165699</v>
      </c>
      <c r="R113" s="25">
        <v>-1.8451934389889499</v>
      </c>
      <c r="S113" s="25">
        <v>-1.36735192734682</v>
      </c>
    </row>
    <row r="114" spans="3:19">
      <c r="C114" t="s">
        <v>147</v>
      </c>
      <c r="D114" s="74" t="s">
        <v>252</v>
      </c>
      <c r="E114" s="24">
        <v>2632.4034821165401</v>
      </c>
      <c r="F114" s="24">
        <v>3253</v>
      </c>
      <c r="G114" s="24">
        <v>3157</v>
      </c>
      <c r="H114" s="24">
        <v>3004.7984122930802</v>
      </c>
      <c r="I114" s="24">
        <v>2841.0906400000699</v>
      </c>
      <c r="J114" s="24">
        <v>2723.16301951692</v>
      </c>
      <c r="K114" s="24">
        <v>2667.94678853603</v>
      </c>
      <c r="L114" s="24">
        <v>3063.2534095896799</v>
      </c>
      <c r="M114" s="24">
        <v>3472.84958874008</v>
      </c>
      <c r="N114" s="24">
        <v>3549.8478597000199</v>
      </c>
      <c r="O114" s="24">
        <v>3430.5060517873599</v>
      </c>
      <c r="P114" s="25">
        <v>1.83386154044394</v>
      </c>
      <c r="Q114" s="25">
        <v>-1.0488033266751</v>
      </c>
      <c r="R114" s="25">
        <v>-0.626815494692057</v>
      </c>
      <c r="S114" s="25">
        <v>1.26492638166229</v>
      </c>
    </row>
    <row r="115" spans="3:19">
      <c r="D115" s="74" t="s">
        <v>253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5">
        <v>0</v>
      </c>
      <c r="Q115" s="25">
        <v>0</v>
      </c>
      <c r="R115" s="25">
        <v>0</v>
      </c>
      <c r="S115" s="25">
        <v>0</v>
      </c>
    </row>
    <row r="116" spans="3:19">
      <c r="C116" t="s">
        <v>148</v>
      </c>
      <c r="D116" s="23" t="s">
        <v>254</v>
      </c>
      <c r="E116" s="24">
        <v>1886.7840000000001</v>
      </c>
      <c r="F116" s="24">
        <v>1659.7339999999999</v>
      </c>
      <c r="G116" s="24">
        <v>1359.434</v>
      </c>
      <c r="H116" s="24">
        <v>872.75400000000002</v>
      </c>
      <c r="I116" s="24">
        <v>804.16070107564599</v>
      </c>
      <c r="J116" s="24">
        <v>778.21670107564603</v>
      </c>
      <c r="K116" s="24">
        <v>778.21670107564603</v>
      </c>
      <c r="L116" s="24">
        <v>80.8567010756462</v>
      </c>
      <c r="M116" s="24">
        <v>72.116701075646205</v>
      </c>
      <c r="N116" s="24">
        <v>36.396701075646199</v>
      </c>
      <c r="O116" s="24">
        <v>36.396701075646199</v>
      </c>
      <c r="P116" s="25">
        <v>-3.2249076817372502</v>
      </c>
      <c r="Q116" s="25">
        <v>-5.11480121236323</v>
      </c>
      <c r="R116" s="25">
        <v>-0.32740390752238302</v>
      </c>
      <c r="S116" s="25">
        <v>-14.1978690912952</v>
      </c>
    </row>
    <row r="117" spans="3:19">
      <c r="C117" t="s">
        <v>60</v>
      </c>
      <c r="D117" s="23" t="s">
        <v>255</v>
      </c>
      <c r="E117" s="24">
        <v>2815.8762099999999</v>
      </c>
      <c r="F117" s="24">
        <v>3389.09121</v>
      </c>
      <c r="G117" s="24">
        <v>4512.40211</v>
      </c>
      <c r="H117" s="24">
        <v>4073.8726499999998</v>
      </c>
      <c r="I117" s="24">
        <v>3527.0057198664999</v>
      </c>
      <c r="J117" s="24">
        <v>3194.6868892017701</v>
      </c>
      <c r="K117" s="24">
        <v>2902.3660922104</v>
      </c>
      <c r="L117" s="24">
        <v>3114.7595411872298</v>
      </c>
      <c r="M117" s="24">
        <v>3045.50220700512</v>
      </c>
      <c r="N117" s="24">
        <v>3062.8146136684099</v>
      </c>
      <c r="O117" s="24">
        <v>2850.4510158637399</v>
      </c>
      <c r="P117" s="25">
        <v>4.8285125543320797</v>
      </c>
      <c r="Q117" s="25">
        <v>-2.4336996737768901</v>
      </c>
      <c r="R117" s="25">
        <v>-1.93035510056299</v>
      </c>
      <c r="S117" s="25">
        <v>-9.0204617438238696E-2</v>
      </c>
    </row>
    <row r="118" spans="3:19">
      <c r="C118" t="s">
        <v>100</v>
      </c>
      <c r="D118" s="23" t="s">
        <v>256</v>
      </c>
      <c r="E118" s="24">
        <v>1260.4376199999999</v>
      </c>
      <c r="F118" s="24">
        <v>1144.9081200000001</v>
      </c>
      <c r="G118" s="24">
        <v>1138.99234</v>
      </c>
      <c r="H118" s="24">
        <v>970.58312000000001</v>
      </c>
      <c r="I118" s="24">
        <v>815.01612</v>
      </c>
      <c r="J118" s="24">
        <v>482.888652858483</v>
      </c>
      <c r="K118" s="24">
        <v>422.957882858483</v>
      </c>
      <c r="L118" s="24">
        <v>384.78213285848301</v>
      </c>
      <c r="M118" s="24">
        <v>8.4376999999999995</v>
      </c>
      <c r="N118" s="24">
        <v>3.2204999999999999</v>
      </c>
      <c r="O118" s="24">
        <v>0</v>
      </c>
      <c r="P118" s="25">
        <v>-1.0080351113027499</v>
      </c>
      <c r="Q118" s="25">
        <v>-3.2915239775224299</v>
      </c>
      <c r="R118" s="25">
        <v>-6.3488547923601004</v>
      </c>
      <c r="S118" s="25">
        <v>-100</v>
      </c>
    </row>
    <row r="119" spans="3:19">
      <c r="C119" t="s">
        <v>150</v>
      </c>
      <c r="D119" s="23" t="s">
        <v>257</v>
      </c>
      <c r="E119" s="24">
        <v>279.70537999999999</v>
      </c>
      <c r="F119" s="24">
        <v>456.11944</v>
      </c>
      <c r="G119" s="24">
        <v>650.18781000000001</v>
      </c>
      <c r="H119" s="24">
        <v>633.28255999999999</v>
      </c>
      <c r="I119" s="24">
        <v>777.50197024936097</v>
      </c>
      <c r="J119" s="24">
        <v>764.41023016917097</v>
      </c>
      <c r="K119" s="24">
        <v>813.20355749492205</v>
      </c>
      <c r="L119" s="24">
        <v>806.32200864337904</v>
      </c>
      <c r="M119" s="24">
        <v>1032.9183422907399</v>
      </c>
      <c r="N119" s="24">
        <v>991.30671753207605</v>
      </c>
      <c r="O119" s="24">
        <v>845.95876150485196</v>
      </c>
      <c r="P119" s="25">
        <v>8.8012287980730104</v>
      </c>
      <c r="Q119" s="25">
        <v>1.8043340972916799</v>
      </c>
      <c r="R119" s="25">
        <v>0.44996208585250702</v>
      </c>
      <c r="S119" s="25">
        <v>0.197640836145796</v>
      </c>
    </row>
    <row r="120" spans="3:19">
      <c r="D120" s="23" t="s">
        <v>258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5">
        <v>0</v>
      </c>
      <c r="Q120" s="25">
        <v>0</v>
      </c>
      <c r="R120" s="25">
        <v>0</v>
      </c>
      <c r="S120" s="25">
        <v>0</v>
      </c>
    </row>
    <row r="121" spans="3:19">
      <c r="C121" t="s">
        <v>65</v>
      </c>
      <c r="D121" s="23" t="s">
        <v>259</v>
      </c>
      <c r="E121" s="24">
        <v>0</v>
      </c>
      <c r="F121" s="24">
        <v>2</v>
      </c>
      <c r="G121" s="24">
        <v>1</v>
      </c>
      <c r="H121" s="24">
        <v>2</v>
      </c>
      <c r="I121" s="24">
        <v>2</v>
      </c>
      <c r="J121" s="24">
        <v>2</v>
      </c>
      <c r="K121" s="24">
        <v>2</v>
      </c>
      <c r="L121" s="24">
        <v>2</v>
      </c>
      <c r="M121" s="24">
        <v>2</v>
      </c>
      <c r="N121" s="24">
        <v>2</v>
      </c>
      <c r="O121" s="24">
        <v>2</v>
      </c>
      <c r="P121" s="25">
        <v>0</v>
      </c>
      <c r="Q121" s="25">
        <v>7.1773462536293096</v>
      </c>
      <c r="R121" s="25">
        <v>0</v>
      </c>
      <c r="S121" s="25">
        <v>0</v>
      </c>
    </row>
    <row r="122" spans="3:19">
      <c r="D122" s="84" t="s">
        <v>260</v>
      </c>
      <c r="E122" s="85">
        <v>36.787200419363799</v>
      </c>
      <c r="F122" s="85">
        <v>36.656745631169102</v>
      </c>
      <c r="G122" s="85">
        <v>35.118760899475099</v>
      </c>
      <c r="H122" s="85">
        <v>28.356057862731099</v>
      </c>
      <c r="I122" s="85">
        <v>33.6805979994962</v>
      </c>
      <c r="J122" s="85">
        <v>33.0105595164855</v>
      </c>
      <c r="K122" s="85">
        <v>33.891918389929998</v>
      </c>
      <c r="L122" s="85">
        <v>35.324660711152802</v>
      </c>
      <c r="M122" s="85">
        <v>36.615293579107401</v>
      </c>
      <c r="N122" s="85">
        <v>36.433902063761202</v>
      </c>
      <c r="O122" s="85">
        <v>35.248466279767797</v>
      </c>
      <c r="P122" s="25"/>
      <c r="Q122" s="25"/>
      <c r="R122" s="25"/>
      <c r="S122" s="25"/>
    </row>
    <row r="123" spans="3:19">
      <c r="D123" s="84" t="s">
        <v>261</v>
      </c>
      <c r="E123" s="78">
        <v>39.854511685497599</v>
      </c>
      <c r="F123" s="78">
        <v>41.299415226253899</v>
      </c>
      <c r="G123" s="78">
        <v>41.262645710085103</v>
      </c>
      <c r="H123" s="78">
        <v>39.659961589214198</v>
      </c>
      <c r="I123" s="78">
        <v>43.973415150603699</v>
      </c>
      <c r="J123" s="78">
        <v>38.6899320372031</v>
      </c>
      <c r="K123" s="78">
        <v>39.2170835446111</v>
      </c>
      <c r="L123" s="78">
        <v>43.072601316489802</v>
      </c>
      <c r="M123" s="78">
        <v>45.9431784126106</v>
      </c>
      <c r="N123" s="78">
        <v>46.277028890253</v>
      </c>
      <c r="O123" s="78">
        <v>45.322161767519098</v>
      </c>
      <c r="P123" s="25"/>
      <c r="Q123" s="25"/>
      <c r="R123" s="25"/>
      <c r="S123" s="25"/>
    </row>
    <row r="124" spans="3:19">
      <c r="D124" s="84" t="s">
        <v>262</v>
      </c>
      <c r="E124" s="78">
        <v>10.4</v>
      </c>
      <c r="F124" s="78">
        <v>15.4238397491514</v>
      </c>
      <c r="G124" s="78">
        <v>15.4</v>
      </c>
      <c r="H124" s="78">
        <v>17.686539396817501</v>
      </c>
      <c r="I124" s="78">
        <v>22.508714754968</v>
      </c>
      <c r="J124" s="78">
        <v>19.173015469953501</v>
      </c>
      <c r="K124" s="78">
        <v>18.391417870429201</v>
      </c>
      <c r="L124" s="78">
        <v>21.609454982046799</v>
      </c>
      <c r="M124" s="78">
        <v>24.805977415352199</v>
      </c>
      <c r="N124" s="78">
        <v>24.512103535098099</v>
      </c>
      <c r="O124" s="78">
        <v>22.741935255044801</v>
      </c>
      <c r="P124" s="25"/>
      <c r="Q124" s="25"/>
      <c r="R124" s="25"/>
      <c r="S124" s="25"/>
    </row>
    <row r="125" spans="3:19">
      <c r="D125" s="84" t="s">
        <v>263</v>
      </c>
      <c r="E125" s="78">
        <v>0</v>
      </c>
      <c r="F125" s="78">
        <v>0</v>
      </c>
      <c r="G125" s="78">
        <v>0</v>
      </c>
      <c r="H125" s="78">
        <v>0</v>
      </c>
      <c r="I125" s="78">
        <v>0</v>
      </c>
      <c r="J125" s="78">
        <v>0</v>
      </c>
      <c r="K125" s="78">
        <v>0</v>
      </c>
      <c r="L125" s="78">
        <v>0</v>
      </c>
      <c r="M125" s="78">
        <v>0</v>
      </c>
      <c r="N125" s="78">
        <v>0</v>
      </c>
      <c r="O125" s="78">
        <v>0</v>
      </c>
      <c r="P125" s="25"/>
      <c r="Q125" s="25"/>
      <c r="R125" s="25"/>
      <c r="S125" s="25"/>
    </row>
    <row r="126" spans="3:19">
      <c r="D126" s="84" t="s">
        <v>264</v>
      </c>
      <c r="E126" s="85">
        <v>72.787854518727698</v>
      </c>
      <c r="F126" s="85">
        <v>63.860706166702101</v>
      </c>
      <c r="G126" s="85">
        <v>67.132321552117503</v>
      </c>
      <c r="H126" s="85">
        <v>81.254100909342498</v>
      </c>
      <c r="I126" s="85">
        <v>73.146689003890998</v>
      </c>
      <c r="J126" s="85">
        <v>77.637134791358605</v>
      </c>
      <c r="K126" s="85">
        <v>77.547896831804593</v>
      </c>
      <c r="L126" s="85">
        <v>76.056045015357597</v>
      </c>
      <c r="M126" s="85">
        <v>76.653100841448406</v>
      </c>
      <c r="N126" s="85">
        <v>77.753887983134504</v>
      </c>
      <c r="O126" s="85">
        <v>80.686270211134897</v>
      </c>
      <c r="P126" s="25"/>
      <c r="Q126" s="25"/>
      <c r="R126" s="25"/>
      <c r="S126" s="25"/>
    </row>
    <row r="127" spans="3:19">
      <c r="D127" s="57" t="s">
        <v>265</v>
      </c>
      <c r="E127" s="50">
        <v>3876.6</v>
      </c>
      <c r="F127" s="50">
        <v>5420.9</v>
      </c>
      <c r="G127" s="50">
        <v>5713.4</v>
      </c>
      <c r="H127" s="50">
        <v>2987.8373803948998</v>
      </c>
      <c r="I127" s="50">
        <v>4456.6730359599296</v>
      </c>
      <c r="J127" s="50">
        <v>4657.9365449278903</v>
      </c>
      <c r="K127" s="50">
        <v>4828.4164352565003</v>
      </c>
      <c r="L127" s="50">
        <v>4621.7654050091096</v>
      </c>
      <c r="M127" s="50">
        <v>4910.9701567823504</v>
      </c>
      <c r="N127" s="50">
        <v>4919.2529088721203</v>
      </c>
      <c r="O127" s="50">
        <v>4616.4089618723201</v>
      </c>
      <c r="P127" s="25">
        <v>3.9547561235426398</v>
      </c>
      <c r="Q127" s="25">
        <v>-2.4535173188826498</v>
      </c>
      <c r="R127" s="25">
        <v>0.80437809726396903</v>
      </c>
      <c r="S127" s="25">
        <v>-0.22425533035600501</v>
      </c>
    </row>
    <row r="128" spans="3:19">
      <c r="D128" s="23" t="s">
        <v>181</v>
      </c>
      <c r="E128" s="24">
        <v>1216.3</v>
      </c>
      <c r="F128" s="24">
        <v>1507.1</v>
      </c>
      <c r="G128" s="24">
        <v>1019.3</v>
      </c>
      <c r="H128" s="24">
        <v>907.75154115447106</v>
      </c>
      <c r="I128" s="24">
        <v>1071.69331207706</v>
      </c>
      <c r="J128" s="24">
        <v>834.32912697988104</v>
      </c>
      <c r="K128" s="24">
        <v>780.70405997028001</v>
      </c>
      <c r="L128" s="24">
        <v>23.788753254263298</v>
      </c>
      <c r="M128" s="24">
        <v>19.512219962804</v>
      </c>
      <c r="N128" s="24">
        <v>6.91944744383773</v>
      </c>
      <c r="O128" s="24">
        <v>6.7817825531748204</v>
      </c>
      <c r="P128" s="25">
        <v>-1.75145403090774</v>
      </c>
      <c r="Q128" s="25">
        <v>0.50249645034485801</v>
      </c>
      <c r="R128" s="25">
        <v>-3.1183354928496101</v>
      </c>
      <c r="S128" s="25">
        <v>-21.124364541622899</v>
      </c>
    </row>
    <row r="129" spans="4:19">
      <c r="D129" s="23" t="s">
        <v>236</v>
      </c>
      <c r="E129" s="24">
        <v>278</v>
      </c>
      <c r="F129" s="24">
        <v>262.10000000000002</v>
      </c>
      <c r="G129" s="24">
        <v>175.9</v>
      </c>
      <c r="H129" s="24">
        <v>60.393746874166901</v>
      </c>
      <c r="I129" s="24">
        <v>68.932812059746894</v>
      </c>
      <c r="J129" s="24">
        <v>25.241673827454701</v>
      </c>
      <c r="K129" s="24">
        <v>22.132336742264101</v>
      </c>
      <c r="L129" s="24">
        <v>20.8999120200004</v>
      </c>
      <c r="M129" s="24">
        <v>9.3988538587849002E-2</v>
      </c>
      <c r="N129" s="24">
        <v>9.3988538587849002E-2</v>
      </c>
      <c r="O129" s="24">
        <v>0</v>
      </c>
      <c r="P129" s="25">
        <v>-4.4738874653903</v>
      </c>
      <c r="Q129" s="25">
        <v>-8.9424385449264108</v>
      </c>
      <c r="R129" s="25">
        <v>-10.7393330822814</v>
      </c>
      <c r="S129" s="25">
        <v>-100</v>
      </c>
    </row>
    <row r="130" spans="4:19">
      <c r="D130" s="23" t="s">
        <v>239</v>
      </c>
      <c r="E130" s="24">
        <v>1961.3</v>
      </c>
      <c r="F130" s="24">
        <v>2836.1</v>
      </c>
      <c r="G130" s="24">
        <v>2868.1</v>
      </c>
      <c r="H130" s="24">
        <v>1406.1639058184001</v>
      </c>
      <c r="I130" s="24">
        <v>2478.7187775105499</v>
      </c>
      <c r="J130" s="24">
        <v>2680.3168138645601</v>
      </c>
      <c r="K130" s="24">
        <v>2798.7904490426299</v>
      </c>
      <c r="L130" s="24">
        <v>3452.8026301578202</v>
      </c>
      <c r="M130" s="24">
        <v>3468.07393074424</v>
      </c>
      <c r="N130" s="24">
        <v>3421.3940671088399</v>
      </c>
      <c r="O130" s="24">
        <v>2989.8040945266898</v>
      </c>
      <c r="P130" s="25">
        <v>3.8735623703137301</v>
      </c>
      <c r="Q130" s="25">
        <v>-1.44848686182605</v>
      </c>
      <c r="R130" s="25">
        <v>1.2218598199688999</v>
      </c>
      <c r="S130" s="25">
        <v>0.33064805702609501</v>
      </c>
    </row>
    <row r="131" spans="4:19">
      <c r="D131" s="23" t="s">
        <v>206</v>
      </c>
      <c r="E131" s="24">
        <v>421</v>
      </c>
      <c r="F131" s="24">
        <v>813.6</v>
      </c>
      <c r="G131" s="24">
        <v>1648.9</v>
      </c>
      <c r="H131" s="24">
        <v>603.73450654785302</v>
      </c>
      <c r="I131" s="24">
        <v>827.534454312565</v>
      </c>
      <c r="J131" s="24">
        <v>1108.2552502559899</v>
      </c>
      <c r="K131" s="24">
        <v>1216.9959095013301</v>
      </c>
      <c r="L131" s="24">
        <v>1114.48042957702</v>
      </c>
      <c r="M131" s="24">
        <v>1413.4963375367099</v>
      </c>
      <c r="N131" s="24">
        <v>1481.0517257808499</v>
      </c>
      <c r="O131" s="24">
        <v>1610.0294047924599</v>
      </c>
      <c r="P131" s="25">
        <v>14.6281338713023</v>
      </c>
      <c r="Q131" s="25">
        <v>-6.6618525960514097</v>
      </c>
      <c r="R131" s="25">
        <v>3.93224379716326</v>
      </c>
      <c r="S131" s="25">
        <v>1.4091714689429899</v>
      </c>
    </row>
    <row r="132" spans="4:19">
      <c r="D132" s="63" t="s">
        <v>259</v>
      </c>
      <c r="E132" s="24">
        <v>0</v>
      </c>
      <c r="F132" s="24">
        <v>2</v>
      </c>
      <c r="G132" s="24">
        <v>1.2</v>
      </c>
      <c r="H132" s="24">
        <v>9.7936800000000002</v>
      </c>
      <c r="I132" s="24">
        <v>9.7936800000000002</v>
      </c>
      <c r="J132" s="24">
        <v>9.7936800000000002</v>
      </c>
      <c r="K132" s="24">
        <v>9.7936800000000002</v>
      </c>
      <c r="L132" s="24">
        <v>9.7936800000000002</v>
      </c>
      <c r="M132" s="24">
        <v>9.7936800000000002</v>
      </c>
      <c r="N132" s="24">
        <v>9.7936800000000002</v>
      </c>
      <c r="O132" s="24">
        <v>9.7936800000000002</v>
      </c>
      <c r="P132" s="25">
        <v>0</v>
      </c>
      <c r="Q132" s="25">
        <v>23.360598107697299</v>
      </c>
      <c r="R132" s="25">
        <v>0</v>
      </c>
      <c r="S132" s="25">
        <v>0</v>
      </c>
    </row>
    <row r="133" spans="4:19">
      <c r="D133" s="63" t="s">
        <v>266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5">
        <v>0</v>
      </c>
      <c r="Q133" s="25">
        <v>0</v>
      </c>
      <c r="R133" s="25">
        <v>0</v>
      </c>
      <c r="S133" s="25">
        <v>0</v>
      </c>
    </row>
    <row r="134" spans="4:19">
      <c r="D134" s="57" t="s">
        <v>267</v>
      </c>
      <c r="E134" s="50">
        <v>11348.5</v>
      </c>
      <c r="F134" s="50">
        <v>11945.6</v>
      </c>
      <c r="G134" s="50">
        <v>11472.4</v>
      </c>
      <c r="H134" s="50">
        <v>12554.4080039166</v>
      </c>
      <c r="I134" s="50">
        <v>11759.199346871999</v>
      </c>
      <c r="J134" s="50">
        <v>11419.9888833901</v>
      </c>
      <c r="K134" s="50">
        <v>11016.3844414171</v>
      </c>
      <c r="L134" s="50">
        <v>10831.1085769819</v>
      </c>
      <c r="M134" s="50">
        <v>10517.750606371301</v>
      </c>
      <c r="N134" s="50">
        <v>10230.8479519306</v>
      </c>
      <c r="O134" s="50">
        <v>9992.8371874231198</v>
      </c>
      <c r="P134" s="25">
        <v>0.10864471715579301</v>
      </c>
      <c r="Q134" s="25">
        <v>0.24722215775312401</v>
      </c>
      <c r="R134" s="25">
        <v>-0.65039767962288297</v>
      </c>
      <c r="S134" s="25">
        <v>-0.486388801015814</v>
      </c>
    </row>
    <row r="135" spans="4:19">
      <c r="D135" s="63" t="s">
        <v>268</v>
      </c>
      <c r="E135" s="24">
        <v>8865.4</v>
      </c>
      <c r="F135" s="24">
        <v>9274.5</v>
      </c>
      <c r="G135" s="24">
        <v>8039.8</v>
      </c>
      <c r="H135" s="24">
        <v>9141.2689534231795</v>
      </c>
      <c r="I135" s="24">
        <v>8783.3557763314402</v>
      </c>
      <c r="J135" s="24">
        <v>8460.8807389544909</v>
      </c>
      <c r="K135" s="24">
        <v>8203.6468341417803</v>
      </c>
      <c r="L135" s="24">
        <v>8148.1313671908501</v>
      </c>
      <c r="M135" s="24">
        <v>8027.1050323063</v>
      </c>
      <c r="N135" s="24">
        <v>7956.4700782342998</v>
      </c>
      <c r="O135" s="24">
        <v>7884.5946394777002</v>
      </c>
      <c r="P135" s="25">
        <v>-0.97275634249016596</v>
      </c>
      <c r="Q135" s="25">
        <v>0.88846698723448203</v>
      </c>
      <c r="R135" s="25">
        <v>-0.68047173649463699</v>
      </c>
      <c r="S135" s="25">
        <v>-0.19814334264728301</v>
      </c>
    </row>
    <row r="136" spans="4:19">
      <c r="D136" s="63" t="s">
        <v>269</v>
      </c>
      <c r="E136" s="24">
        <v>15.7</v>
      </c>
      <c r="F136" s="24">
        <v>49.7</v>
      </c>
      <c r="G136" s="24">
        <v>495.4</v>
      </c>
      <c r="H136" s="24">
        <v>570.78054688132204</v>
      </c>
      <c r="I136" s="24">
        <v>446.58620799567399</v>
      </c>
      <c r="J136" s="24">
        <v>437.28486577939901</v>
      </c>
      <c r="K136" s="24">
        <v>440.58257062110499</v>
      </c>
      <c r="L136" s="24">
        <v>461.14359154870198</v>
      </c>
      <c r="M136" s="24">
        <v>489.02330828107</v>
      </c>
      <c r="N136" s="24">
        <v>520.56817946204205</v>
      </c>
      <c r="O136" s="24">
        <v>546.52562113800298</v>
      </c>
      <c r="P136" s="25">
        <v>41.223065689285498</v>
      </c>
      <c r="Q136" s="25">
        <v>-1.0319688852612401</v>
      </c>
      <c r="R136" s="25">
        <v>-0.13525426280278599</v>
      </c>
      <c r="S136" s="25">
        <v>1.08324160066984</v>
      </c>
    </row>
    <row r="137" spans="4:19">
      <c r="D137" s="63" t="s">
        <v>270</v>
      </c>
      <c r="E137" s="24">
        <v>557.9</v>
      </c>
      <c r="F137" s="24">
        <v>612.6</v>
      </c>
      <c r="G137" s="24">
        <v>868.9</v>
      </c>
      <c r="H137" s="24">
        <v>677.96933837891004</v>
      </c>
      <c r="I137" s="24">
        <v>636.84384804520801</v>
      </c>
      <c r="J137" s="24">
        <v>625.30075157085605</v>
      </c>
      <c r="K137" s="24">
        <v>663.93842559206496</v>
      </c>
      <c r="L137" s="24">
        <v>730.73150783907101</v>
      </c>
      <c r="M137" s="24">
        <v>774.89021427786599</v>
      </c>
      <c r="N137" s="24">
        <v>687.36801343643901</v>
      </c>
      <c r="O137" s="24">
        <v>613.40959329779696</v>
      </c>
      <c r="P137" s="25">
        <v>4.5300946355302498</v>
      </c>
      <c r="Q137" s="25">
        <v>-3.0592632446888302</v>
      </c>
      <c r="R137" s="25">
        <v>0.417518425866992</v>
      </c>
      <c r="S137" s="25">
        <v>-0.39500042054845302</v>
      </c>
    </row>
    <row r="138" spans="4:19">
      <c r="D138" s="63" t="s">
        <v>271</v>
      </c>
      <c r="E138" s="24">
        <v>1909.5</v>
      </c>
      <c r="F138" s="24">
        <v>2008.8</v>
      </c>
      <c r="G138" s="24">
        <v>2068.3000000000002</v>
      </c>
      <c r="H138" s="24">
        <v>2164.3891652331899</v>
      </c>
      <c r="I138" s="24">
        <v>1892.4135144996401</v>
      </c>
      <c r="J138" s="24">
        <v>1896.52252708539</v>
      </c>
      <c r="K138" s="24">
        <v>1708.2166110621799</v>
      </c>
      <c r="L138" s="24">
        <v>1491.10211040327</v>
      </c>
      <c r="M138" s="24">
        <v>1226.7320515060201</v>
      </c>
      <c r="N138" s="24">
        <v>1066.44168079786</v>
      </c>
      <c r="O138" s="24">
        <v>948.30733350961805</v>
      </c>
      <c r="P138" s="25">
        <v>0.80205522860312695</v>
      </c>
      <c r="Q138" s="25">
        <v>-0.88480245522523104</v>
      </c>
      <c r="R138" s="25">
        <v>-1.01880562861115</v>
      </c>
      <c r="S138" s="25">
        <v>-2.89975886531799</v>
      </c>
    </row>
  </sheetData>
  <mergeCells count="1">
    <mergeCell ref="P60:S60"/>
  </mergeCells>
  <pageMargins left="0" right="0" top="0.39374999999999999" bottom="0.39374999999999999" header="0" footer="0"/>
  <pageSetup paperSize="9" orientation="portrait" verticalDpi="0" r:id="rId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0"/>
  <sheetViews>
    <sheetView workbookViewId="0"/>
  </sheetViews>
  <sheetFormatPr defaultRowHeight="14.25"/>
  <cols>
    <col min="1" max="15" width="10.625" customWidth="1"/>
  </cols>
  <sheetData>
    <row r="2" spans="2:11"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2:11">
      <c r="B3" t="s">
        <v>18</v>
      </c>
      <c r="C3" t="s">
        <v>12</v>
      </c>
      <c r="D3" s="27">
        <v>10.8351179180115</v>
      </c>
      <c r="E3">
        <f t="shared" ref="E3:K6" si="0">$D3*E$7</f>
        <v>14.010739156456552</v>
      </c>
      <c r="F3">
        <f t="shared" si="0"/>
        <v>17.344468127363786</v>
      </c>
      <c r="G3">
        <f t="shared" si="0"/>
        <v>20.757999108346638</v>
      </c>
      <c r="H3">
        <f t="shared" si="0"/>
        <v>22.027848593674236</v>
      </c>
      <c r="I3">
        <f t="shared" si="0"/>
        <v>22.901181841438824</v>
      </c>
      <c r="J3">
        <f t="shared" si="0"/>
        <v>23.774016326640453</v>
      </c>
      <c r="K3">
        <f t="shared" si="0"/>
        <v>24.408941069304273</v>
      </c>
    </row>
    <row r="4" spans="2:11">
      <c r="B4" t="s">
        <v>18</v>
      </c>
      <c r="C4" t="s">
        <v>15</v>
      </c>
      <c r="D4" s="27">
        <v>8.4515092478679605</v>
      </c>
      <c r="E4">
        <f t="shared" si="0"/>
        <v>10.928528184582015</v>
      </c>
      <c r="F4">
        <f t="shared" si="0"/>
        <v>13.528872863865267</v>
      </c>
      <c r="G4">
        <f t="shared" si="0"/>
        <v>16.191463974729238</v>
      </c>
      <c r="H4">
        <f t="shared" si="0"/>
        <v>17.181960317256923</v>
      </c>
      <c r="I4">
        <f t="shared" si="0"/>
        <v>17.863169702868074</v>
      </c>
      <c r="J4">
        <f t="shared" si="0"/>
        <v>18.543990048281852</v>
      </c>
      <c r="K4">
        <f t="shared" si="0"/>
        <v>19.039238219545716</v>
      </c>
    </row>
    <row r="5" spans="2:11">
      <c r="B5" t="s">
        <v>18</v>
      </c>
      <c r="C5" t="s">
        <v>16</v>
      </c>
      <c r="D5" s="27">
        <v>10.8351179180115</v>
      </c>
      <c r="E5">
        <f t="shared" si="0"/>
        <v>14.010739156456552</v>
      </c>
      <c r="F5">
        <f t="shared" si="0"/>
        <v>17.344468127363786</v>
      </c>
      <c r="G5">
        <f t="shared" si="0"/>
        <v>20.757999108346638</v>
      </c>
      <c r="H5">
        <f t="shared" si="0"/>
        <v>22.027848593674236</v>
      </c>
      <c r="I5">
        <f t="shared" si="0"/>
        <v>22.901181841438824</v>
      </c>
      <c r="J5">
        <f t="shared" si="0"/>
        <v>23.774016326640453</v>
      </c>
      <c r="K5">
        <f t="shared" si="0"/>
        <v>24.408941069304273</v>
      </c>
    </row>
    <row r="6" spans="2:11">
      <c r="B6" t="s">
        <v>18</v>
      </c>
      <c r="C6" t="s">
        <v>17</v>
      </c>
      <c r="D6" s="27">
        <v>12.1371685288369</v>
      </c>
      <c r="E6">
        <f t="shared" si="0"/>
        <v>15.694402556783215</v>
      </c>
      <c r="F6">
        <f t="shared" si="0"/>
        <v>19.428744043007931</v>
      </c>
      <c r="G6">
        <f t="shared" si="0"/>
        <v>23.252477306281758</v>
      </c>
      <c r="H6">
        <f t="shared" si="0"/>
        <v>24.674923958574986</v>
      </c>
      <c r="I6">
        <f t="shared" si="0"/>
        <v>25.653205218655689</v>
      </c>
      <c r="J6">
        <f t="shared" si="0"/>
        <v>26.630927780129849</v>
      </c>
      <c r="K6">
        <f t="shared" si="0"/>
        <v>27.342151106276489</v>
      </c>
    </row>
    <row r="7" spans="2:11">
      <c r="B7" t="s">
        <v>18</v>
      </c>
      <c r="D7" s="27">
        <f t="shared" ref="D7:K7" si="1">INDEX($E$44:$L$46,MATCH($B7,$D$44:$D$46,0),MATCH(D$2,$E$35:$L$35,0))</f>
        <v>1</v>
      </c>
      <c r="E7" s="27">
        <f t="shared" si="1"/>
        <v>1.2930859878475465</v>
      </c>
      <c r="F7" s="27">
        <f t="shared" si="1"/>
        <v>1.6007641318357617</v>
      </c>
      <c r="G7" s="27">
        <f t="shared" si="1"/>
        <v>1.9158074019517657</v>
      </c>
      <c r="H7" s="27">
        <f t="shared" si="1"/>
        <v>2.0330049714601413</v>
      </c>
      <c r="I7" s="27">
        <f t="shared" si="1"/>
        <v>2.1136070705210868</v>
      </c>
      <c r="J7" s="27">
        <f t="shared" si="1"/>
        <v>2.1941631375437347</v>
      </c>
      <c r="K7" s="27">
        <f t="shared" si="1"/>
        <v>2.2527619222979247</v>
      </c>
    </row>
    <row r="8" spans="2:11">
      <c r="D8" s="27"/>
    </row>
    <row r="9" spans="2:11">
      <c r="B9" t="s">
        <v>20</v>
      </c>
      <c r="C9" t="s">
        <v>12</v>
      </c>
      <c r="D9" s="27">
        <v>24.108039300057399</v>
      </c>
      <c r="E9">
        <f t="shared" ref="E9:K13" si="2">$D9*E$14</f>
        <v>38.879783559795094</v>
      </c>
      <c r="F9">
        <f t="shared" si="2"/>
        <v>45.636257354224405</v>
      </c>
      <c r="G9">
        <f t="shared" si="2"/>
        <v>50.294385127108718</v>
      </c>
      <c r="H9">
        <f t="shared" si="2"/>
        <v>52.434655880675031</v>
      </c>
      <c r="I9">
        <f t="shared" si="2"/>
        <v>55.539986503411271</v>
      </c>
      <c r="J9">
        <f t="shared" si="2"/>
        <v>56.799046851850221</v>
      </c>
      <c r="K9">
        <f t="shared" si="2"/>
        <v>58.100031932310522</v>
      </c>
    </row>
    <row r="10" spans="2:11">
      <c r="B10" t="s">
        <v>20</v>
      </c>
      <c r="C10" t="s">
        <v>14</v>
      </c>
      <c r="D10" s="27">
        <v>100</v>
      </c>
      <c r="E10">
        <f t="shared" si="2"/>
        <v>161.27310510773279</v>
      </c>
      <c r="F10">
        <f t="shared" si="2"/>
        <v>189.29891720441881</v>
      </c>
      <c r="G10">
        <f t="shared" si="2"/>
        <v>208.62080279995632</v>
      </c>
      <c r="H10">
        <f t="shared" si="2"/>
        <v>217.49863283386213</v>
      </c>
      <c r="I10">
        <f t="shared" si="2"/>
        <v>230.37952531991698</v>
      </c>
      <c r="J10">
        <f t="shared" si="2"/>
        <v>235.60209996718808</v>
      </c>
      <c r="K10">
        <f t="shared" si="2"/>
        <v>240.99857814721659</v>
      </c>
    </row>
    <row r="11" spans="2:11">
      <c r="B11" t="s">
        <v>20</v>
      </c>
      <c r="C11" t="s">
        <v>15</v>
      </c>
      <c r="D11" s="27">
        <v>23.305902969622899</v>
      </c>
      <c r="E11">
        <f t="shared" si="2"/>
        <v>37.586153392506155</v>
      </c>
      <c r="F11">
        <f t="shared" si="2"/>
        <v>44.117821966208638</v>
      </c>
      <c r="G11">
        <f t="shared" si="2"/>
        <v>48.620961875006152</v>
      </c>
      <c r="H11">
        <f t="shared" si="2"/>
        <v>50.690020328516276</v>
      </c>
      <c r="I11">
        <f t="shared" si="2"/>
        <v>53.692028632937664</v>
      </c>
      <c r="J11">
        <f t="shared" si="2"/>
        <v>54.909196812746799</v>
      </c>
      <c r="K11">
        <f t="shared" si="2"/>
        <v>56.166894781161112</v>
      </c>
    </row>
    <row r="12" spans="2:11">
      <c r="B12" t="s">
        <v>20</v>
      </c>
      <c r="C12" t="s">
        <v>16</v>
      </c>
      <c r="D12" s="27">
        <v>32.7896200185357</v>
      </c>
      <c r="E12">
        <f t="shared" si="2"/>
        <v>52.88083835691927</v>
      </c>
      <c r="F12">
        <f t="shared" si="2"/>
        <v>62.070395650531431</v>
      </c>
      <c r="G12">
        <f t="shared" si="2"/>
        <v>68.405968517724361</v>
      </c>
      <c r="H12">
        <f t="shared" si="2"/>
        <v>71.316975251733524</v>
      </c>
      <c r="I12">
        <f t="shared" si="2"/>
        <v>75.540570952907018</v>
      </c>
      <c r="J12">
        <f t="shared" si="2"/>
        <v>77.253033334931601</v>
      </c>
      <c r="K12">
        <f t="shared" si="2"/>
        <v>79.02251802454613</v>
      </c>
    </row>
    <row r="13" spans="2:11">
      <c r="B13" t="s">
        <v>20</v>
      </c>
      <c r="C13" t="s">
        <v>17</v>
      </c>
      <c r="D13" s="27">
        <v>38.3946500286862</v>
      </c>
      <c r="E13">
        <f t="shared" si="2"/>
        <v>61.920244296509253</v>
      </c>
      <c r="F13">
        <f t="shared" si="2"/>
        <v>72.680656768729051</v>
      </c>
      <c r="G13">
        <f t="shared" si="2"/>
        <v>80.099227122078815</v>
      </c>
      <c r="H13">
        <f t="shared" si="2"/>
        <v>83.507838893738537</v>
      </c>
      <c r="I13">
        <f t="shared" si="2"/>
        <v>88.453412484330627</v>
      </c>
      <c r="J13">
        <f t="shared" si="2"/>
        <v>90.458601742637271</v>
      </c>
      <c r="K13">
        <f t="shared" si="2"/>
        <v>92.53056065373363</v>
      </c>
    </row>
    <row r="14" spans="2:11">
      <c r="B14" t="s">
        <v>20</v>
      </c>
      <c r="D14" s="27">
        <f t="shared" ref="D14:K14" si="3">INDEX($E$44:$L$46,MATCH($B14,$D$44:$D$46,0),MATCH(D$2,$E$35:$L$35,0))</f>
        <v>1</v>
      </c>
      <c r="E14" s="27">
        <f t="shared" si="3"/>
        <v>1.6127310510773278</v>
      </c>
      <c r="F14" s="27">
        <f t="shared" si="3"/>
        <v>1.892989172044188</v>
      </c>
      <c r="G14" s="27">
        <f t="shared" si="3"/>
        <v>2.0862080279995632</v>
      </c>
      <c r="H14" s="27">
        <f t="shared" si="3"/>
        <v>2.1749863283386213</v>
      </c>
      <c r="I14" s="27">
        <f t="shared" si="3"/>
        <v>2.3037952531991697</v>
      </c>
      <c r="J14" s="27">
        <f t="shared" si="3"/>
        <v>2.3560209996718808</v>
      </c>
      <c r="K14" s="27">
        <f t="shared" si="3"/>
        <v>2.4099857814721659</v>
      </c>
    </row>
    <row r="15" spans="2:11">
      <c r="D15" s="27"/>
    </row>
    <row r="16" spans="2:11">
      <c r="B16" t="s">
        <v>21</v>
      </c>
      <c r="C16" t="s">
        <v>12</v>
      </c>
      <c r="D16" s="27">
        <v>38</v>
      </c>
      <c r="E16">
        <f t="shared" ref="E16:K20" si="4">$D16*E$14</f>
        <v>61.283779940938459</v>
      </c>
      <c r="F16">
        <f t="shared" si="4"/>
        <v>71.933588537679142</v>
      </c>
      <c r="G16">
        <f t="shared" si="4"/>
        <v>79.275905063983402</v>
      </c>
      <c r="H16">
        <f t="shared" si="4"/>
        <v>82.649480476867609</v>
      </c>
      <c r="I16">
        <f t="shared" si="4"/>
        <v>87.544219621568445</v>
      </c>
      <c r="J16">
        <f t="shared" si="4"/>
        <v>89.528797987531476</v>
      </c>
      <c r="K16">
        <f t="shared" si="4"/>
        <v>91.579459695942305</v>
      </c>
    </row>
    <row r="17" spans="2:11">
      <c r="B17" t="s">
        <v>21</v>
      </c>
      <c r="C17" t="s">
        <v>14</v>
      </c>
      <c r="D17" s="27">
        <v>63.29</v>
      </c>
      <c r="E17">
        <f t="shared" si="4"/>
        <v>102.06974822268408</v>
      </c>
      <c r="F17">
        <f t="shared" si="4"/>
        <v>119.80728469867665</v>
      </c>
      <c r="G17">
        <f t="shared" si="4"/>
        <v>132.03610609209235</v>
      </c>
      <c r="H17">
        <f t="shared" si="4"/>
        <v>137.65488472055134</v>
      </c>
      <c r="I17">
        <f t="shared" si="4"/>
        <v>145.80720157497544</v>
      </c>
      <c r="J17">
        <f t="shared" si="4"/>
        <v>149.11256906923333</v>
      </c>
      <c r="K17">
        <f t="shared" si="4"/>
        <v>152.52800010937338</v>
      </c>
    </row>
    <row r="18" spans="2:11">
      <c r="B18" t="s">
        <v>21</v>
      </c>
      <c r="C18" t="s">
        <v>15</v>
      </c>
      <c r="D18" s="27">
        <v>29.5</v>
      </c>
      <c r="E18">
        <f t="shared" si="4"/>
        <v>47.575566006781173</v>
      </c>
      <c r="F18">
        <f t="shared" si="4"/>
        <v>55.843180575303549</v>
      </c>
      <c r="G18">
        <f t="shared" si="4"/>
        <v>61.543136825987112</v>
      </c>
      <c r="H18">
        <f t="shared" si="4"/>
        <v>64.162096685989326</v>
      </c>
      <c r="I18">
        <f t="shared" si="4"/>
        <v>67.961959969375499</v>
      </c>
      <c r="J18">
        <f t="shared" si="4"/>
        <v>69.502619490320484</v>
      </c>
      <c r="K18">
        <f t="shared" si="4"/>
        <v>71.094580553428898</v>
      </c>
    </row>
    <row r="19" spans="2:11">
      <c r="B19" t="s">
        <v>21</v>
      </c>
      <c r="C19" t="s">
        <v>16</v>
      </c>
      <c r="D19" s="27">
        <v>42.2</v>
      </c>
      <c r="E19">
        <f t="shared" si="4"/>
        <v>68.057250355463239</v>
      </c>
      <c r="F19">
        <f t="shared" si="4"/>
        <v>79.884143060264748</v>
      </c>
      <c r="G19">
        <f t="shared" si="4"/>
        <v>88.037978781581572</v>
      </c>
      <c r="H19">
        <f t="shared" si="4"/>
        <v>91.784423055889818</v>
      </c>
      <c r="I19">
        <f t="shared" si="4"/>
        <v>97.220159685004973</v>
      </c>
      <c r="J19">
        <f t="shared" si="4"/>
        <v>99.424086186153374</v>
      </c>
      <c r="K19">
        <f t="shared" si="4"/>
        <v>101.70139997812541</v>
      </c>
    </row>
    <row r="20" spans="2:11">
      <c r="B20" t="s">
        <v>21</v>
      </c>
      <c r="C20" t="s">
        <v>17</v>
      </c>
      <c r="D20" s="27">
        <v>41.822222222222202</v>
      </c>
      <c r="E20">
        <f t="shared" si="4"/>
        <v>67.447996402833994</v>
      </c>
      <c r="F20">
        <f t="shared" si="4"/>
        <v>79.169013817492441</v>
      </c>
      <c r="G20">
        <f t="shared" si="4"/>
        <v>87.249855748781684</v>
      </c>
      <c r="H20">
        <f t="shared" si="4"/>
        <v>90.962761554072955</v>
      </c>
      <c r="I20">
        <f t="shared" si="4"/>
        <v>96.349837033796334</v>
      </c>
      <c r="J20">
        <f t="shared" si="4"/>
        <v>98.534033808499501</v>
      </c>
      <c r="K20">
        <f t="shared" si="4"/>
        <v>100.79096090512475</v>
      </c>
    </row>
    <row r="21" spans="2:11">
      <c r="B21" t="s">
        <v>21</v>
      </c>
      <c r="D21" s="27">
        <f t="shared" ref="D21:K21" si="5">INDEX($E$44:$L$46,MATCH($B21,$D$44:$D$46,0),MATCH(D$2,$E$35:$L$35,0))</f>
        <v>1</v>
      </c>
      <c r="E21" s="27">
        <f t="shared" si="5"/>
        <v>1.2871977910970434</v>
      </c>
      <c r="F21" s="27">
        <f t="shared" si="5"/>
        <v>1.4415381507172191</v>
      </c>
      <c r="G21" s="27">
        <f t="shared" si="5"/>
        <v>1.5680113138931919</v>
      </c>
      <c r="H21" s="27">
        <f t="shared" si="5"/>
        <v>1.6751969829618156</v>
      </c>
      <c r="I21" s="27">
        <f t="shared" si="5"/>
        <v>1.7309313758502261</v>
      </c>
      <c r="J21" s="27">
        <f t="shared" si="5"/>
        <v>1.767364805710822</v>
      </c>
      <c r="K21" s="27">
        <f t="shared" si="5"/>
        <v>1.7930904438009283</v>
      </c>
    </row>
    <row r="34" spans="4:15">
      <c r="D34" t="s">
        <v>293</v>
      </c>
    </row>
    <row r="35" spans="4:15">
      <c r="E35">
        <v>2015</v>
      </c>
      <c r="F35">
        <v>2020</v>
      </c>
      <c r="G35">
        <v>2025</v>
      </c>
      <c r="H35">
        <v>2030</v>
      </c>
      <c r="I35">
        <v>2035</v>
      </c>
      <c r="J35">
        <v>2040</v>
      </c>
      <c r="K35">
        <v>2045</v>
      </c>
      <c r="L35">
        <v>2050</v>
      </c>
    </row>
    <row r="36" spans="4:15">
      <c r="D36" t="s">
        <v>18</v>
      </c>
      <c r="E36">
        <v>664031</v>
      </c>
      <c r="F36">
        <v>670398</v>
      </c>
      <c r="G36">
        <v>677082</v>
      </c>
      <c r="H36">
        <v>683926</v>
      </c>
      <c r="I36">
        <v>686472</v>
      </c>
      <c r="J36">
        <v>688223</v>
      </c>
      <c r="K36">
        <v>689973</v>
      </c>
      <c r="L36">
        <v>691246</v>
      </c>
      <c r="N36">
        <v>0</v>
      </c>
      <c r="O36">
        <v>642.30700000000002</v>
      </c>
    </row>
    <row r="37" spans="4:15">
      <c r="D37" t="s">
        <v>21</v>
      </c>
      <c r="E37">
        <v>716552</v>
      </c>
      <c r="F37">
        <v>737875</v>
      </c>
      <c r="G37">
        <v>749334</v>
      </c>
      <c r="H37">
        <v>758724</v>
      </c>
      <c r="I37">
        <v>766682</v>
      </c>
      <c r="J37">
        <v>770820</v>
      </c>
      <c r="K37">
        <v>773525</v>
      </c>
      <c r="L37">
        <v>775435</v>
      </c>
      <c r="N37">
        <v>160</v>
      </c>
      <c r="O37">
        <v>913.85900000000004</v>
      </c>
    </row>
    <row r="38" spans="4:15">
      <c r="D38" t="s">
        <v>20</v>
      </c>
      <c r="E38">
        <v>733737</v>
      </c>
      <c r="F38">
        <v>789759</v>
      </c>
      <c r="G38">
        <v>815383</v>
      </c>
      <c r="H38">
        <v>833049</v>
      </c>
      <c r="I38">
        <v>841166</v>
      </c>
      <c r="J38">
        <v>852943</v>
      </c>
      <c r="K38">
        <v>857718</v>
      </c>
      <c r="L38">
        <v>862652</v>
      </c>
    </row>
    <row r="40" spans="4:15">
      <c r="D40" t="s">
        <v>18</v>
      </c>
      <c r="E40" s="27">
        <f t="shared" ref="E40:L42" si="6">(E36/1000-$O$36)*($N$37)/($O$37-$O$36)</f>
        <v>12.799905727079855</v>
      </c>
      <c r="F40" s="27">
        <f t="shared" si="6"/>
        <v>16.551378741456521</v>
      </c>
      <c r="G40" s="27">
        <f t="shared" si="6"/>
        <v>20.489629978788578</v>
      </c>
      <c r="H40" s="27">
        <f t="shared" si="6"/>
        <v>24.522154136224383</v>
      </c>
      <c r="I40" s="27">
        <f t="shared" si="6"/>
        <v>26.022271977374476</v>
      </c>
      <c r="J40" s="27">
        <f t="shared" si="6"/>
        <v>27.053971246759332</v>
      </c>
      <c r="K40" s="27">
        <f t="shared" si="6"/>
        <v>28.085081310393551</v>
      </c>
      <c r="L40" s="27">
        <f t="shared" si="6"/>
        <v>28.83514023096863</v>
      </c>
    </row>
    <row r="41" spans="4:15">
      <c r="D41" t="s">
        <v>21</v>
      </c>
      <c r="E41" s="27">
        <f t="shared" si="6"/>
        <v>43.745580956870135</v>
      </c>
      <c r="F41" s="27">
        <f t="shared" si="6"/>
        <v>56.309215177940125</v>
      </c>
      <c r="G41" s="27">
        <f t="shared" si="6"/>
        <v>63.060923874616968</v>
      </c>
      <c r="H41" s="27">
        <f t="shared" si="6"/>
        <v>68.593565873202934</v>
      </c>
      <c r="I41" s="27">
        <f t="shared" si="6"/>
        <v>73.282465236860702</v>
      </c>
      <c r="J41" s="27">
        <f t="shared" si="6"/>
        <v>75.72059863304267</v>
      </c>
      <c r="K41" s="27">
        <f t="shared" si="6"/>
        <v>77.314400188545818</v>
      </c>
      <c r="L41" s="27">
        <f t="shared" si="6"/>
        <v>78.439783172283711</v>
      </c>
    </row>
    <row r="42" spans="4:15">
      <c r="D42" t="s">
        <v>20</v>
      </c>
      <c r="E42" s="27">
        <f t="shared" si="6"/>
        <v>53.871081781758157</v>
      </c>
      <c r="F42" s="27">
        <f t="shared" si="6"/>
        <v>86.879566344567522</v>
      </c>
      <c r="G42" s="27">
        <f t="shared" si="6"/>
        <v>101.97737449917511</v>
      </c>
      <c r="H42" s="27">
        <f t="shared" si="6"/>
        <v>112.38628329012488</v>
      </c>
      <c r="I42" s="27">
        <f t="shared" si="6"/>
        <v>117.16886636813577</v>
      </c>
      <c r="J42" s="27">
        <f t="shared" si="6"/>
        <v>124.10794249351871</v>
      </c>
      <c r="K42" s="27">
        <f t="shared" si="6"/>
        <v>126.92139995286351</v>
      </c>
      <c r="L42" s="27">
        <f t="shared" si="6"/>
        <v>129.82854112656139</v>
      </c>
    </row>
    <row r="44" spans="4:15">
      <c r="D44" t="s">
        <v>18</v>
      </c>
      <c r="E44" s="91">
        <f t="shared" ref="E44:L46" si="7">E40/$E40</f>
        <v>1</v>
      </c>
      <c r="F44" s="91">
        <f t="shared" si="7"/>
        <v>1.2930859878475465</v>
      </c>
      <c r="G44" s="91">
        <f t="shared" si="7"/>
        <v>1.6007641318357617</v>
      </c>
      <c r="H44" s="91">
        <f t="shared" si="7"/>
        <v>1.9158074019517657</v>
      </c>
      <c r="I44" s="91">
        <f t="shared" si="7"/>
        <v>2.0330049714601413</v>
      </c>
      <c r="J44" s="91">
        <f t="shared" si="7"/>
        <v>2.1136070705210868</v>
      </c>
      <c r="K44" s="91">
        <f t="shared" si="7"/>
        <v>2.1941631375437347</v>
      </c>
      <c r="L44" s="91">
        <f t="shared" si="7"/>
        <v>2.2527619222979247</v>
      </c>
    </row>
    <row r="45" spans="4:15">
      <c r="D45" t="s">
        <v>21</v>
      </c>
      <c r="E45" s="91">
        <f t="shared" si="7"/>
        <v>1</v>
      </c>
      <c r="F45" s="91">
        <f t="shared" si="7"/>
        <v>1.2871977910970434</v>
      </c>
      <c r="G45" s="91">
        <f t="shared" si="7"/>
        <v>1.4415381507172191</v>
      </c>
      <c r="H45" s="91">
        <f t="shared" si="7"/>
        <v>1.5680113138931919</v>
      </c>
      <c r="I45" s="91">
        <f t="shared" si="7"/>
        <v>1.6751969829618156</v>
      </c>
      <c r="J45" s="91">
        <f t="shared" si="7"/>
        <v>1.7309313758502261</v>
      </c>
      <c r="K45" s="91">
        <f t="shared" si="7"/>
        <v>1.767364805710822</v>
      </c>
      <c r="L45" s="91">
        <f t="shared" si="7"/>
        <v>1.7930904438009283</v>
      </c>
    </row>
    <row r="46" spans="4:15">
      <c r="D46" t="s">
        <v>20</v>
      </c>
      <c r="E46" s="91">
        <f t="shared" si="7"/>
        <v>1</v>
      </c>
      <c r="F46" s="91">
        <f t="shared" si="7"/>
        <v>1.6127310510773278</v>
      </c>
      <c r="G46" s="91">
        <f t="shared" si="7"/>
        <v>1.892989172044188</v>
      </c>
      <c r="H46" s="91">
        <f t="shared" si="7"/>
        <v>2.0862080279995632</v>
      </c>
      <c r="I46" s="91">
        <f t="shared" si="7"/>
        <v>2.1749863283386213</v>
      </c>
      <c r="J46" s="91">
        <f t="shared" si="7"/>
        <v>2.3037952531991697</v>
      </c>
      <c r="K46" s="91">
        <f t="shared" si="7"/>
        <v>2.3560209996718808</v>
      </c>
      <c r="L46" s="91">
        <f t="shared" si="7"/>
        <v>2.4099857814721659</v>
      </c>
    </row>
    <row r="49" spans="4:12">
      <c r="D49" t="s">
        <v>294</v>
      </c>
    </row>
    <row r="50" spans="4:12">
      <c r="D50" t="s">
        <v>295</v>
      </c>
      <c r="E50">
        <v>7</v>
      </c>
      <c r="F50">
        <v>15</v>
      </c>
      <c r="G50">
        <v>23</v>
      </c>
      <c r="H50">
        <v>34</v>
      </c>
      <c r="I50">
        <v>42</v>
      </c>
      <c r="J50">
        <v>49.5</v>
      </c>
      <c r="K50">
        <v>69</v>
      </c>
      <c r="L50">
        <v>87.5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FUEL_NODE_ENCAR</vt:lpstr>
      <vt:lpstr>NODE_ENCAR_DMND</vt:lpstr>
      <vt:lpstr>PLANT_ENCAR_CAP</vt:lpstr>
      <vt:lpstr>ALL_CAPACITY</vt:lpstr>
      <vt:lpstr>DE</vt:lpstr>
      <vt:lpstr>FR</vt:lpstr>
      <vt:lpstr>IT</vt:lpstr>
      <vt:lpstr>AT</vt:lpstr>
      <vt:lpstr>PRICES</vt:lpstr>
      <vt:lpstr>CH</vt:lpstr>
      <vt:lpstr>CH_SCEN</vt:lpstr>
      <vt:lpstr>CH_SCEN_REN</vt:lpstr>
      <vt:lpstr>CH_EXIST</vt:lpstr>
      <vt:lpstr>ERG_INP</vt:lpstr>
      <vt:lpstr>ERG_CHP</vt:lpstr>
      <vt:lpstr>VC_FL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ashreeta</dc:creator>
  <cp:lastModifiedBy>martin s</cp:lastModifiedBy>
  <cp:revision>116</cp:revision>
  <dcterms:created xsi:type="dcterms:W3CDTF">2019-01-05T18:24:41Z</dcterms:created>
  <dcterms:modified xsi:type="dcterms:W3CDTF">2019-02-05T16:51:23Z</dcterms:modified>
</cp:coreProperties>
</file>