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\Desktop\"/>
    </mc:Choice>
  </mc:AlternateContent>
  <xr:revisionPtr revIDLastSave="0" documentId="13_ncr:1_{B7EA8ECD-5282-410E-B496-362B16591DF7}" xr6:coauthVersionLast="47" xr6:coauthVersionMax="47" xr10:uidLastSave="{00000000-0000-0000-0000-000000000000}"/>
  <bookViews>
    <workbookView xWindow="11775" yWindow="615" windowWidth="43260" windowHeight="30345" xr2:uid="{38FC2614-CCDF-4C46-B427-4B7A7868CB3A}"/>
  </bookViews>
  <sheets>
    <sheet name="Sheet1" sheetId="1" r:id="rId1"/>
  </sheets>
  <definedNames>
    <definedName name="clock">Sheet1!$F$6</definedName>
    <definedName name="enable_a">Sheet1!$I$84</definedName>
    <definedName name="enable_b">Sheet1!$I$94</definedName>
    <definedName name="enable_buffer">Sheet1!$I$74</definedName>
    <definedName name="enable_read_cu">Sheet1!$I$37</definedName>
    <definedName name="read">Sheet1!$L$33</definedName>
    <definedName name="reset">Sheet1!$E$2</definedName>
    <definedName name="write">Sheet1!$L$10</definedName>
  </definedNames>
  <calcPr calcId="18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6" i="1" l="1"/>
  <c r="B119" i="1"/>
  <c r="B120" i="1"/>
  <c r="B121" i="1"/>
  <c r="B122" i="1"/>
  <c r="B123" i="1"/>
  <c r="B117" i="1"/>
  <c r="B118" i="1"/>
  <c r="I68" i="1"/>
  <c r="U68" i="1" s="1"/>
  <c r="I67" i="1"/>
  <c r="J67" i="1" s="1"/>
  <c r="I66" i="1"/>
  <c r="J66" i="1" s="1"/>
  <c r="K66" i="1" s="1"/>
  <c r="I65" i="1"/>
  <c r="J65" i="1" s="1"/>
  <c r="M116" i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U53" i="1" s="1"/>
  <c r="Y15" i="1"/>
  <c r="Y16" i="1"/>
  <c r="Y17" i="1"/>
  <c r="Y22" i="1"/>
  <c r="Y38" i="1"/>
  <c r="Y40" i="1"/>
  <c r="Y11" i="1"/>
  <c r="Y31" i="1"/>
  <c r="Y20" i="1"/>
  <c r="Y21" i="1"/>
  <c r="Y29" i="1"/>
  <c r="Y18" i="1"/>
  <c r="Y33" i="1"/>
  <c r="Y10" i="1"/>
  <c r="Y26" i="1"/>
  <c r="Y12" i="1"/>
  <c r="Y13" i="1"/>
  <c r="Y19" i="1"/>
  <c r="Y35" i="1"/>
  <c r="Y28" i="1"/>
  <c r="Y32" i="1"/>
  <c r="Y14" i="1"/>
  <c r="Y30" i="1"/>
  <c r="Y24" i="1"/>
  <c r="Y25" i="1"/>
  <c r="Y23" i="1"/>
  <c r="Y39" i="1"/>
  <c r="Y36" i="1"/>
  <c r="Y37" i="1"/>
  <c r="Y34" i="1"/>
  <c r="Y27" i="1"/>
  <c r="Y9" i="1"/>
  <c r="U61" i="1" l="1"/>
  <c r="U57" i="1"/>
  <c r="U65" i="1"/>
  <c r="U64" i="1"/>
  <c r="U60" i="1"/>
  <c r="U56" i="1"/>
  <c r="U67" i="1"/>
  <c r="U63" i="1"/>
  <c r="U59" i="1"/>
  <c r="U55" i="1"/>
  <c r="U66" i="1"/>
  <c r="U62" i="1"/>
  <c r="U58" i="1"/>
  <c r="U54" i="1"/>
  <c r="AA29" i="1"/>
  <c r="AB29" i="1" s="1"/>
  <c r="AC29" i="1" s="1"/>
  <c r="AD29" i="1" s="1"/>
  <c r="AE29" i="1" s="1"/>
  <c r="AA25" i="1"/>
  <c r="AB25" i="1" s="1"/>
  <c r="AC25" i="1" s="1"/>
  <c r="AD25" i="1" s="1"/>
  <c r="AA21" i="1"/>
  <c r="AB21" i="1" s="1"/>
  <c r="AC21" i="1" s="1"/>
  <c r="AD21" i="1" s="1"/>
  <c r="AA17" i="1"/>
  <c r="AB17" i="1" s="1"/>
  <c r="AC17" i="1" s="1"/>
  <c r="AD17" i="1" s="1"/>
  <c r="AA13" i="1"/>
  <c r="AB13" i="1" s="1"/>
  <c r="AC13" i="1" s="1"/>
  <c r="AD13" i="1" s="1"/>
  <c r="AA36" i="1"/>
  <c r="AB36" i="1" s="1"/>
  <c r="AC36" i="1" s="1"/>
  <c r="AD36" i="1" s="1"/>
  <c r="AA32" i="1"/>
  <c r="AB32" i="1" s="1"/>
  <c r="AC32" i="1" s="1"/>
  <c r="AA28" i="1"/>
  <c r="AB28" i="1" s="1"/>
  <c r="AC28" i="1" s="1"/>
  <c r="AD28" i="1" s="1"/>
  <c r="AE28" i="1" s="1"/>
  <c r="AA24" i="1"/>
  <c r="AB24" i="1" s="1"/>
  <c r="AC24" i="1" s="1"/>
  <c r="AD24" i="1" s="1"/>
  <c r="AE24" i="1" s="1"/>
  <c r="AA20" i="1"/>
  <c r="AB20" i="1" s="1"/>
  <c r="AC20" i="1" s="1"/>
  <c r="AD20" i="1" s="1"/>
  <c r="AE20" i="1" s="1"/>
  <c r="AA16" i="1"/>
  <c r="AB16" i="1" s="1"/>
  <c r="AC16" i="1" s="1"/>
  <c r="AD16" i="1" s="1"/>
  <c r="AE16" i="1" s="1"/>
  <c r="AA12" i="1"/>
  <c r="AB12" i="1" s="1"/>
  <c r="AC12" i="1" s="1"/>
  <c r="AA33" i="1"/>
  <c r="AB33" i="1" s="1"/>
  <c r="AC33" i="1" s="1"/>
  <c r="AD33" i="1" s="1"/>
  <c r="AE33" i="1" s="1"/>
  <c r="AA35" i="1"/>
  <c r="AB35" i="1" s="1"/>
  <c r="AC35" i="1" s="1"/>
  <c r="AD35" i="1" s="1"/>
  <c r="AE35" i="1" s="1"/>
  <c r="AA31" i="1"/>
  <c r="AB31" i="1" s="1"/>
  <c r="AC31" i="1" s="1"/>
  <c r="AD31" i="1" s="1"/>
  <c r="AE31" i="1" s="1"/>
  <c r="AA27" i="1"/>
  <c r="AB27" i="1" s="1"/>
  <c r="AC27" i="1" s="1"/>
  <c r="AD27" i="1" s="1"/>
  <c r="AE27" i="1" s="1"/>
  <c r="AA23" i="1"/>
  <c r="AB23" i="1" s="1"/>
  <c r="AC23" i="1" s="1"/>
  <c r="AD23" i="1" s="1"/>
  <c r="AA19" i="1"/>
  <c r="AB19" i="1" s="1"/>
  <c r="AC19" i="1" s="1"/>
  <c r="AD19" i="1" s="1"/>
  <c r="AA15" i="1"/>
  <c r="AB15" i="1" s="1"/>
  <c r="AC15" i="1" s="1"/>
  <c r="AD15" i="1" s="1"/>
  <c r="AE15" i="1" s="1"/>
  <c r="AA11" i="1"/>
  <c r="AB11" i="1" s="1"/>
  <c r="AC11" i="1" s="1"/>
  <c r="AA37" i="1"/>
  <c r="AB37" i="1" s="1"/>
  <c r="AC37" i="1" s="1"/>
  <c r="AD37" i="1" s="1"/>
  <c r="AE37" i="1" s="1"/>
  <c r="AA34" i="1"/>
  <c r="AB34" i="1" s="1"/>
  <c r="AC34" i="1" s="1"/>
  <c r="AD34" i="1" s="1"/>
  <c r="AA30" i="1"/>
  <c r="AB30" i="1" s="1"/>
  <c r="AC30" i="1" s="1"/>
  <c r="AD30" i="1" s="1"/>
  <c r="AA26" i="1"/>
  <c r="AB26" i="1" s="1"/>
  <c r="AC26" i="1" s="1"/>
  <c r="AA22" i="1"/>
  <c r="AB22" i="1" s="1"/>
  <c r="AC22" i="1" s="1"/>
  <c r="AD22" i="1" s="1"/>
  <c r="AE22" i="1" s="1"/>
  <c r="AA18" i="1"/>
  <c r="AB18" i="1" s="1"/>
  <c r="AC18" i="1" s="1"/>
  <c r="AD18" i="1" s="1"/>
  <c r="AE18" i="1" s="1"/>
  <c r="AA14" i="1"/>
  <c r="AB14" i="1" s="1"/>
  <c r="AC14" i="1" s="1"/>
  <c r="AD14" i="1" s="1"/>
  <c r="AA10" i="1"/>
  <c r="AB10" i="1" s="1"/>
  <c r="AC10" i="1" s="1"/>
  <c r="AD10" i="1" s="1"/>
  <c r="AE10" i="1" s="1"/>
  <c r="AA9" i="1"/>
  <c r="AB9" i="1" s="1"/>
  <c r="AC9" i="1" s="1"/>
  <c r="L66" i="1"/>
  <c r="K65" i="1"/>
  <c r="L65" i="1" s="1"/>
  <c r="J53" i="1"/>
  <c r="K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K62" i="1"/>
  <c r="L62" i="1" s="1"/>
  <c r="K63" i="1"/>
  <c r="L63" i="1" s="1"/>
  <c r="K64" i="1"/>
  <c r="K67" i="1"/>
  <c r="L67" i="1" s="1"/>
  <c r="J68" i="1"/>
  <c r="K68" i="1" s="1"/>
  <c r="L68" i="1" s="1"/>
  <c r="AD9" i="1" l="1"/>
  <c r="AE9" i="1" s="1"/>
  <c r="AE19" i="1"/>
  <c r="AF19" i="1" s="1"/>
  <c r="AE14" i="1"/>
  <c r="AF14" i="1" s="1"/>
  <c r="AE25" i="1"/>
  <c r="AF25" i="1" s="1"/>
  <c r="AD11" i="1"/>
  <c r="AE11" i="1" s="1"/>
  <c r="AE23" i="1"/>
  <c r="AF23" i="1" s="1"/>
  <c r="AF33" i="1"/>
  <c r="AF18" i="1"/>
  <c r="AF35" i="1"/>
  <c r="AF24" i="1"/>
  <c r="AF20" i="1"/>
  <c r="AF15" i="1"/>
  <c r="AF28" i="1"/>
  <c r="AF29" i="1"/>
  <c r="AF10" i="1"/>
  <c r="AF27" i="1"/>
  <c r="AF37" i="1"/>
  <c r="AD12" i="1"/>
  <c r="AE12" i="1" s="1"/>
  <c r="AF12" i="1" s="1"/>
  <c r="AD32" i="1"/>
  <c r="AE32" i="1" s="1"/>
  <c r="AE13" i="1"/>
  <c r="AF13" i="1" s="1"/>
  <c r="AE17" i="1"/>
  <c r="AF17" i="1" s="1"/>
  <c r="AE21" i="1"/>
  <c r="AF21" i="1" s="1"/>
  <c r="AD26" i="1"/>
  <c r="AE30" i="1"/>
  <c r="AF30" i="1" s="1"/>
  <c r="AE34" i="1"/>
  <c r="AF34" i="1" s="1"/>
  <c r="AE36" i="1"/>
  <c r="AF36" i="1" s="1"/>
  <c r="AF16" i="1"/>
  <c r="AF22" i="1"/>
  <c r="AF31" i="1"/>
  <c r="L53" i="1"/>
  <c r="L61" i="1"/>
  <c r="L64" i="1"/>
  <c r="AF9" i="1" l="1"/>
  <c r="AF11" i="1"/>
  <c r="AF32" i="1"/>
  <c r="AE26" i="1"/>
  <c r="AF26" i="1" s="1"/>
  <c r="I14" i="1"/>
  <c r="J14" i="1"/>
  <c r="K14" i="1"/>
  <c r="L14" i="1"/>
  <c r="I15" i="1"/>
  <c r="J15" i="1"/>
  <c r="K15" i="1"/>
  <c r="L15" i="1"/>
  <c r="I16" i="1"/>
  <c r="J16" i="1"/>
  <c r="M16" i="1" s="1"/>
  <c r="K16" i="1"/>
  <c r="L16" i="1"/>
  <c r="I17" i="1"/>
  <c r="J17" i="1"/>
  <c r="M17" i="1" s="1"/>
  <c r="K17" i="1"/>
  <c r="L17" i="1"/>
  <c r="I18" i="1"/>
  <c r="J18" i="1"/>
  <c r="M18" i="1" s="1"/>
  <c r="K18" i="1"/>
  <c r="L18" i="1"/>
  <c r="I19" i="1"/>
  <c r="J19" i="1"/>
  <c r="M19" i="1" s="1"/>
  <c r="K19" i="1"/>
  <c r="L19" i="1"/>
  <c r="I20" i="1"/>
  <c r="J20" i="1"/>
  <c r="K20" i="1"/>
  <c r="L20" i="1"/>
  <c r="I21" i="1"/>
  <c r="J21" i="1"/>
  <c r="M21" i="1" s="1"/>
  <c r="K21" i="1"/>
  <c r="L21" i="1"/>
  <c r="I22" i="1"/>
  <c r="J22" i="1"/>
  <c r="K22" i="1"/>
  <c r="L22" i="1"/>
  <c r="I23" i="1"/>
  <c r="J23" i="1"/>
  <c r="K23" i="1"/>
  <c r="L23" i="1"/>
  <c r="I24" i="1"/>
  <c r="J24" i="1"/>
  <c r="M24" i="1" s="1"/>
  <c r="K24" i="1"/>
  <c r="L24" i="1"/>
  <c r="I25" i="1"/>
  <c r="J25" i="1"/>
  <c r="M25" i="1" s="1"/>
  <c r="K25" i="1"/>
  <c r="L25" i="1"/>
  <c r="I26" i="1"/>
  <c r="J26" i="1"/>
  <c r="M26" i="1" s="1"/>
  <c r="K26" i="1"/>
  <c r="L26" i="1"/>
  <c r="I27" i="1"/>
  <c r="J27" i="1"/>
  <c r="K27" i="1"/>
  <c r="L27" i="1"/>
  <c r="I28" i="1"/>
  <c r="J28" i="1"/>
  <c r="K28" i="1"/>
  <c r="L28" i="1"/>
  <c r="I29" i="1"/>
  <c r="J29" i="1"/>
  <c r="M29" i="1" s="1"/>
  <c r="K29" i="1"/>
  <c r="L29" i="1"/>
  <c r="I39" i="1"/>
  <c r="J39" i="1"/>
  <c r="K39" i="1"/>
  <c r="L39" i="1"/>
  <c r="M39" i="1"/>
  <c r="N39" i="1"/>
  <c r="I76" i="1"/>
  <c r="J76" i="1"/>
  <c r="K76" i="1"/>
  <c r="L76" i="1"/>
  <c r="I86" i="1"/>
  <c r="J86" i="1"/>
  <c r="K86" i="1"/>
  <c r="L86" i="1"/>
  <c r="I96" i="1"/>
  <c r="J96" i="1"/>
  <c r="M96" i="1" s="1"/>
  <c r="K96" i="1"/>
  <c r="L96" i="1"/>
  <c r="I104" i="1"/>
  <c r="J104" i="1"/>
  <c r="K104" i="1"/>
  <c r="L104" i="1"/>
  <c r="M86" i="1" l="1"/>
  <c r="M104" i="1"/>
  <c r="M76" i="1"/>
  <c r="M27" i="1"/>
  <c r="M22" i="1"/>
  <c r="M14" i="1"/>
  <c r="M28" i="1"/>
  <c r="M23" i="1"/>
  <c r="M20" i="1"/>
  <c r="M15" i="1"/>
  <c r="E3" i="1"/>
  <c r="E5" i="1"/>
  <c r="E6" i="1"/>
  <c r="F6" i="1"/>
  <c r="I8" i="1"/>
  <c r="J8" i="1"/>
  <c r="K8" i="1"/>
  <c r="L8" i="1"/>
  <c r="M8" i="1"/>
  <c r="L10" i="1"/>
  <c r="I11" i="1"/>
  <c r="J11" i="1"/>
  <c r="K11" i="1"/>
  <c r="L11" i="1"/>
  <c r="M11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I31" i="1"/>
  <c r="J31" i="1"/>
  <c r="K31" i="1"/>
  <c r="L31" i="1"/>
  <c r="L33" i="1"/>
  <c r="I34" i="1"/>
  <c r="J34" i="1"/>
  <c r="K34" i="1"/>
  <c r="L34" i="1"/>
  <c r="M34" i="1"/>
  <c r="I37" i="1"/>
  <c r="I41" i="1"/>
  <c r="J41" i="1"/>
  <c r="K41" i="1"/>
  <c r="L41" i="1"/>
  <c r="M41" i="1"/>
  <c r="N41" i="1"/>
  <c r="I42" i="1"/>
  <c r="J42" i="1"/>
  <c r="K42" i="1"/>
  <c r="L42" i="1"/>
  <c r="M42" i="1"/>
  <c r="N42" i="1"/>
  <c r="I44" i="1"/>
  <c r="J44" i="1"/>
  <c r="K44" i="1"/>
  <c r="L44" i="1"/>
  <c r="M44" i="1"/>
  <c r="N44" i="1"/>
  <c r="I45" i="1"/>
  <c r="J45" i="1"/>
  <c r="K45" i="1"/>
  <c r="L45" i="1"/>
  <c r="M45" i="1"/>
  <c r="N45" i="1"/>
  <c r="J46" i="1"/>
  <c r="K46" i="1"/>
  <c r="L46" i="1"/>
  <c r="M46" i="1"/>
  <c r="N46" i="1"/>
  <c r="I49" i="1"/>
  <c r="J49" i="1"/>
  <c r="K49" i="1"/>
  <c r="L49" i="1"/>
  <c r="M49" i="1"/>
  <c r="I50" i="1"/>
  <c r="J50" i="1"/>
  <c r="K50" i="1"/>
  <c r="L50" i="1"/>
  <c r="M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P70" i="1"/>
  <c r="Q70" i="1"/>
  <c r="R70" i="1"/>
  <c r="S70" i="1"/>
  <c r="T70" i="1"/>
  <c r="U70" i="1"/>
  <c r="V70" i="1"/>
  <c r="W70" i="1"/>
  <c r="I74" i="1"/>
  <c r="I78" i="1"/>
  <c r="J78" i="1"/>
  <c r="K78" i="1"/>
  <c r="L78" i="1"/>
  <c r="M78" i="1"/>
  <c r="I79" i="1"/>
  <c r="J79" i="1"/>
  <c r="K79" i="1"/>
  <c r="L79" i="1"/>
  <c r="M79" i="1"/>
  <c r="I84" i="1"/>
  <c r="I88" i="1"/>
  <c r="J88" i="1"/>
  <c r="K88" i="1"/>
  <c r="L88" i="1"/>
  <c r="M88" i="1"/>
  <c r="I89" i="1"/>
  <c r="J89" i="1"/>
  <c r="K89" i="1"/>
  <c r="L89" i="1"/>
  <c r="M89" i="1"/>
  <c r="M91" i="1"/>
  <c r="I94" i="1"/>
  <c r="I98" i="1"/>
  <c r="J98" i="1"/>
  <c r="K98" i="1"/>
  <c r="L98" i="1"/>
  <c r="M98" i="1"/>
  <c r="I99" i="1"/>
  <c r="J99" i="1"/>
  <c r="K99" i="1"/>
  <c r="L99" i="1"/>
  <c r="M99" i="1"/>
  <c r="I102" i="1"/>
  <c r="I106" i="1"/>
  <c r="J106" i="1"/>
  <c r="K106" i="1"/>
  <c r="L106" i="1"/>
  <c r="M106" i="1"/>
  <c r="I107" i="1"/>
  <c r="J107" i="1"/>
  <c r="K107" i="1"/>
  <c r="L107" i="1"/>
  <c r="M107" i="1"/>
  <c r="C111" i="1"/>
  <c r="I112" i="1"/>
  <c r="J112" i="1"/>
  <c r="K112" i="1"/>
  <c r="L112" i="1"/>
  <c r="M112" i="1"/>
  <c r="I113" i="1"/>
  <c r="J113" i="1"/>
  <c r="K113" i="1"/>
  <c r="L113" i="1"/>
  <c r="M113" i="1"/>
  <c r="J114" i="1"/>
  <c r="K114" i="1"/>
  <c r="L114" i="1"/>
  <c r="C116" i="1"/>
  <c r="C117" i="1"/>
  <c r="D117" i="1"/>
  <c r="I117" i="1"/>
  <c r="J117" i="1"/>
  <c r="K117" i="1"/>
  <c r="L117" i="1"/>
  <c r="M117" i="1"/>
  <c r="C118" i="1"/>
  <c r="D118" i="1"/>
  <c r="I118" i="1"/>
  <c r="J118" i="1"/>
  <c r="K118" i="1"/>
  <c r="L118" i="1"/>
  <c r="M118" i="1"/>
  <c r="C119" i="1"/>
  <c r="I119" i="1"/>
  <c r="J119" i="1"/>
  <c r="K119" i="1"/>
  <c r="L119" i="1"/>
  <c r="M119" i="1"/>
  <c r="C120" i="1"/>
  <c r="I120" i="1"/>
  <c r="J120" i="1"/>
  <c r="K120" i="1"/>
  <c r="L120" i="1"/>
  <c r="M120" i="1"/>
  <c r="C121" i="1"/>
  <c r="I121" i="1"/>
  <c r="J121" i="1"/>
  <c r="K121" i="1"/>
  <c r="L121" i="1"/>
  <c r="M121" i="1"/>
  <c r="C122" i="1"/>
  <c r="I122" i="1"/>
  <c r="J122" i="1"/>
  <c r="K122" i="1"/>
  <c r="L122" i="1"/>
  <c r="M122" i="1"/>
  <c r="C123" i="1"/>
  <c r="I123" i="1"/>
  <c r="J123" i="1"/>
  <c r="K123" i="1"/>
  <c r="L123" i="1"/>
  <c r="M123" i="1"/>
  <c r="I125" i="1"/>
  <c r="J125" i="1"/>
  <c r="K125" i="1"/>
  <c r="L125" i="1"/>
  <c r="M1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Sylvain Labussiere</author>
  </authors>
  <commentList>
    <comment ref="E2" authorId="0" shapeId="0" xr:uid="{CF44536A-F675-4324-9212-90377BEE857A}">
      <text>
        <r>
          <rPr>
            <b/>
            <sz val="9"/>
            <color indexed="81"/>
            <rFont val="Tahoma"/>
            <family val="2"/>
          </rPr>
          <t xml:space="preserve">Pour lancer:
 - choisir le programme (prog col cell W10 -&gt; programmes à droite)
 - mettre "reset" à 1
 - appuyez F9 environ 10 fois et s'arreter quand la clock auto est à 3
 - mettre "reset" à 0
 - appuyer F9 pour exécuter le programme pas à pas
</t>
        </r>
      </text>
    </comment>
  </commentList>
</comments>
</file>

<file path=xl/sharedStrings.xml><?xml version="1.0" encoding="utf-8"?>
<sst xmlns="http://schemas.openxmlformats.org/spreadsheetml/2006/main" count="122" uniqueCount="65">
  <si>
    <t>clock</t>
  </si>
  <si>
    <t>d-latch 1</t>
  </si>
  <si>
    <t>d-latch 2</t>
  </si>
  <si>
    <t>data</t>
  </si>
  <si>
    <t>enable</t>
  </si>
  <si>
    <t>register A</t>
  </si>
  <si>
    <t>register B</t>
  </si>
  <si>
    <t>opcodes</t>
  </si>
  <si>
    <t>HALT</t>
  </si>
  <si>
    <t>LOAD A</t>
  </si>
  <si>
    <t>LOAD B</t>
  </si>
  <si>
    <t>WRITE A</t>
  </si>
  <si>
    <t>ALU NULL</t>
  </si>
  <si>
    <t>ALU ADD</t>
  </si>
  <si>
    <t>ALU OR</t>
  </si>
  <si>
    <t>ALU XOR</t>
  </si>
  <si>
    <t>ALU AND</t>
  </si>
  <si>
    <t>ALU</t>
  </si>
  <si>
    <t>A</t>
  </si>
  <si>
    <t>B</t>
  </si>
  <si>
    <t>opc</t>
  </si>
  <si>
    <t>ALU NOT A</t>
  </si>
  <si>
    <t>ALU PASS A</t>
  </si>
  <si>
    <t>buffer</t>
  </si>
  <si>
    <t>register MEM</t>
  </si>
  <si>
    <t>RAM</t>
  </si>
  <si>
    <t>address</t>
  </si>
  <si>
    <t>READ</t>
  </si>
  <si>
    <t>WRITE</t>
  </si>
  <si>
    <t>VLOAD A</t>
  </si>
  <si>
    <t>PROGRAM</t>
  </si>
  <si>
    <t>VLOAD MEM</t>
  </si>
  <si>
    <t>ALU DEC A</t>
  </si>
  <si>
    <t>JMP NEXT IF A !=0</t>
  </si>
  <si>
    <t>Control Unit</t>
  </si>
  <si>
    <t>Decoder</t>
  </si>
  <si>
    <t>instruction</t>
  </si>
  <si>
    <t>binary</t>
  </si>
  <si>
    <t>MEM READ</t>
  </si>
  <si>
    <t>MEM WRITE</t>
  </si>
  <si>
    <t>REG A WRITE</t>
  </si>
  <si>
    <t>REG B WRITE</t>
  </si>
  <si>
    <t>REG MEM WRITE</t>
  </si>
  <si>
    <t>REG A READ</t>
  </si>
  <si>
    <t>current instr</t>
  </si>
  <si>
    <t>current</t>
  </si>
  <si>
    <t>A!=0</t>
  </si>
  <si>
    <t>+1</t>
  </si>
  <si>
    <t>+2</t>
  </si>
  <si>
    <t>ABS</t>
  </si>
  <si>
    <t>reset</t>
  </si>
  <si>
    <t>d-latch 3</t>
  </si>
  <si>
    <t>clock auto</t>
  </si>
  <si>
    <t>clock manu</t>
  </si>
  <si>
    <t>(laisser vide si auto)</t>
  </si>
  <si>
    <t>JMP</t>
  </si>
  <si>
    <t>prog row</t>
  </si>
  <si>
    <t>prog col</t>
  </si>
  <si>
    <t>SKIP NEXT</t>
  </si>
  <si>
    <t>ALU active</t>
  </si>
  <si>
    <t>operand</t>
  </si>
  <si>
    <t>ATTENTION PAS DRAGGABLE</t>
  </si>
  <si>
    <t>prog counter</t>
  </si>
  <si>
    <t>next possibles</t>
  </si>
  <si>
    <r>
      <rPr>
        <b/>
        <sz val="36"/>
        <color theme="1"/>
        <rFont val="Calibri"/>
        <family val="2"/>
        <scheme val="minor"/>
      </rPr>
      <t>FORMIDABE COMPUTER</t>
    </r>
    <r>
      <rPr>
        <sz val="11"/>
        <color theme="1"/>
        <rFont val="Calibri"/>
        <family val="2"/>
        <scheme val="minor"/>
      </rPr>
      <t xml:space="preserve">
("Four-bits Or Really More If Does Anyone Basically Extend" Computer)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</si>
</sst>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quotePrefix="1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5" xfId="0" applyBorder="1" applyAlignment="1"/>
    <xf numFmtId="0" fontId="0" fillId="0" borderId="0" xfId="0" applyBorder="1" applyAlignment="1"/>
    <xf numFmtId="0" fontId="2" fillId="2" borderId="1" xfId="0" applyFont="1" applyFill="1" applyBorder="1"/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4246-6946-4396-AD7F-ABAF0E7DBAF3}">
  <dimension ref="B1:AO125"/>
  <sheetViews>
    <sheetView tabSelected="1" workbookViewId="0">
      <selection activeCell="V80" sqref="V80"/>
    </sheetView>
  </sheetViews>
  <sheetFormatPr defaultRowHeight="15" x14ac:dyDescent="0.25"/>
  <cols>
    <col min="2" max="2" width="16.5703125" bestFit="1" customWidth="1"/>
    <col min="5" max="12" width="5.28515625" customWidth="1"/>
    <col min="15" max="23" width="11" customWidth="1"/>
    <col min="24" max="24" width="10.42578125" bestFit="1" customWidth="1"/>
    <col min="25" max="25" width="16.5703125" bestFit="1" customWidth="1"/>
    <col min="26" max="26" width="8.140625" customWidth="1"/>
    <col min="27" max="27" width="8" customWidth="1"/>
    <col min="28" max="28" width="4.5703125" customWidth="1"/>
    <col min="29" max="32" width="4.28515625" customWidth="1"/>
    <col min="35" max="41" width="15.42578125" customWidth="1"/>
  </cols>
  <sheetData>
    <row r="1" spans="3:41" ht="15.75" thickBot="1" x14ac:dyDescent="0.3"/>
    <row r="2" spans="3:41" x14ac:dyDescent="0.25">
      <c r="C2" s="1"/>
      <c r="D2" s="2" t="s">
        <v>50</v>
      </c>
      <c r="E2" s="2">
        <v>1</v>
      </c>
      <c r="F2" s="3"/>
    </row>
    <row r="3" spans="3:41" x14ac:dyDescent="0.25">
      <c r="C3" s="4" t="s">
        <v>52</v>
      </c>
      <c r="D3" s="5"/>
      <c r="E3" s="5">
        <f ca="1">IF(E3&gt;=3,0,E3+1)</f>
        <v>3</v>
      </c>
      <c r="F3" s="6"/>
    </row>
    <row r="4" spans="3:41" x14ac:dyDescent="0.25">
      <c r="C4" s="4" t="s">
        <v>53</v>
      </c>
      <c r="D4" s="5"/>
      <c r="E4" s="5"/>
      <c r="F4" s="6"/>
    </row>
    <row r="5" spans="3:41" x14ac:dyDescent="0.25">
      <c r="C5" s="4" t="s">
        <v>54</v>
      </c>
      <c r="D5" s="5"/>
      <c r="E5" s="5">
        <f ca="1">IF(ISBLANK(E4),E3,E4)</f>
        <v>3</v>
      </c>
      <c r="F5" s="6"/>
    </row>
    <row r="6" spans="3:41" ht="15.75" thickBot="1" x14ac:dyDescent="0.3">
      <c r="C6" s="7" t="s">
        <v>0</v>
      </c>
      <c r="D6" s="8"/>
      <c r="E6" s="8">
        <f ca="1">MOD(INT(E5/2),2)</f>
        <v>1</v>
      </c>
      <c r="F6" s="9">
        <f ca="1">MOD(E5,2)</f>
        <v>1</v>
      </c>
    </row>
    <row r="7" spans="3:41" ht="15.75" thickBot="1" x14ac:dyDescent="0.3"/>
    <row r="8" spans="3:41" ht="15.75" thickBot="1" x14ac:dyDescent="0.3">
      <c r="D8" s="1" t="s">
        <v>26</v>
      </c>
      <c r="E8" s="2"/>
      <c r="F8" s="2"/>
      <c r="G8" s="2"/>
      <c r="H8" s="2"/>
      <c r="I8" s="2">
        <f ca="1">I107</f>
        <v>0</v>
      </c>
      <c r="J8" s="2">
        <f ca="1">J107</f>
        <v>0</v>
      </c>
      <c r="K8" s="2">
        <f ca="1">K107</f>
        <v>0</v>
      </c>
      <c r="L8" s="2">
        <f ca="1">L107</f>
        <v>0</v>
      </c>
      <c r="M8" s="3">
        <f ca="1">8*I8+4*J8+2*K8+L8</f>
        <v>0</v>
      </c>
      <c r="X8" s="19" t="s">
        <v>30</v>
      </c>
      <c r="Y8" s="2"/>
      <c r="Z8" s="2"/>
      <c r="AA8" s="2" t="s">
        <v>37</v>
      </c>
      <c r="AB8" s="2"/>
      <c r="AC8" s="2"/>
      <c r="AD8" s="2"/>
      <c r="AE8" s="2"/>
      <c r="AF8" s="3"/>
      <c r="AI8" s="10">
        <v>0</v>
      </c>
      <c r="AJ8" s="10">
        <v>1</v>
      </c>
      <c r="AK8" s="10">
        <v>2</v>
      </c>
      <c r="AL8" s="16">
        <v>3</v>
      </c>
      <c r="AM8" s="12">
        <v>4</v>
      </c>
      <c r="AN8" s="12">
        <v>5</v>
      </c>
      <c r="AO8" s="12">
        <v>6</v>
      </c>
    </row>
    <row r="9" spans="3:41" x14ac:dyDescent="0.25">
      <c r="D9" s="4"/>
      <c r="E9" s="5"/>
      <c r="F9" s="5"/>
      <c r="G9" s="5"/>
      <c r="H9" s="5"/>
      <c r="I9" s="5"/>
      <c r="J9" s="5"/>
      <c r="K9" s="5"/>
      <c r="L9" s="5"/>
      <c r="M9" s="6"/>
      <c r="V9" s="1" t="s">
        <v>56</v>
      </c>
      <c r="W9" s="3">
        <v>9</v>
      </c>
      <c r="X9" s="4">
        <v>0</v>
      </c>
      <c r="Y9" s="5" t="str">
        <f ca="1">INDIRECT("R"&amp;(ROW())&amp;"C"&amp;(COLUMN()+10+$W$10),FALSE)</f>
        <v>VLOAD A</v>
      </c>
      <c r="Z9" s="5"/>
      <c r="AA9" s="5">
        <f ca="1">VLOOKUP(Y9,$B$53:$AB$68,2,FALSE)</f>
        <v>3</v>
      </c>
      <c r="AB9" s="5">
        <f ca="1">IF(ISNA(AA9),Y9,AA9)</f>
        <v>3</v>
      </c>
      <c r="AC9" s="5">
        <f ca="1">QUOTIENT(AB9,8)</f>
        <v>0</v>
      </c>
      <c r="AD9" s="5">
        <f ca="1">QUOTIENT(AB9-AC9*8,4)</f>
        <v>0</v>
      </c>
      <c r="AE9" s="5">
        <f ca="1">QUOTIENT(AB9-AC9*8-AD9*4,2)</f>
        <v>1</v>
      </c>
      <c r="AF9" s="6">
        <f ca="1">AB9-AC9*8-AD9*4-AE9*2</f>
        <v>1</v>
      </c>
      <c r="AI9" s="4" t="s">
        <v>29</v>
      </c>
      <c r="AJ9" s="4" t="s">
        <v>29</v>
      </c>
      <c r="AK9" s="4"/>
      <c r="AL9" s="14"/>
      <c r="AM9" s="6"/>
      <c r="AN9" s="6"/>
      <c r="AO9" s="6"/>
    </row>
    <row r="10" spans="3:41" ht="15.75" thickBot="1" x14ac:dyDescent="0.3">
      <c r="D10" s="4" t="s">
        <v>28</v>
      </c>
      <c r="E10" s="5"/>
      <c r="F10" s="5"/>
      <c r="G10" s="5"/>
      <c r="H10" s="5"/>
      <c r="I10" s="5"/>
      <c r="J10" s="5"/>
      <c r="K10" s="5"/>
      <c r="L10" s="5">
        <f ca="1">Q70</f>
        <v>0</v>
      </c>
      <c r="M10" s="6"/>
      <c r="V10" s="7" t="s">
        <v>57</v>
      </c>
      <c r="W10" s="9">
        <v>0</v>
      </c>
      <c r="X10" s="4">
        <v>1</v>
      </c>
      <c r="Y10" s="5">
        <f ca="1">INDIRECT("R"&amp;(ROW())&amp;"C"&amp;(COLUMN()+10+$W$10),FALSE)</f>
        <v>7</v>
      </c>
      <c r="Z10" s="5"/>
      <c r="AA10" s="5" t="e">
        <f ca="1">VLOOKUP(Y10,$B$53:$AB$68,2,FALSE)</f>
        <v>#N/A</v>
      </c>
      <c r="AB10" s="5">
        <f t="shared" ref="AB10:AB37" ca="1" si="0">IF(ISNA(AA10),Y10,AA10)</f>
        <v>7</v>
      </c>
      <c r="AC10" s="5">
        <f t="shared" ref="AC10:AC37" ca="1" si="1">QUOTIENT(AB10,8)</f>
        <v>0</v>
      </c>
      <c r="AD10" s="5">
        <f t="shared" ref="AD10:AD37" ca="1" si="2">QUOTIENT(AB10-AC10*8,4)</f>
        <v>1</v>
      </c>
      <c r="AE10" s="5">
        <f t="shared" ref="AE10:AE37" ca="1" si="3">QUOTIENT(AB10-AC10*8-AD10*4,2)</f>
        <v>1</v>
      </c>
      <c r="AF10" s="6">
        <f t="shared" ref="AF10:AF37" ca="1" si="4">AB10-AC10*8-AD10*4-AE10*2</f>
        <v>1</v>
      </c>
      <c r="AI10" s="4">
        <v>7</v>
      </c>
      <c r="AJ10" s="4">
        <v>15</v>
      </c>
      <c r="AK10" s="4"/>
      <c r="AL10" s="14"/>
      <c r="AM10" s="6"/>
      <c r="AN10" s="6"/>
      <c r="AO10" s="6"/>
    </row>
    <row r="11" spans="3:41" ht="15.75" thickBot="1" x14ac:dyDescent="0.3">
      <c r="D11" s="7" t="s">
        <v>3</v>
      </c>
      <c r="E11" s="8"/>
      <c r="F11" s="8"/>
      <c r="G11" s="8"/>
      <c r="H11" s="8"/>
      <c r="I11" s="8">
        <f ca="1">I79</f>
        <v>0</v>
      </c>
      <c r="J11" s="8">
        <f ca="1">J79</f>
        <v>0</v>
      </c>
      <c r="K11" s="8">
        <f ca="1">K79</f>
        <v>0</v>
      </c>
      <c r="L11" s="8">
        <f ca="1">L79</f>
        <v>0</v>
      </c>
      <c r="M11" s="9">
        <f ca="1">8*I11+4*J11+2*K11+L11</f>
        <v>0</v>
      </c>
      <c r="X11" s="4">
        <v>2</v>
      </c>
      <c r="Y11" s="5" t="str">
        <f ca="1">INDIRECT("R"&amp;(ROW())&amp;"C"&amp;(COLUMN()+10+$W$10),FALSE)</f>
        <v>VLOAD MEM</v>
      </c>
      <c r="Z11" s="5"/>
      <c r="AA11" s="5">
        <f ca="1">VLOOKUP(Y11,$B$53:$AB$68,2,FALSE)</f>
        <v>2</v>
      </c>
      <c r="AB11" s="5">
        <f t="shared" ca="1" si="0"/>
        <v>2</v>
      </c>
      <c r="AC11" s="5">
        <f t="shared" ca="1" si="1"/>
        <v>0</v>
      </c>
      <c r="AD11" s="5">
        <f t="shared" ca="1" si="2"/>
        <v>0</v>
      </c>
      <c r="AE11" s="5">
        <f t="shared" ca="1" si="3"/>
        <v>1</v>
      </c>
      <c r="AF11" s="6">
        <f t="shared" ca="1" si="4"/>
        <v>0</v>
      </c>
      <c r="AI11" s="4" t="s">
        <v>31</v>
      </c>
      <c r="AJ11" s="4" t="s">
        <v>31</v>
      </c>
      <c r="AK11" s="4"/>
      <c r="AL11" s="14"/>
      <c r="AM11" s="6"/>
      <c r="AN11" s="6"/>
      <c r="AO11" s="6"/>
    </row>
    <row r="12" spans="3:41" ht="15.75" thickBot="1" x14ac:dyDescent="0.3">
      <c r="X12" s="4">
        <v>3</v>
      </c>
      <c r="Y12" s="5">
        <f ca="1">INDIRECT("R"&amp;(ROW())&amp;"C"&amp;(COLUMN()+10+$W$10),FALSE)</f>
        <v>0</v>
      </c>
      <c r="Z12" s="5"/>
      <c r="AA12" s="5" t="e">
        <f ca="1">VLOOKUP(Y12,$B$53:$AB$68,2,FALSE)</f>
        <v>#N/A</v>
      </c>
      <c r="AB12" s="5">
        <f t="shared" ca="1" si="0"/>
        <v>0</v>
      </c>
      <c r="AC12" s="5">
        <f t="shared" ca="1" si="1"/>
        <v>0</v>
      </c>
      <c r="AD12" s="5">
        <f t="shared" ca="1" si="2"/>
        <v>0</v>
      </c>
      <c r="AE12" s="5">
        <f t="shared" ca="1" si="3"/>
        <v>0</v>
      </c>
      <c r="AF12" s="6">
        <f t="shared" ca="1" si="4"/>
        <v>0</v>
      </c>
      <c r="AI12" s="4">
        <v>0</v>
      </c>
      <c r="AJ12" s="4">
        <v>15</v>
      </c>
      <c r="AK12" s="4"/>
      <c r="AL12" s="14"/>
      <c r="AM12" s="6"/>
      <c r="AN12" s="6"/>
      <c r="AO12" s="6"/>
    </row>
    <row r="13" spans="3:41" ht="15.75" thickBot="1" x14ac:dyDescent="0.3">
      <c r="C13" s="19" t="s">
        <v>25</v>
      </c>
      <c r="D13" s="2"/>
      <c r="E13" s="2"/>
      <c r="F13" s="2"/>
      <c r="G13" s="2"/>
      <c r="H13" s="2"/>
      <c r="I13" s="2" t="s">
        <v>3</v>
      </c>
      <c r="J13" s="2"/>
      <c r="K13" s="2"/>
      <c r="L13" s="2"/>
      <c r="M13" s="3"/>
      <c r="X13" s="4">
        <v>4</v>
      </c>
      <c r="Y13" s="5" t="str">
        <f ca="1">INDIRECT("R"&amp;(ROW())&amp;"C"&amp;(COLUMN()+10+$W$10),FALSE)</f>
        <v>WRITE A</v>
      </c>
      <c r="Z13" s="5"/>
      <c r="AA13" s="5">
        <f ca="1">VLOOKUP(Y13,$B$53:$AB$68,2,FALSE)</f>
        <v>6</v>
      </c>
      <c r="AB13" s="5">
        <f t="shared" ca="1" si="0"/>
        <v>6</v>
      </c>
      <c r="AC13" s="5">
        <f t="shared" ca="1" si="1"/>
        <v>0</v>
      </c>
      <c r="AD13" s="5">
        <f t="shared" ca="1" si="2"/>
        <v>1</v>
      </c>
      <c r="AE13" s="5">
        <f t="shared" ca="1" si="3"/>
        <v>1</v>
      </c>
      <c r="AF13" s="6">
        <f t="shared" ca="1" si="4"/>
        <v>0</v>
      </c>
      <c r="AI13" s="4" t="s">
        <v>11</v>
      </c>
      <c r="AJ13" s="4" t="s">
        <v>11</v>
      </c>
      <c r="AK13" s="4"/>
      <c r="AL13" s="14"/>
      <c r="AM13" s="6"/>
      <c r="AN13" s="6"/>
      <c r="AO13" s="6"/>
    </row>
    <row r="14" spans="3:41" ht="15.75" thickBot="1" x14ac:dyDescent="0.3">
      <c r="C14" s="4">
        <v>0</v>
      </c>
      <c r="D14" s="5">
        <f ca="1">IF(C14=M$8,1,0)</f>
        <v>1</v>
      </c>
      <c r="E14" s="5"/>
      <c r="F14" s="5"/>
      <c r="G14" s="5"/>
      <c r="H14" s="5"/>
      <c r="I14" s="5">
        <f>IF(reset=1,0,IF(AND($D14=1,write=1),I$11,I14))</f>
        <v>0</v>
      </c>
      <c r="J14" s="5">
        <f>IF(reset=1,0,IF(AND($D14=1,write=1),J$11,J14))</f>
        <v>0</v>
      </c>
      <c r="K14" s="5">
        <f>IF(reset=1,0,IF(AND($D14=1,write=1),K$11,K14))</f>
        <v>0</v>
      </c>
      <c r="L14" s="5">
        <f>IF(reset=1,0,IF(AND($D14=1,write=1),L$11,L14))</f>
        <v>0</v>
      </c>
      <c r="M14" s="6">
        <f>8*I14+4*J14+2*K14+L14</f>
        <v>0</v>
      </c>
      <c r="X14" s="4">
        <v>5</v>
      </c>
      <c r="Y14" s="5" t="str">
        <f ca="1">INDIRECT("R"&amp;(ROW())&amp;"C"&amp;(COLUMN()+10+$W$10),FALSE)</f>
        <v>VLOAD A</v>
      </c>
      <c r="Z14" s="5"/>
      <c r="AA14" s="5">
        <f ca="1">VLOOKUP(Y14,$B$53:$AB$68,2,FALSE)</f>
        <v>3</v>
      </c>
      <c r="AB14" s="5">
        <f t="shared" ca="1" si="0"/>
        <v>3</v>
      </c>
      <c r="AC14" s="5">
        <f t="shared" ca="1" si="1"/>
        <v>0</v>
      </c>
      <c r="AD14" s="5">
        <f t="shared" ca="1" si="2"/>
        <v>0</v>
      </c>
      <c r="AE14" s="5">
        <f t="shared" ca="1" si="3"/>
        <v>1</v>
      </c>
      <c r="AF14" s="6">
        <f t="shared" ca="1" si="4"/>
        <v>1</v>
      </c>
      <c r="AI14" s="4" t="s">
        <v>29</v>
      </c>
      <c r="AJ14" s="4" t="s">
        <v>32</v>
      </c>
      <c r="AK14" s="4"/>
      <c r="AL14" s="14"/>
      <c r="AM14" s="6"/>
      <c r="AN14" s="6"/>
      <c r="AO14" s="6"/>
    </row>
    <row r="15" spans="3:41" x14ac:dyDescent="0.25">
      <c r="C15" s="4">
        <v>1</v>
      </c>
      <c r="D15" s="5">
        <f ca="1">IF(C15=M$8,1,0)</f>
        <v>0</v>
      </c>
      <c r="E15" s="5"/>
      <c r="F15" s="5"/>
      <c r="G15" s="5"/>
      <c r="H15" s="5"/>
      <c r="I15" s="5">
        <f>IF(reset=1,0,IF(AND($D15=1,write=1),I$11,I15))</f>
        <v>0</v>
      </c>
      <c r="J15" s="5">
        <f>IF(reset=1,0,IF(AND($D15=1,write=1),J$11,J15))</f>
        <v>0</v>
      </c>
      <c r="K15" s="5">
        <f>IF(reset=1,0,IF(AND($D15=1,write=1),K$11,K15))</f>
        <v>0</v>
      </c>
      <c r="L15" s="5">
        <f>IF(reset=1,0,IF(AND($D15=1,write=1),L$11,L15))</f>
        <v>0</v>
      </c>
      <c r="M15" s="6">
        <f>8*I15+4*J15+2*K15+L15</f>
        <v>0</v>
      </c>
      <c r="P15" s="21" t="s">
        <v>64</v>
      </c>
      <c r="Q15" s="22"/>
      <c r="R15" s="22"/>
      <c r="S15" s="22"/>
      <c r="T15" s="22"/>
      <c r="U15" s="23"/>
      <c r="X15" s="4">
        <v>6</v>
      </c>
      <c r="Y15" s="5">
        <f t="shared" ref="Y15:Y17" ca="1" si="5">INDIRECT("R"&amp;(ROW())&amp;"C"&amp;(COLUMN()+10+$W$10),FALSE)</f>
        <v>2</v>
      </c>
      <c r="Z15" s="5"/>
      <c r="AA15" s="5" t="e">
        <f ca="1">VLOOKUP(Y15,$B$53:$AB$68,2,FALSE)</f>
        <v>#N/A</v>
      </c>
      <c r="AB15" s="5">
        <f t="shared" ca="1" si="0"/>
        <v>2</v>
      </c>
      <c r="AC15" s="5">
        <f t="shared" ca="1" si="1"/>
        <v>0</v>
      </c>
      <c r="AD15" s="5">
        <f t="shared" ca="1" si="2"/>
        <v>0</v>
      </c>
      <c r="AE15" s="5">
        <f t="shared" ca="1" si="3"/>
        <v>1</v>
      </c>
      <c r="AF15" s="6">
        <f t="shared" ca="1" si="4"/>
        <v>0</v>
      </c>
      <c r="AI15" s="4">
        <v>2</v>
      </c>
      <c r="AJ15" s="4" t="s">
        <v>31</v>
      </c>
      <c r="AK15" s="4"/>
      <c r="AL15" s="14"/>
      <c r="AM15" s="6"/>
      <c r="AN15" s="6"/>
      <c r="AO15" s="6"/>
    </row>
    <row r="16" spans="3:41" x14ac:dyDescent="0.25">
      <c r="C16" s="4">
        <v>2</v>
      </c>
      <c r="D16" s="5">
        <f ca="1">IF(C16=M$8,1,0)</f>
        <v>0</v>
      </c>
      <c r="E16" s="5"/>
      <c r="F16" s="5"/>
      <c r="G16" s="5"/>
      <c r="H16" s="5"/>
      <c r="I16" s="5">
        <f>IF(reset=1,0,IF(AND($D16=1,write=1),I$11,I16))</f>
        <v>0</v>
      </c>
      <c r="J16" s="5">
        <f>IF(reset=1,0,IF(AND($D16=1,write=1),J$11,J16))</f>
        <v>0</v>
      </c>
      <c r="K16" s="5">
        <f>IF(reset=1,0,IF(AND($D16=1,write=1),K$11,K16))</f>
        <v>0</v>
      </c>
      <c r="L16" s="5">
        <f>IF(reset=1,0,IF(AND($D16=1,write=1),L$11,L16))</f>
        <v>0</v>
      </c>
      <c r="M16" s="6">
        <f>8*I16+4*J16+2*K16+L16</f>
        <v>0</v>
      </c>
      <c r="P16" s="24"/>
      <c r="Q16" s="25"/>
      <c r="R16" s="25"/>
      <c r="S16" s="25"/>
      <c r="T16" s="25"/>
      <c r="U16" s="26"/>
      <c r="X16" s="4">
        <v>7</v>
      </c>
      <c r="Y16" s="5" t="str">
        <f t="shared" ca="1" si="5"/>
        <v>VLOAD MEM</v>
      </c>
      <c r="Z16" s="5"/>
      <c r="AA16" s="5">
        <f ca="1">VLOOKUP(Y16,$B$53:$AB$68,2,FALSE)</f>
        <v>2</v>
      </c>
      <c r="AB16" s="5">
        <f t="shared" ca="1" si="0"/>
        <v>2</v>
      </c>
      <c r="AC16" s="5">
        <f t="shared" ca="1" si="1"/>
        <v>0</v>
      </c>
      <c r="AD16" s="5">
        <f t="shared" ca="1" si="2"/>
        <v>0</v>
      </c>
      <c r="AE16" s="5">
        <f t="shared" ca="1" si="3"/>
        <v>1</v>
      </c>
      <c r="AF16" s="6">
        <f t="shared" ca="1" si="4"/>
        <v>0</v>
      </c>
      <c r="AI16" s="4" t="s">
        <v>31</v>
      </c>
      <c r="AJ16" s="4">
        <v>14</v>
      </c>
      <c r="AK16" s="4"/>
      <c r="AL16" s="14"/>
      <c r="AM16" s="6"/>
      <c r="AN16" s="6"/>
      <c r="AO16" s="6"/>
    </row>
    <row r="17" spans="3:41" x14ac:dyDescent="0.25">
      <c r="C17" s="4">
        <v>3</v>
      </c>
      <c r="D17" s="5">
        <f ca="1">IF(C17=M$8,1,0)</f>
        <v>0</v>
      </c>
      <c r="E17" s="5"/>
      <c r="F17" s="5"/>
      <c r="G17" s="5"/>
      <c r="H17" s="5"/>
      <c r="I17" s="5">
        <f>IF(reset=1,0,IF(AND($D17=1,write=1),I$11,I17))</f>
        <v>0</v>
      </c>
      <c r="J17" s="5">
        <f>IF(reset=1,0,IF(AND($D17=1,write=1),J$11,J17))</f>
        <v>0</v>
      </c>
      <c r="K17" s="5">
        <f>IF(reset=1,0,IF(AND($D17=1,write=1),K$11,K17))</f>
        <v>0</v>
      </c>
      <c r="L17" s="5">
        <f>IF(reset=1,0,IF(AND($D17=1,write=1),L$11,L17))</f>
        <v>0</v>
      </c>
      <c r="M17" s="6">
        <f>8*I17+4*J17+2*K17+L17</f>
        <v>0</v>
      </c>
      <c r="P17" s="24"/>
      <c r="Q17" s="25"/>
      <c r="R17" s="25"/>
      <c r="S17" s="25"/>
      <c r="T17" s="25"/>
      <c r="U17" s="26"/>
      <c r="X17" s="4">
        <v>8</v>
      </c>
      <c r="Y17" s="5">
        <f t="shared" ca="1" si="5"/>
        <v>1</v>
      </c>
      <c r="Z17" s="5"/>
      <c r="AA17" s="5" t="e">
        <f ca="1">VLOOKUP(Y17,$B$53:$AB$68,2,FALSE)</f>
        <v>#N/A</v>
      </c>
      <c r="AB17" s="5">
        <f t="shared" ca="1" si="0"/>
        <v>1</v>
      </c>
      <c r="AC17" s="5">
        <f t="shared" ca="1" si="1"/>
        <v>0</v>
      </c>
      <c r="AD17" s="5">
        <f t="shared" ca="1" si="2"/>
        <v>0</v>
      </c>
      <c r="AE17" s="5">
        <f t="shared" ca="1" si="3"/>
        <v>0</v>
      </c>
      <c r="AF17" s="6">
        <f t="shared" ca="1" si="4"/>
        <v>1</v>
      </c>
      <c r="AI17" s="4">
        <v>1</v>
      </c>
      <c r="AJ17" s="4" t="s">
        <v>11</v>
      </c>
      <c r="AK17" s="4"/>
      <c r="AL17" s="14"/>
      <c r="AM17" s="6"/>
      <c r="AN17" s="6"/>
      <c r="AO17" s="6"/>
    </row>
    <row r="18" spans="3:41" x14ac:dyDescent="0.25">
      <c r="C18" s="4">
        <v>4</v>
      </c>
      <c r="D18" s="5">
        <f ca="1">IF(C18=M$8,1,0)</f>
        <v>0</v>
      </c>
      <c r="E18" s="5"/>
      <c r="F18" s="5"/>
      <c r="G18" s="5"/>
      <c r="H18" s="5"/>
      <c r="I18" s="5">
        <f>IF(reset=1,0,IF(AND($D18=1,write=1),I$11,I18))</f>
        <v>0</v>
      </c>
      <c r="J18" s="5">
        <f>IF(reset=1,0,IF(AND($D18=1,write=1),J$11,J18))</f>
        <v>0</v>
      </c>
      <c r="K18" s="5">
        <f>IF(reset=1,0,IF(AND($D18=1,write=1),K$11,K18))</f>
        <v>0</v>
      </c>
      <c r="L18" s="5">
        <f>IF(reset=1,0,IF(AND($D18=1,write=1),L$11,L18))</f>
        <v>0</v>
      </c>
      <c r="M18" s="6">
        <f>8*I18+4*J18+2*K18+L18</f>
        <v>0</v>
      </c>
      <c r="P18" s="24"/>
      <c r="Q18" s="25"/>
      <c r="R18" s="25"/>
      <c r="S18" s="25"/>
      <c r="T18" s="25"/>
      <c r="U18" s="26"/>
      <c r="X18" s="4">
        <v>9</v>
      </c>
      <c r="Y18" s="5" t="str">
        <f ca="1">INDIRECT("R"&amp;(ROW())&amp;"C"&amp;(COLUMN()+10+$W$10),FALSE)</f>
        <v>WRITE A</v>
      </c>
      <c r="Z18" s="5"/>
      <c r="AA18" s="5">
        <f ca="1">VLOOKUP(Y18,$B$53:$AB$68,2,FALSE)</f>
        <v>6</v>
      </c>
      <c r="AB18" s="5">
        <f t="shared" ca="1" si="0"/>
        <v>6</v>
      </c>
      <c r="AC18" s="5">
        <f t="shared" ca="1" si="1"/>
        <v>0</v>
      </c>
      <c r="AD18" s="5">
        <f t="shared" ca="1" si="2"/>
        <v>1</v>
      </c>
      <c r="AE18" s="5">
        <f t="shared" ca="1" si="3"/>
        <v>1</v>
      </c>
      <c r="AF18" s="6">
        <f t="shared" ca="1" si="4"/>
        <v>0</v>
      </c>
      <c r="AI18" s="4" t="s">
        <v>11</v>
      </c>
      <c r="AJ18" s="4" t="s">
        <v>32</v>
      </c>
      <c r="AK18" s="4"/>
      <c r="AL18" s="14"/>
      <c r="AM18" s="6"/>
      <c r="AN18" s="6"/>
      <c r="AO18" s="6"/>
    </row>
    <row r="19" spans="3:41" x14ac:dyDescent="0.25">
      <c r="C19" s="4">
        <v>5</v>
      </c>
      <c r="D19" s="5">
        <f ca="1">IF(C19=M$8,1,0)</f>
        <v>0</v>
      </c>
      <c r="E19" s="5"/>
      <c r="F19" s="5"/>
      <c r="G19" s="5"/>
      <c r="H19" s="5"/>
      <c r="I19" s="5">
        <f>IF(reset=1,0,IF(AND($D19=1,write=1),I$11,I19))</f>
        <v>0</v>
      </c>
      <c r="J19" s="5">
        <f>IF(reset=1,0,IF(AND($D19=1,write=1),J$11,J19))</f>
        <v>0</v>
      </c>
      <c r="K19" s="5">
        <f>IF(reset=1,0,IF(AND($D19=1,write=1),K$11,K19))</f>
        <v>0</v>
      </c>
      <c r="L19" s="5">
        <f>IF(reset=1,0,IF(AND($D19=1,write=1),L$11,L19))</f>
        <v>0</v>
      </c>
      <c r="M19" s="6">
        <f>8*I19+4*J19+2*K19+L19</f>
        <v>0</v>
      </c>
      <c r="P19" s="24"/>
      <c r="Q19" s="25"/>
      <c r="R19" s="25"/>
      <c r="S19" s="25"/>
      <c r="T19" s="25"/>
      <c r="U19" s="26"/>
      <c r="X19" s="4">
        <v>10</v>
      </c>
      <c r="Y19" s="5" t="str">
        <f ca="1">INDIRECT("R"&amp;(ROW())&amp;"C"&amp;(COLUMN()+10+$W$10),FALSE)</f>
        <v>VLOAD MEM</v>
      </c>
      <c r="Z19" s="5"/>
      <c r="AA19" s="5">
        <f ca="1">VLOOKUP(Y19,$B$53:$AB$68,2,FALSE)</f>
        <v>2</v>
      </c>
      <c r="AB19" s="5">
        <f t="shared" ca="1" si="0"/>
        <v>2</v>
      </c>
      <c r="AC19" s="5">
        <f t="shared" ca="1" si="1"/>
        <v>0</v>
      </c>
      <c r="AD19" s="5">
        <f t="shared" ca="1" si="2"/>
        <v>0</v>
      </c>
      <c r="AE19" s="5">
        <f t="shared" ca="1" si="3"/>
        <v>1</v>
      </c>
      <c r="AF19" s="6">
        <f t="shared" ca="1" si="4"/>
        <v>0</v>
      </c>
      <c r="AI19" s="4" t="s">
        <v>31</v>
      </c>
      <c r="AJ19" s="4" t="s">
        <v>31</v>
      </c>
      <c r="AK19" s="4"/>
      <c r="AL19" s="14"/>
      <c r="AM19" s="6"/>
      <c r="AN19" s="6"/>
      <c r="AO19" s="6"/>
    </row>
    <row r="20" spans="3:41" x14ac:dyDescent="0.25">
      <c r="C20" s="4">
        <v>6</v>
      </c>
      <c r="D20" s="5">
        <f ca="1">IF(C20=M$8,1,0)</f>
        <v>0</v>
      </c>
      <c r="E20" s="5"/>
      <c r="F20" s="5"/>
      <c r="G20" s="5"/>
      <c r="H20" s="5"/>
      <c r="I20" s="5">
        <f>IF(reset=1,0,IF(AND($D20=1,write=1),I$11,I20))</f>
        <v>0</v>
      </c>
      <c r="J20" s="5">
        <f>IF(reset=1,0,IF(AND($D20=1,write=1),J$11,J20))</f>
        <v>0</v>
      </c>
      <c r="K20" s="5">
        <f>IF(reset=1,0,IF(AND($D20=1,write=1),K$11,K20))</f>
        <v>0</v>
      </c>
      <c r="L20" s="5">
        <f>IF(reset=1,0,IF(AND($D20=1,write=1),L$11,L20))</f>
        <v>0</v>
      </c>
      <c r="M20" s="6">
        <f>8*I20+4*J20+2*K20+L20</f>
        <v>0</v>
      </c>
      <c r="P20" s="24"/>
      <c r="Q20" s="25"/>
      <c r="R20" s="25"/>
      <c r="S20" s="25"/>
      <c r="T20" s="25"/>
      <c r="U20" s="26"/>
      <c r="X20" s="4">
        <v>11</v>
      </c>
      <c r="Y20" s="5">
        <f ca="1">INDIRECT("R"&amp;(ROW())&amp;"C"&amp;(COLUMN()+10+$W$10),FALSE)</f>
        <v>1</v>
      </c>
      <c r="Z20" s="5"/>
      <c r="AA20" s="5" t="e">
        <f ca="1">VLOOKUP(Y20,$B$53:$AB$68,2,FALSE)</f>
        <v>#N/A</v>
      </c>
      <c r="AB20" s="5">
        <f t="shared" ca="1" si="0"/>
        <v>1</v>
      </c>
      <c r="AC20" s="5">
        <f t="shared" ca="1" si="1"/>
        <v>0</v>
      </c>
      <c r="AD20" s="5">
        <f t="shared" ca="1" si="2"/>
        <v>0</v>
      </c>
      <c r="AE20" s="5">
        <f t="shared" ca="1" si="3"/>
        <v>0</v>
      </c>
      <c r="AF20" s="6">
        <f t="shared" ca="1" si="4"/>
        <v>1</v>
      </c>
      <c r="AI20" s="4">
        <v>1</v>
      </c>
      <c r="AJ20" s="4">
        <v>13</v>
      </c>
      <c r="AK20" s="4"/>
      <c r="AL20" s="14"/>
      <c r="AM20" s="6"/>
      <c r="AN20" s="6"/>
      <c r="AO20" s="6"/>
    </row>
    <row r="21" spans="3:41" x14ac:dyDescent="0.25">
      <c r="C21" s="4">
        <v>7</v>
      </c>
      <c r="D21" s="5">
        <f ca="1">IF(C21=M$8,1,0)</f>
        <v>0</v>
      </c>
      <c r="E21" s="5"/>
      <c r="F21" s="5"/>
      <c r="G21" s="5"/>
      <c r="H21" s="5"/>
      <c r="I21" s="5">
        <f>IF(reset=1,0,IF(AND($D21=1,write=1),I$11,I21))</f>
        <v>0</v>
      </c>
      <c r="J21" s="5">
        <f>IF(reset=1,0,IF(AND($D21=1,write=1),J$11,J21))</f>
        <v>0</v>
      </c>
      <c r="K21" s="5">
        <f>IF(reset=1,0,IF(AND($D21=1,write=1),K$11,K21))</f>
        <v>0</v>
      </c>
      <c r="L21" s="5">
        <f>IF(reset=1,0,IF(AND($D21=1,write=1),L$11,L21))</f>
        <v>0</v>
      </c>
      <c r="M21" s="6">
        <f>8*I21+4*J21+2*K21+L21</f>
        <v>0</v>
      </c>
      <c r="P21" s="24"/>
      <c r="Q21" s="25"/>
      <c r="R21" s="25"/>
      <c r="S21" s="25"/>
      <c r="T21" s="25"/>
      <c r="U21" s="26"/>
      <c r="X21" s="4">
        <v>12</v>
      </c>
      <c r="Y21" s="5" t="str">
        <f ca="1">INDIRECT("R"&amp;(ROW())&amp;"C"&amp;(COLUMN()+10+$W$10),FALSE)</f>
        <v>LOAD A</v>
      </c>
      <c r="Z21" s="5"/>
      <c r="AA21" s="5">
        <f ca="1">VLOOKUP(Y21,$B$53:$AB$68,2,FALSE)</f>
        <v>4</v>
      </c>
      <c r="AB21" s="5">
        <f t="shared" ca="1" si="0"/>
        <v>4</v>
      </c>
      <c r="AC21" s="5">
        <f t="shared" ca="1" si="1"/>
        <v>0</v>
      </c>
      <c r="AD21" s="5">
        <f t="shared" ca="1" si="2"/>
        <v>1</v>
      </c>
      <c r="AE21" s="5">
        <f t="shared" ca="1" si="3"/>
        <v>0</v>
      </c>
      <c r="AF21" s="6">
        <f t="shared" ca="1" si="4"/>
        <v>0</v>
      </c>
      <c r="AI21" s="4" t="s">
        <v>9</v>
      </c>
      <c r="AJ21" s="4" t="s">
        <v>11</v>
      </c>
      <c r="AK21" s="4"/>
      <c r="AL21" s="14"/>
      <c r="AM21" s="6"/>
      <c r="AN21" s="6"/>
      <c r="AO21" s="6"/>
    </row>
    <row r="22" spans="3:41" x14ac:dyDescent="0.25">
      <c r="C22" s="4">
        <v>8</v>
      </c>
      <c r="D22" s="5">
        <f ca="1">IF(C22=M$8,1,0)</f>
        <v>0</v>
      </c>
      <c r="E22" s="5"/>
      <c r="F22" s="5"/>
      <c r="G22" s="5"/>
      <c r="H22" s="5"/>
      <c r="I22" s="5">
        <f>IF(reset=1,0,IF(AND($D22=1,write=1),I$11,I22))</f>
        <v>0</v>
      </c>
      <c r="J22" s="5">
        <f>IF(reset=1,0,IF(AND($D22=1,write=1),J$11,J22))</f>
        <v>0</v>
      </c>
      <c r="K22" s="5">
        <f>IF(reset=1,0,IF(AND($D22=1,write=1),K$11,K22))</f>
        <v>0</v>
      </c>
      <c r="L22" s="5">
        <f>IF(reset=1,0,IF(AND($D22=1,write=1),L$11,L22))</f>
        <v>0</v>
      </c>
      <c r="M22" s="6">
        <f>8*I22+4*J22+2*K22+L22</f>
        <v>0</v>
      </c>
      <c r="P22" s="24"/>
      <c r="Q22" s="25"/>
      <c r="R22" s="25"/>
      <c r="S22" s="25"/>
      <c r="T22" s="25"/>
      <c r="U22" s="26"/>
      <c r="X22" s="4">
        <v>13</v>
      </c>
      <c r="Y22" s="5" t="str">
        <f ca="1">INDIRECT("R"&amp;(ROW())&amp;"C"&amp;(COLUMN()+10+$W$10),FALSE)</f>
        <v>JMP NEXT IF A !=0</v>
      </c>
      <c r="Z22" s="5"/>
      <c r="AA22" s="5">
        <f ca="1">VLOOKUP(Y22,$B$53:$AB$68,2,FALSE)</f>
        <v>7</v>
      </c>
      <c r="AB22" s="5">
        <f t="shared" ca="1" si="0"/>
        <v>7</v>
      </c>
      <c r="AC22" s="5">
        <f t="shared" ca="1" si="1"/>
        <v>0</v>
      </c>
      <c r="AD22" s="5">
        <f t="shared" ca="1" si="2"/>
        <v>1</v>
      </c>
      <c r="AE22" s="5">
        <f t="shared" ca="1" si="3"/>
        <v>1</v>
      </c>
      <c r="AF22" s="6">
        <f t="shared" ca="1" si="4"/>
        <v>1</v>
      </c>
      <c r="AI22" s="4" t="s">
        <v>33</v>
      </c>
      <c r="AJ22" s="4" t="s">
        <v>32</v>
      </c>
      <c r="AK22" s="4"/>
      <c r="AL22" s="14"/>
      <c r="AM22" s="6"/>
      <c r="AN22" s="6"/>
      <c r="AO22" s="6"/>
    </row>
    <row r="23" spans="3:41" x14ac:dyDescent="0.25">
      <c r="C23" s="4">
        <v>9</v>
      </c>
      <c r="D23" s="5">
        <f ca="1">IF(C23=M$8,1,0)</f>
        <v>0</v>
      </c>
      <c r="E23" s="5"/>
      <c r="F23" s="5"/>
      <c r="G23" s="5"/>
      <c r="H23" s="5"/>
      <c r="I23" s="5">
        <f>IF(reset=1,0,IF(AND($D23=1,write=1),I$11,I23))</f>
        <v>0</v>
      </c>
      <c r="J23" s="5">
        <f>IF(reset=1,0,IF(AND($D23=1,write=1),J$11,J23))</f>
        <v>0</v>
      </c>
      <c r="K23" s="5">
        <f>IF(reset=1,0,IF(AND($D23=1,write=1),K$11,K23))</f>
        <v>0</v>
      </c>
      <c r="L23" s="5">
        <f>IF(reset=1,0,IF(AND($D23=1,write=1),L$11,L23))</f>
        <v>0</v>
      </c>
      <c r="M23" s="6">
        <f>8*I23+4*J23+2*K23+L23</f>
        <v>0</v>
      </c>
      <c r="P23" s="24"/>
      <c r="Q23" s="25"/>
      <c r="R23" s="25"/>
      <c r="S23" s="25"/>
      <c r="T23" s="25"/>
      <c r="U23" s="26"/>
      <c r="X23" s="4">
        <v>14</v>
      </c>
      <c r="Y23" s="5" t="str">
        <f ca="1">INDIRECT("R"&amp;(ROW())&amp;"C"&amp;(COLUMN()+10+$W$10),FALSE)</f>
        <v>HALT</v>
      </c>
      <c r="Z23" s="5"/>
      <c r="AA23" s="5">
        <f ca="1">VLOOKUP(Y23,$B$53:$AB$68,2,FALSE)</f>
        <v>0</v>
      </c>
      <c r="AB23" s="5">
        <f t="shared" ca="1" si="0"/>
        <v>0</v>
      </c>
      <c r="AC23" s="5">
        <f t="shared" ca="1" si="1"/>
        <v>0</v>
      </c>
      <c r="AD23" s="5">
        <f t="shared" ca="1" si="2"/>
        <v>0</v>
      </c>
      <c r="AE23" s="5">
        <f t="shared" ca="1" si="3"/>
        <v>0</v>
      </c>
      <c r="AF23" s="6">
        <f t="shared" ca="1" si="4"/>
        <v>0</v>
      </c>
      <c r="AI23" s="4" t="s">
        <v>8</v>
      </c>
      <c r="AJ23" s="4" t="s">
        <v>31</v>
      </c>
      <c r="AK23" s="4"/>
      <c r="AL23" s="14"/>
      <c r="AM23" s="6"/>
      <c r="AN23" s="6"/>
      <c r="AO23" s="6"/>
    </row>
    <row r="24" spans="3:41" x14ac:dyDescent="0.25">
      <c r="C24" s="4">
        <v>10</v>
      </c>
      <c r="D24" s="5">
        <f ca="1">IF(C24=M$8,1,0)</f>
        <v>0</v>
      </c>
      <c r="E24" s="5"/>
      <c r="F24" s="5"/>
      <c r="G24" s="5"/>
      <c r="H24" s="5"/>
      <c r="I24" s="5">
        <f>IF(reset=1,0,IF(AND($D24=1,write=1),I$11,I24))</f>
        <v>0</v>
      </c>
      <c r="J24" s="5">
        <f>IF(reset=1,0,IF(AND($D24=1,write=1),J$11,J24))</f>
        <v>0</v>
      </c>
      <c r="K24" s="5">
        <f>IF(reset=1,0,IF(AND($D24=1,write=1),K$11,K24))</f>
        <v>0</v>
      </c>
      <c r="L24" s="5">
        <f>IF(reset=1,0,IF(AND($D24=1,write=1),L$11,L24))</f>
        <v>0</v>
      </c>
      <c r="M24" s="6">
        <f>8*I24+4*J24+2*K24+L24</f>
        <v>0</v>
      </c>
      <c r="P24" s="24"/>
      <c r="Q24" s="25"/>
      <c r="R24" s="25"/>
      <c r="S24" s="25"/>
      <c r="T24" s="25"/>
      <c r="U24" s="26"/>
      <c r="X24" s="4">
        <v>15</v>
      </c>
      <c r="Y24" s="5" t="str">
        <f ca="1">INDIRECT("R"&amp;(ROW())&amp;"C"&amp;(COLUMN()+10+$W$10),FALSE)</f>
        <v>ALU DEC A</v>
      </c>
      <c r="Z24" s="5"/>
      <c r="AA24" s="5">
        <f ca="1">VLOOKUP(Y24,$B$53:$AB$68,2,FALSE)</f>
        <v>10</v>
      </c>
      <c r="AB24" s="5">
        <f t="shared" ca="1" si="0"/>
        <v>10</v>
      </c>
      <c r="AC24" s="5">
        <f t="shared" ca="1" si="1"/>
        <v>1</v>
      </c>
      <c r="AD24" s="5">
        <f t="shared" ca="1" si="2"/>
        <v>0</v>
      </c>
      <c r="AE24" s="5">
        <f t="shared" ca="1" si="3"/>
        <v>1</v>
      </c>
      <c r="AF24" s="6">
        <f t="shared" ca="1" si="4"/>
        <v>0</v>
      </c>
      <c r="AI24" s="4" t="s">
        <v>32</v>
      </c>
      <c r="AJ24" s="4">
        <v>12</v>
      </c>
      <c r="AK24" s="4"/>
      <c r="AL24" s="14"/>
      <c r="AM24" s="6"/>
      <c r="AN24" s="6"/>
      <c r="AO24" s="6"/>
    </row>
    <row r="25" spans="3:41" x14ac:dyDescent="0.25">
      <c r="C25" s="4">
        <v>11</v>
      </c>
      <c r="D25" s="5">
        <f ca="1">IF(C25=M$8,1,0)</f>
        <v>0</v>
      </c>
      <c r="E25" s="5"/>
      <c r="F25" s="5"/>
      <c r="G25" s="5"/>
      <c r="H25" s="5"/>
      <c r="I25" s="5">
        <f>IF(reset=1,0,IF(AND($D25=1,write=1),I$11,I25))</f>
        <v>0</v>
      </c>
      <c r="J25" s="5">
        <f>IF(reset=1,0,IF(AND($D25=1,write=1),J$11,J25))</f>
        <v>0</v>
      </c>
      <c r="K25" s="5">
        <f>IF(reset=1,0,IF(AND($D25=1,write=1),K$11,K25))</f>
        <v>0</v>
      </c>
      <c r="L25" s="5">
        <f>IF(reset=1,0,IF(AND($D25=1,write=1),L$11,L25))</f>
        <v>0</v>
      </c>
      <c r="M25" s="6">
        <f>8*I25+4*J25+2*K25+L25</f>
        <v>0</v>
      </c>
      <c r="P25" s="24"/>
      <c r="Q25" s="25"/>
      <c r="R25" s="25"/>
      <c r="S25" s="25"/>
      <c r="T25" s="25"/>
      <c r="U25" s="26"/>
      <c r="X25" s="4">
        <v>16</v>
      </c>
      <c r="Y25" s="5" t="str">
        <f ca="1">INDIRECT("R"&amp;(ROW())&amp;"C"&amp;(COLUMN()+10+$W$10),FALSE)</f>
        <v>WRITE A</v>
      </c>
      <c r="Z25" s="5"/>
      <c r="AA25" s="5">
        <f ca="1">VLOOKUP(Y25,$B$53:$AB$68,2,FALSE)</f>
        <v>6</v>
      </c>
      <c r="AB25" s="5">
        <f t="shared" ca="1" si="0"/>
        <v>6</v>
      </c>
      <c r="AC25" s="5">
        <f t="shared" ca="1" si="1"/>
        <v>0</v>
      </c>
      <c r="AD25" s="5">
        <f t="shared" ca="1" si="2"/>
        <v>1</v>
      </c>
      <c r="AE25" s="5">
        <f t="shared" ca="1" si="3"/>
        <v>1</v>
      </c>
      <c r="AF25" s="6">
        <f t="shared" ca="1" si="4"/>
        <v>0</v>
      </c>
      <c r="AI25" s="4" t="s">
        <v>11</v>
      </c>
      <c r="AJ25" s="4" t="s">
        <v>11</v>
      </c>
      <c r="AK25" s="4"/>
      <c r="AL25" s="14"/>
      <c r="AM25" s="6"/>
      <c r="AN25" s="6"/>
      <c r="AO25" s="6"/>
    </row>
    <row r="26" spans="3:41" x14ac:dyDescent="0.25">
      <c r="C26" s="4">
        <v>12</v>
      </c>
      <c r="D26" s="5">
        <f ca="1">IF(C26=M$8,1,0)</f>
        <v>0</v>
      </c>
      <c r="E26" s="5"/>
      <c r="F26" s="5"/>
      <c r="G26" s="5"/>
      <c r="H26" s="5"/>
      <c r="I26" s="5">
        <f>IF(reset=1,0,IF(AND($D26=1,write=1),I$11,I26))</f>
        <v>0</v>
      </c>
      <c r="J26" s="5">
        <f>IF(reset=1,0,IF(AND($D26=1,write=1),J$11,J26))</f>
        <v>0</v>
      </c>
      <c r="K26" s="5">
        <f>IF(reset=1,0,IF(AND($D26=1,write=1),K$11,K26))</f>
        <v>0</v>
      </c>
      <c r="L26" s="5">
        <f>IF(reset=1,0,IF(AND($D26=1,write=1),L$11,L26))</f>
        <v>0</v>
      </c>
      <c r="M26" s="6">
        <f>8*I26+4*J26+2*K26+L26</f>
        <v>0</v>
      </c>
      <c r="P26" s="24"/>
      <c r="Q26" s="25"/>
      <c r="R26" s="25"/>
      <c r="S26" s="25"/>
      <c r="T26" s="25"/>
      <c r="U26" s="26"/>
      <c r="X26" s="4">
        <v>17</v>
      </c>
      <c r="Y26" s="5" t="str">
        <f ca="1">INDIRECT("R"&amp;(ROW())&amp;"C"&amp;(COLUMN()+10+$W$10),FALSE)</f>
        <v>VLOAD MEM</v>
      </c>
      <c r="Z26" s="5"/>
      <c r="AA26" s="5">
        <f ca="1">VLOOKUP(Y26,$B$53:$AB$68,2,FALSE)</f>
        <v>2</v>
      </c>
      <c r="AB26" s="5">
        <f t="shared" ca="1" si="0"/>
        <v>2</v>
      </c>
      <c r="AC26" s="5">
        <f t="shared" ca="1" si="1"/>
        <v>0</v>
      </c>
      <c r="AD26" s="5">
        <f t="shared" ca="1" si="2"/>
        <v>0</v>
      </c>
      <c r="AE26" s="5">
        <f t="shared" ca="1" si="3"/>
        <v>1</v>
      </c>
      <c r="AF26" s="6">
        <f t="shared" ca="1" si="4"/>
        <v>0</v>
      </c>
      <c r="AI26" s="4" t="s">
        <v>31</v>
      </c>
      <c r="AJ26" s="4" t="s">
        <v>32</v>
      </c>
      <c r="AK26" s="4"/>
      <c r="AL26" s="14"/>
      <c r="AM26" s="6"/>
      <c r="AN26" s="6"/>
      <c r="AO26" s="6"/>
    </row>
    <row r="27" spans="3:41" x14ac:dyDescent="0.25">
      <c r="C27" s="4">
        <v>13</v>
      </c>
      <c r="D27" s="5">
        <f ca="1">IF(C27=M$8,1,0)</f>
        <v>0</v>
      </c>
      <c r="E27" s="5"/>
      <c r="F27" s="5"/>
      <c r="G27" s="5"/>
      <c r="H27" s="5"/>
      <c r="I27" s="5">
        <f>IF(reset=1,0,IF(AND($D27=1,write=1),I$11,I27))</f>
        <v>0</v>
      </c>
      <c r="J27" s="5">
        <f>IF(reset=1,0,IF(AND($D27=1,write=1),J$11,J27))</f>
        <v>0</v>
      </c>
      <c r="K27" s="5">
        <f>IF(reset=1,0,IF(AND($D27=1,write=1),K$11,K27))</f>
        <v>0</v>
      </c>
      <c r="L27" s="5">
        <f>IF(reset=1,0,IF(AND($D27=1,write=1),L$11,L27))</f>
        <v>0</v>
      </c>
      <c r="M27" s="6">
        <f>8*I27+4*J27+2*K27+L27</f>
        <v>0</v>
      </c>
      <c r="P27" s="24"/>
      <c r="Q27" s="25"/>
      <c r="R27" s="25"/>
      <c r="S27" s="25"/>
      <c r="T27" s="25"/>
      <c r="U27" s="26"/>
      <c r="X27" s="4">
        <v>18</v>
      </c>
      <c r="Y27" s="5">
        <f ca="1">INDIRECT("R"&amp;(ROW())&amp;"C"&amp;(COLUMN()+10+$W$10),FALSE)</f>
        <v>0</v>
      </c>
      <c r="Z27" s="5"/>
      <c r="AA27" s="5" t="e">
        <f ca="1">VLOOKUP(Y27,$B$53:$AB$68,2,FALSE)</f>
        <v>#N/A</v>
      </c>
      <c r="AB27" s="5">
        <f t="shared" ca="1" si="0"/>
        <v>0</v>
      </c>
      <c r="AC27" s="5">
        <f t="shared" ca="1" si="1"/>
        <v>0</v>
      </c>
      <c r="AD27" s="5">
        <f t="shared" ca="1" si="2"/>
        <v>0</v>
      </c>
      <c r="AE27" s="5">
        <f t="shared" ca="1" si="3"/>
        <v>0</v>
      </c>
      <c r="AF27" s="6">
        <f t="shared" ca="1" si="4"/>
        <v>0</v>
      </c>
      <c r="AI27" s="4">
        <v>0</v>
      </c>
      <c r="AJ27" s="4" t="s">
        <v>31</v>
      </c>
      <c r="AK27" s="4"/>
      <c r="AL27" s="14"/>
      <c r="AM27" s="6"/>
      <c r="AN27" s="6"/>
      <c r="AO27" s="6"/>
    </row>
    <row r="28" spans="3:41" ht="15.75" thickBot="1" x14ac:dyDescent="0.3">
      <c r="C28" s="4">
        <v>14</v>
      </c>
      <c r="D28" s="5">
        <f ca="1">IF(C28=M$8,1,0)</f>
        <v>0</v>
      </c>
      <c r="E28" s="5"/>
      <c r="F28" s="5"/>
      <c r="G28" s="5"/>
      <c r="H28" s="5"/>
      <c r="I28" s="5">
        <f>IF(reset=1,0,IF(AND($D28=1,write=1),I$11,I28))</f>
        <v>0</v>
      </c>
      <c r="J28" s="5">
        <f>IF(reset=1,0,IF(AND($D28=1,write=1),J$11,J28))</f>
        <v>0</v>
      </c>
      <c r="K28" s="5">
        <f>IF(reset=1,0,IF(AND($D28=1,write=1),K$11,K28))</f>
        <v>0</v>
      </c>
      <c r="L28" s="5">
        <f>IF(reset=1,0,IF(AND($D28=1,write=1),L$11,L28))</f>
        <v>0</v>
      </c>
      <c r="M28" s="6">
        <f>8*I28+4*J28+2*K28+L28</f>
        <v>0</v>
      </c>
      <c r="P28" s="27"/>
      <c r="Q28" s="28"/>
      <c r="R28" s="28"/>
      <c r="S28" s="28"/>
      <c r="T28" s="28"/>
      <c r="U28" s="29"/>
      <c r="X28" s="4">
        <v>19</v>
      </c>
      <c r="Y28" s="5" t="str">
        <f ca="1">INDIRECT("R"&amp;(ROW())&amp;"C"&amp;(COLUMN()+10+$W$10),FALSE)</f>
        <v>LOAD B</v>
      </c>
      <c r="Z28" s="5"/>
      <c r="AA28" s="5">
        <f ca="1">VLOOKUP(Y28,$B$53:$AB$68,2,FALSE)</f>
        <v>5</v>
      </c>
      <c r="AB28" s="5">
        <f t="shared" ca="1" si="0"/>
        <v>5</v>
      </c>
      <c r="AC28" s="5">
        <f t="shared" ca="1" si="1"/>
        <v>0</v>
      </c>
      <c r="AD28" s="5">
        <f t="shared" ca="1" si="2"/>
        <v>1</v>
      </c>
      <c r="AE28" s="5">
        <f t="shared" ca="1" si="3"/>
        <v>0</v>
      </c>
      <c r="AF28" s="6">
        <f t="shared" ca="1" si="4"/>
        <v>1</v>
      </c>
      <c r="AI28" s="4" t="s">
        <v>10</v>
      </c>
      <c r="AJ28" s="4">
        <v>11</v>
      </c>
      <c r="AK28" s="4"/>
      <c r="AL28" s="14"/>
      <c r="AM28" s="6"/>
      <c r="AN28" s="6"/>
      <c r="AO28" s="6"/>
    </row>
    <row r="29" spans="3:41" ht="15.75" thickBot="1" x14ac:dyDescent="0.3">
      <c r="C29" s="7">
        <v>15</v>
      </c>
      <c r="D29" s="8">
        <f ca="1">IF(C29=M$8,1,0)</f>
        <v>0</v>
      </c>
      <c r="E29" s="8"/>
      <c r="F29" s="8"/>
      <c r="G29" s="8"/>
      <c r="H29" s="8"/>
      <c r="I29" s="8">
        <f>IF(reset=1,0,IF(AND($D29=1,write=1),I$11,I29))</f>
        <v>0</v>
      </c>
      <c r="J29" s="8">
        <f>IF(reset=1,0,IF(AND($D29=1,write=1),J$11,J29))</f>
        <v>0</v>
      </c>
      <c r="K29" s="8">
        <f>IF(reset=1,0,IF(AND($D29=1,write=1),K$11,K29))</f>
        <v>0</v>
      </c>
      <c r="L29" s="8">
        <f>IF(reset=1,0,IF(AND($D29=1,write=1),L$11,L29))</f>
        <v>0</v>
      </c>
      <c r="M29" s="9">
        <f>8*I29+4*J29+2*K29+L29</f>
        <v>0</v>
      </c>
      <c r="P29" s="20"/>
      <c r="X29" s="4">
        <v>20</v>
      </c>
      <c r="Y29" s="5" t="str">
        <f ca="1">INDIRECT("R"&amp;(ROW())&amp;"C"&amp;(COLUMN()+10+$W$10),FALSE)</f>
        <v>VLOAD MEM</v>
      </c>
      <c r="Z29" s="5"/>
      <c r="AA29" s="5">
        <f ca="1">VLOOKUP(Y29,$B$53:$AB$68,2,FALSE)</f>
        <v>2</v>
      </c>
      <c r="AB29" s="5">
        <f t="shared" ca="1" si="0"/>
        <v>2</v>
      </c>
      <c r="AC29" s="5">
        <f t="shared" ca="1" si="1"/>
        <v>0</v>
      </c>
      <c r="AD29" s="5">
        <f t="shared" ca="1" si="2"/>
        <v>0</v>
      </c>
      <c r="AE29" s="5">
        <f t="shared" ca="1" si="3"/>
        <v>1</v>
      </c>
      <c r="AF29" s="6">
        <f t="shared" ca="1" si="4"/>
        <v>0</v>
      </c>
      <c r="AI29" s="4" t="s">
        <v>31</v>
      </c>
      <c r="AJ29" s="4" t="s">
        <v>11</v>
      </c>
      <c r="AK29" s="4"/>
      <c r="AL29" s="14"/>
      <c r="AM29" s="6"/>
      <c r="AN29" s="6"/>
      <c r="AO29" s="6"/>
    </row>
    <row r="30" spans="3:41" x14ac:dyDescent="0.25">
      <c r="I30" s="1"/>
      <c r="J30" s="2"/>
      <c r="K30" s="2"/>
      <c r="L30" s="3"/>
      <c r="X30" s="4">
        <v>21</v>
      </c>
      <c r="Y30" s="5">
        <f ca="1">INDIRECT("R"&amp;(ROW())&amp;"C"&amp;(COLUMN()+10+$W$10),FALSE)</f>
        <v>2</v>
      </c>
      <c r="Z30" s="5"/>
      <c r="AA30" s="5" t="e">
        <f ca="1">VLOOKUP(Y30,$B$53:$AB$68,2,FALSE)</f>
        <v>#N/A</v>
      </c>
      <c r="AB30" s="5">
        <f t="shared" ca="1" si="0"/>
        <v>2</v>
      </c>
      <c r="AC30" s="5">
        <f t="shared" ca="1" si="1"/>
        <v>0</v>
      </c>
      <c r="AD30" s="5">
        <f t="shared" ca="1" si="2"/>
        <v>0</v>
      </c>
      <c r="AE30" s="5">
        <f t="shared" ca="1" si="3"/>
        <v>1</v>
      </c>
      <c r="AF30" s="6">
        <f t="shared" ca="1" si="4"/>
        <v>0</v>
      </c>
      <c r="AI30" s="4">
        <v>2</v>
      </c>
      <c r="AJ30" s="4" t="s">
        <v>32</v>
      </c>
      <c r="AK30" s="4"/>
      <c r="AL30" s="14"/>
      <c r="AM30" s="6"/>
      <c r="AN30" s="6"/>
      <c r="AO30" s="6"/>
    </row>
    <row r="31" spans="3:41" ht="15.75" thickBot="1" x14ac:dyDescent="0.3">
      <c r="I31" s="7">
        <f ca="1">$D14*I14+$D15*I15+$D16*I16+$D17*I17+$D18*I18+$D19*I19+$D20*I20+$D21*I21+$D22*I22+$D23*I23+$D24*I24+$D25*I25+$D26*I26+$D27*I27+$D28*I28+$D29*I29</f>
        <v>0</v>
      </c>
      <c r="J31" s="8">
        <f ca="1">$D14*J14+$D15*J15+$D16*J16+$D17*J17+$D18*J18+$D19*J19+$D20*J20+$D21*J21+$D22*J22+$D23*J23+$D24*J24+$D25*J25+$D26*J26+$D27*J27+$D28*J28+$D29*J29</f>
        <v>0</v>
      </c>
      <c r="K31" s="8">
        <f ca="1">$D14*K14+$D15*K15+$D16*K16+$D17*K17+$D18*K18+$D19*K19+$D20*K20+$D21*K21+$D22*K22+$D23*K23+$D24*K24+$D25*K25+$D26*K26+$D27*K27+$D28*K28+$D29*K29</f>
        <v>0</v>
      </c>
      <c r="L31" s="9">
        <f ca="1">$D14*L14+$D15*L15+$D16*L16+$D17*L17+$D18*L18+$D19*L19+$D20*L20+$D21*L21+$D22*L22+$D23*L23+$D24*L24+$D25*L25+$D26*L26+$D27*L27+$D28*L28+$D29*L29</f>
        <v>0</v>
      </c>
      <c r="X31" s="4">
        <v>22</v>
      </c>
      <c r="Y31" s="5" t="str">
        <f ca="1">INDIRECT("R"&amp;(ROW())&amp;"C"&amp;(COLUMN()+10+$W$10),FALSE)</f>
        <v>LOAD A</v>
      </c>
      <c r="Z31" s="5"/>
      <c r="AA31" s="5">
        <f ca="1">VLOOKUP(Y31,$B$53:$AB$68,2,FALSE)</f>
        <v>4</v>
      </c>
      <c r="AB31" s="5">
        <f t="shared" ca="1" si="0"/>
        <v>4</v>
      </c>
      <c r="AC31" s="5">
        <f t="shared" ca="1" si="1"/>
        <v>0</v>
      </c>
      <c r="AD31" s="5">
        <f t="shared" ca="1" si="2"/>
        <v>1</v>
      </c>
      <c r="AE31" s="5">
        <f t="shared" ca="1" si="3"/>
        <v>0</v>
      </c>
      <c r="AF31" s="6">
        <f t="shared" ca="1" si="4"/>
        <v>0</v>
      </c>
      <c r="AI31" s="4" t="s">
        <v>9</v>
      </c>
      <c r="AJ31" s="4" t="s">
        <v>31</v>
      </c>
      <c r="AK31" s="4"/>
      <c r="AL31" s="14"/>
      <c r="AM31" s="6"/>
      <c r="AN31" s="6"/>
      <c r="AO31" s="6"/>
    </row>
    <row r="32" spans="3:41" ht="15.75" thickBot="1" x14ac:dyDescent="0.3">
      <c r="X32" s="4">
        <v>23</v>
      </c>
      <c r="Y32" s="5" t="str">
        <f ca="1">INDIRECT("R"&amp;(ROW())&amp;"C"&amp;(COLUMN()+10+$W$10),FALSE)</f>
        <v>ALU ADD</v>
      </c>
      <c r="Z32" s="5"/>
      <c r="AA32" s="5">
        <f ca="1">VLOOKUP(Y32,$B$53:$AB$68,2,FALSE)</f>
        <v>9</v>
      </c>
      <c r="AB32" s="5">
        <f t="shared" ca="1" si="0"/>
        <v>9</v>
      </c>
      <c r="AC32" s="5">
        <f t="shared" ca="1" si="1"/>
        <v>1</v>
      </c>
      <c r="AD32" s="5">
        <f t="shared" ca="1" si="2"/>
        <v>0</v>
      </c>
      <c r="AE32" s="5">
        <f t="shared" ca="1" si="3"/>
        <v>0</v>
      </c>
      <c r="AF32" s="6">
        <f t="shared" ca="1" si="4"/>
        <v>1</v>
      </c>
      <c r="AI32" s="4" t="s">
        <v>13</v>
      </c>
      <c r="AJ32" s="4">
        <v>10</v>
      </c>
      <c r="AK32" s="4"/>
      <c r="AL32" s="14"/>
      <c r="AM32" s="6"/>
      <c r="AN32" s="6"/>
      <c r="AO32" s="6"/>
    </row>
    <row r="33" spans="2:41" x14ac:dyDescent="0.25">
      <c r="D33" s="1" t="s">
        <v>27</v>
      </c>
      <c r="E33" s="2"/>
      <c r="F33" s="2"/>
      <c r="G33" s="2"/>
      <c r="H33" s="2"/>
      <c r="I33" s="2"/>
      <c r="J33" s="2"/>
      <c r="K33" s="2"/>
      <c r="L33" s="2">
        <f ca="1">P70</f>
        <v>0</v>
      </c>
      <c r="M33" s="3"/>
      <c r="X33" s="4">
        <v>24</v>
      </c>
      <c r="Y33" s="5" t="str">
        <f ca="1">INDIRECT("R"&amp;(ROW())&amp;"C"&amp;(COLUMN()+10+$W$10),FALSE)</f>
        <v>WRITE A</v>
      </c>
      <c r="Z33" s="5"/>
      <c r="AA33" s="5">
        <f ca="1">VLOOKUP(Y33,$B$53:$AB$68,2,FALSE)</f>
        <v>6</v>
      </c>
      <c r="AB33" s="5">
        <f t="shared" ca="1" si="0"/>
        <v>6</v>
      </c>
      <c r="AC33" s="5">
        <f t="shared" ca="1" si="1"/>
        <v>0</v>
      </c>
      <c r="AD33" s="5">
        <f t="shared" ca="1" si="2"/>
        <v>1</v>
      </c>
      <c r="AE33" s="5">
        <f t="shared" ca="1" si="3"/>
        <v>1</v>
      </c>
      <c r="AF33" s="6">
        <f t="shared" ca="1" si="4"/>
        <v>0</v>
      </c>
      <c r="AI33" s="4" t="s">
        <v>11</v>
      </c>
      <c r="AJ33" s="4" t="s">
        <v>11</v>
      </c>
      <c r="AK33" s="4"/>
      <c r="AL33" s="14"/>
      <c r="AM33" s="6"/>
      <c r="AN33" s="6"/>
      <c r="AO33" s="6"/>
    </row>
    <row r="34" spans="2:41" ht="15.75" thickBot="1" x14ac:dyDescent="0.3">
      <c r="D34" s="7" t="s">
        <v>3</v>
      </c>
      <c r="E34" s="8"/>
      <c r="F34" s="8"/>
      <c r="G34" s="8"/>
      <c r="H34" s="8"/>
      <c r="I34" s="8">
        <f ca="1">IF(read=1,I31,0)</f>
        <v>0</v>
      </c>
      <c r="J34" s="8">
        <f ca="1">IF(read=1,J31,0)</f>
        <v>0</v>
      </c>
      <c r="K34" s="8">
        <f ca="1">IF(read=1,K31,0)</f>
        <v>0</v>
      </c>
      <c r="L34" s="8">
        <f ca="1">IF(read=1,L31,0)</f>
        <v>0</v>
      </c>
      <c r="M34" s="9">
        <f ca="1">8*I34+4*J34+2*K34+L34</f>
        <v>0</v>
      </c>
      <c r="X34" s="4">
        <v>25</v>
      </c>
      <c r="Y34" s="5" t="str">
        <f ca="1">INDIRECT("R"&amp;(ROW())&amp;"C"&amp;(COLUMN()+10+$W$10),FALSE)</f>
        <v>VLOAD A</v>
      </c>
      <c r="Z34" s="5"/>
      <c r="AA34" s="5">
        <f ca="1">VLOOKUP(Y34,$B$53:$AB$68,2,FALSE)</f>
        <v>3</v>
      </c>
      <c r="AB34" s="5">
        <f t="shared" ca="1" si="0"/>
        <v>3</v>
      </c>
      <c r="AC34" s="5">
        <f t="shared" ca="1" si="1"/>
        <v>0</v>
      </c>
      <c r="AD34" s="5">
        <f t="shared" ca="1" si="2"/>
        <v>0</v>
      </c>
      <c r="AE34" s="5">
        <f t="shared" ca="1" si="3"/>
        <v>1</v>
      </c>
      <c r="AF34" s="6">
        <f t="shared" ca="1" si="4"/>
        <v>1</v>
      </c>
      <c r="AI34" s="4" t="s">
        <v>29</v>
      </c>
      <c r="AJ34" s="4"/>
      <c r="AK34" s="4"/>
      <c r="AL34" s="14"/>
      <c r="AM34" s="6"/>
      <c r="AN34" s="6"/>
      <c r="AO34" s="6"/>
    </row>
    <row r="35" spans="2:41" ht="15.75" thickBot="1" x14ac:dyDescent="0.3">
      <c r="X35" s="4">
        <v>26</v>
      </c>
      <c r="Y35" s="5">
        <f ca="1">INDIRECT("R"&amp;(ROW())&amp;"C"&amp;(COLUMN()+10+$W$10),FALSE)</f>
        <v>1</v>
      </c>
      <c r="Z35" s="5"/>
      <c r="AA35" s="5" t="e">
        <f ca="1">VLOOKUP(Y35,$B$53:$AB$68,2,FALSE)</f>
        <v>#N/A</v>
      </c>
      <c r="AB35" s="5">
        <f t="shared" ca="1" si="0"/>
        <v>1</v>
      </c>
      <c r="AC35" s="5">
        <f t="shared" ca="1" si="1"/>
        <v>0</v>
      </c>
      <c r="AD35" s="5">
        <f t="shared" ca="1" si="2"/>
        <v>0</v>
      </c>
      <c r="AE35" s="5">
        <f t="shared" ca="1" si="3"/>
        <v>0</v>
      </c>
      <c r="AF35" s="6">
        <f t="shared" ca="1" si="4"/>
        <v>1</v>
      </c>
      <c r="AI35" s="4">
        <v>1</v>
      </c>
      <c r="AJ35" s="4"/>
      <c r="AK35" s="4"/>
      <c r="AL35" s="14"/>
      <c r="AM35" s="6"/>
      <c r="AN35" s="6"/>
      <c r="AO35" s="6"/>
    </row>
    <row r="36" spans="2:41" ht="15.75" thickBot="1" x14ac:dyDescent="0.3">
      <c r="B36" s="19" t="s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X36" s="4">
        <v>27</v>
      </c>
      <c r="Y36" s="5" t="str">
        <f ca="1">INDIRECT("R"&amp;(ROW())&amp;"C"&amp;(COLUMN()+10+$W$10),FALSE)</f>
        <v>JMP</v>
      </c>
      <c r="Z36" s="5"/>
      <c r="AA36" s="5">
        <f ca="1">VLOOKUP(Y36,$B$53:$AB$68,2,FALSE)</f>
        <v>1</v>
      </c>
      <c r="AB36" s="5">
        <f t="shared" ca="1" si="0"/>
        <v>1</v>
      </c>
      <c r="AC36" s="5">
        <f t="shared" ca="1" si="1"/>
        <v>0</v>
      </c>
      <c r="AD36" s="5">
        <f t="shared" ca="1" si="2"/>
        <v>0</v>
      </c>
      <c r="AE36" s="5">
        <f t="shared" ca="1" si="3"/>
        <v>0</v>
      </c>
      <c r="AF36" s="6">
        <f t="shared" ca="1" si="4"/>
        <v>1</v>
      </c>
      <c r="AI36" s="4" t="s">
        <v>55</v>
      </c>
      <c r="AJ36" s="4"/>
      <c r="AK36" s="4"/>
      <c r="AL36" s="14"/>
      <c r="AM36" s="6"/>
      <c r="AN36" s="6"/>
      <c r="AO36" s="6"/>
    </row>
    <row r="37" spans="2:41" x14ac:dyDescent="0.25">
      <c r="B37" s="4"/>
      <c r="C37" s="5" t="s">
        <v>4</v>
      </c>
      <c r="D37" s="5"/>
      <c r="E37" s="5"/>
      <c r="F37" s="5"/>
      <c r="G37" s="5"/>
      <c r="H37" s="5"/>
      <c r="I37" s="5">
        <f ca="1">E6</f>
        <v>1</v>
      </c>
      <c r="J37" s="5"/>
      <c r="K37" s="5"/>
      <c r="L37" s="5"/>
      <c r="M37" s="5"/>
      <c r="N37" s="6"/>
      <c r="X37" s="4">
        <v>28</v>
      </c>
      <c r="Y37" s="5">
        <f ca="1">INDIRECT("R"&amp;(ROW())&amp;"C"&amp;(COLUMN()+10+$W$10),FALSE)</f>
        <v>10</v>
      </c>
      <c r="Z37" s="5"/>
      <c r="AA37" s="5" t="e">
        <f ca="1">VLOOKUP(Y37,$B$53:$AB$68,2,FALSE)</f>
        <v>#N/A</v>
      </c>
      <c r="AB37" s="5">
        <f t="shared" ca="1" si="0"/>
        <v>10</v>
      </c>
      <c r="AC37" s="5">
        <f t="shared" ca="1" si="1"/>
        <v>1</v>
      </c>
      <c r="AD37" s="5">
        <f t="shared" ca="1" si="2"/>
        <v>0</v>
      </c>
      <c r="AE37" s="5">
        <f t="shared" ca="1" si="3"/>
        <v>1</v>
      </c>
      <c r="AF37" s="6">
        <f t="shared" ca="1" si="4"/>
        <v>0</v>
      </c>
      <c r="AI37" s="4">
        <v>10</v>
      </c>
      <c r="AJ37" s="4"/>
      <c r="AK37" s="4"/>
      <c r="AL37" s="14"/>
      <c r="AM37" s="6"/>
      <c r="AN37" s="6"/>
      <c r="AO37" s="6"/>
    </row>
    <row r="38" spans="2:4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X38" s="4">
        <v>29</v>
      </c>
      <c r="Y38" s="5">
        <f ca="1">INDIRECT("R"&amp;(ROW())&amp;"C"&amp;(COLUMN()+10+$W$10),FALSE)</f>
        <v>0</v>
      </c>
      <c r="Z38" s="5"/>
      <c r="AA38" s="5"/>
      <c r="AB38" s="5"/>
      <c r="AC38" s="5"/>
      <c r="AD38" s="5"/>
      <c r="AE38" s="5"/>
      <c r="AF38" s="6"/>
      <c r="AI38" s="4"/>
      <c r="AJ38" s="4"/>
      <c r="AK38" s="4"/>
      <c r="AL38" s="14"/>
      <c r="AM38" s="6"/>
      <c r="AN38" s="6"/>
      <c r="AO38" s="6"/>
    </row>
    <row r="39" spans="2:41" x14ac:dyDescent="0.25">
      <c r="B39" s="4"/>
      <c r="C39" s="5" t="s">
        <v>3</v>
      </c>
      <c r="D39" s="5"/>
      <c r="E39" s="5"/>
      <c r="F39" s="5"/>
      <c r="G39" s="5"/>
      <c r="H39" s="5"/>
      <c r="I39" s="5">
        <f>IF(reset=1,0,IF($O$53=1,I42,IF(AND($O$54=1,$M$91=1),I46,IF(OR($W$70=1,AND($O$60=1,$M$91=1)),I45,I44))))</f>
        <v>0</v>
      </c>
      <c r="J39" s="5">
        <f>IF(reset=1,0,IF($O$53=1,J42,IF(AND($O$54=1,$M$91=1),J46,IF(OR($W$70=1,AND($O$60=1,$M$91=1)),J45,J44))))</f>
        <v>0</v>
      </c>
      <c r="K39" s="5">
        <f>IF(reset=1,0,IF($O$53=1,K42,IF(AND($O$54=1,$M$91=1),K46,IF(OR($W$70=1,AND($O$60=1,$M$91=1)),K45,K44))))</f>
        <v>0</v>
      </c>
      <c r="L39" s="5">
        <f>IF(reset=1,0,IF($O$53=1,L42,IF(AND($O$54=1,$M$91=1),L46,IF(OR($W$70=1,AND($O$60=1,$M$91=1)),L45,L44))))</f>
        <v>0</v>
      </c>
      <c r="M39" s="5">
        <f>IF(reset=1,0,IF($O$53=1,M42,IF(AND($O$54=1,$M$91=1),M46,IF(OR($W$70=1,AND($O$60=1,$M$91=1)),M45,M44))))</f>
        <v>0</v>
      </c>
      <c r="N39" s="6">
        <f>16*I39+8*J39+4*K39+2*L39+M39</f>
        <v>0</v>
      </c>
      <c r="X39" s="4">
        <v>30</v>
      </c>
      <c r="Y39" s="5">
        <f ca="1">INDIRECT("R"&amp;(ROW())&amp;"C"&amp;(COLUMN()+10+$W$10),FALSE)</f>
        <v>0</v>
      </c>
      <c r="Z39" s="5"/>
      <c r="AA39" s="5"/>
      <c r="AB39" s="5"/>
      <c r="AC39" s="5"/>
      <c r="AD39" s="5"/>
      <c r="AE39" s="5"/>
      <c r="AF39" s="6"/>
      <c r="AI39" s="4"/>
      <c r="AJ39" s="4"/>
      <c r="AK39" s="4"/>
      <c r="AL39" s="14"/>
      <c r="AM39" s="6"/>
      <c r="AN39" s="6"/>
      <c r="AO39" s="6"/>
    </row>
    <row r="40" spans="2:41" ht="15.75" thickBot="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  <c r="X40" s="7">
        <v>31</v>
      </c>
      <c r="Y40" s="8">
        <f ca="1">INDIRECT("R"&amp;(ROW())&amp;"C"&amp;(COLUMN()+10+$W$10),FALSE)</f>
        <v>0</v>
      </c>
      <c r="Z40" s="8"/>
      <c r="AA40" s="8"/>
      <c r="AB40" s="8"/>
      <c r="AC40" s="8"/>
      <c r="AD40" s="8"/>
      <c r="AE40" s="8"/>
      <c r="AF40" s="9"/>
      <c r="AI40" s="7"/>
      <c r="AJ40" s="7"/>
      <c r="AK40" s="7"/>
      <c r="AL40" s="15"/>
      <c r="AM40" s="9"/>
      <c r="AN40" s="9"/>
      <c r="AO40" s="9"/>
    </row>
    <row r="41" spans="2:41" x14ac:dyDescent="0.25">
      <c r="B41" s="4"/>
      <c r="C41" s="5" t="s">
        <v>1</v>
      </c>
      <c r="D41" s="5"/>
      <c r="E41" s="5"/>
      <c r="F41" s="5"/>
      <c r="G41" s="5"/>
      <c r="H41" s="5"/>
      <c r="I41" s="5">
        <f ca="1">IF(enable_read_cu=0,I39,I41)</f>
        <v>0</v>
      </c>
      <c r="J41" s="5">
        <f ca="1">IF(enable_read_cu=0,J39,J41)</f>
        <v>0</v>
      </c>
      <c r="K41" s="5">
        <f ca="1">IF(enable_read_cu=0,K39,K41)</f>
        <v>0</v>
      </c>
      <c r="L41" s="5">
        <f ca="1">IF(enable_read_cu=0,L39,L41)</f>
        <v>0</v>
      </c>
      <c r="M41" s="5">
        <f ca="1">IF(enable_read_cu=0,M39,M41)</f>
        <v>0</v>
      </c>
      <c r="N41" s="6">
        <f t="shared" ref="N41" ca="1" si="6">16*I41+8*J41+4*K41+2*L41+M41</f>
        <v>0</v>
      </c>
    </row>
    <row r="42" spans="2:41" x14ac:dyDescent="0.25">
      <c r="B42" s="4" t="s">
        <v>62</v>
      </c>
      <c r="C42" s="5" t="s">
        <v>51</v>
      </c>
      <c r="D42" s="5"/>
      <c r="E42" s="5"/>
      <c r="F42" s="5"/>
      <c r="G42" s="5"/>
      <c r="H42" s="5"/>
      <c r="I42" s="5">
        <f ca="1">IF(enable_read_cu=1,I41,I42)</f>
        <v>0</v>
      </c>
      <c r="J42" s="5">
        <f ca="1">IF(enable_read_cu=1,J41,J42)</f>
        <v>0</v>
      </c>
      <c r="K42" s="5">
        <f ca="1">IF(enable_read_cu=1,K41,K42)</f>
        <v>0</v>
      </c>
      <c r="L42" s="5">
        <f ca="1">IF(enable_read_cu=1,L41,L42)</f>
        <v>0</v>
      </c>
      <c r="M42" s="5">
        <f ca="1">IF(enable_read_cu=1,M41,M42)</f>
        <v>0</v>
      </c>
      <c r="N42" s="6">
        <f ca="1">16*I42+8*J42+4*K42+2*L42+M42</f>
        <v>0</v>
      </c>
    </row>
    <row r="43" spans="2:41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41" x14ac:dyDescent="0.25">
      <c r="B44" s="4" t="s">
        <v>63</v>
      </c>
      <c r="C44" s="13" t="s">
        <v>47</v>
      </c>
      <c r="D44" s="5"/>
      <c r="E44" s="5"/>
      <c r="F44" s="5"/>
      <c r="G44" s="5"/>
      <c r="H44" s="5"/>
      <c r="I44" s="5">
        <f ca="1">QUOTIENT(N44,16)</f>
        <v>0</v>
      </c>
      <c r="J44" s="5">
        <f ca="1">QUOTIENT(N44-16*I44,8)</f>
        <v>0</v>
      </c>
      <c r="K44" s="5">
        <f ca="1">QUOTIENT(N44-16*I44-8*J44,4)</f>
        <v>0</v>
      </c>
      <c r="L44" s="5">
        <f ca="1">QUOTIENT(N44-16*I44-8*J44-4*K44,2)</f>
        <v>0</v>
      </c>
      <c r="M44" s="5">
        <f ca="1">N44-I44*16-J44*8-K44*4-L44*2</f>
        <v>1</v>
      </c>
      <c r="N44" s="6">
        <f ca="1">N42+1</f>
        <v>1</v>
      </c>
    </row>
    <row r="45" spans="2:41" x14ac:dyDescent="0.25">
      <c r="B45" s="4"/>
      <c r="C45" s="13" t="s">
        <v>48</v>
      </c>
      <c r="D45" s="5"/>
      <c r="E45" s="5"/>
      <c r="F45" s="5"/>
      <c r="G45" s="5"/>
      <c r="H45" s="5"/>
      <c r="I45" s="5">
        <f ca="1">QUOTIENT(N45,16)</f>
        <v>0</v>
      </c>
      <c r="J45" s="5">
        <f ca="1">QUOTIENT(N45-16*I45,8)</f>
        <v>0</v>
      </c>
      <c r="K45" s="5">
        <f ca="1">QUOTIENT(N45-16*I45-8*J45,4)</f>
        <v>0</v>
      </c>
      <c r="L45" s="5">
        <f ca="1">QUOTIENT(N45-16*I45-8*J45-4*K45,2)</f>
        <v>1</v>
      </c>
      <c r="M45" s="5">
        <f ca="1">N45-I45*16-J45*8-K45*4-L45*2</f>
        <v>0</v>
      </c>
      <c r="N45" s="6">
        <f ca="1">N42+2</f>
        <v>2</v>
      </c>
    </row>
    <row r="46" spans="2:41" x14ac:dyDescent="0.25">
      <c r="B46" s="4"/>
      <c r="C46" s="5" t="s">
        <v>49</v>
      </c>
      <c r="D46" s="5"/>
      <c r="E46" s="5"/>
      <c r="F46" s="5"/>
      <c r="G46" s="5"/>
      <c r="H46" s="5"/>
      <c r="I46" s="5">
        <v>0</v>
      </c>
      <c r="J46" s="5">
        <f ca="1">I50</f>
        <v>0</v>
      </c>
      <c r="K46" s="5">
        <f ca="1">J50</f>
        <v>1</v>
      </c>
      <c r="L46" s="5">
        <f ca="1">K50</f>
        <v>1</v>
      </c>
      <c r="M46" s="5">
        <f ca="1">L50</f>
        <v>1</v>
      </c>
      <c r="N46" s="6">
        <f ca="1">16*I46+8*J46+4*K46+2*L46+M46</f>
        <v>7</v>
      </c>
    </row>
    <row r="47" spans="2:41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2:41" x14ac:dyDescent="0.25">
      <c r="B48" s="4" t="s">
        <v>35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2:23" x14ac:dyDescent="0.25">
      <c r="B49" s="4"/>
      <c r="C49" s="5" t="s">
        <v>36</v>
      </c>
      <c r="D49" s="5"/>
      <c r="E49" s="5"/>
      <c r="F49" s="5"/>
      <c r="G49" s="5"/>
      <c r="H49" s="5"/>
      <c r="I49" s="5">
        <f ca="1">INDIRECT(CONCATENATE("AC",$W$9+$N$42))</f>
        <v>0</v>
      </c>
      <c r="J49" s="5">
        <f ca="1">INDIRECT(CONCATENATE("AD",$W$9+$N$42))</f>
        <v>0</v>
      </c>
      <c r="K49" s="5">
        <f ca="1">INDIRECT(CONCATENATE("AE",$W$9+$N$42))</f>
        <v>1</v>
      </c>
      <c r="L49" s="5">
        <f ca="1">INDIRECT(CONCATENATE("AF",$W$9+$N$42))</f>
        <v>1</v>
      </c>
      <c r="M49" s="5">
        <f ca="1">8*I49+4*J49+2*K49+L49</f>
        <v>3</v>
      </c>
      <c r="N49" s="6"/>
      <c r="O49" s="17" t="s">
        <v>61</v>
      </c>
      <c r="P49" s="18"/>
      <c r="Q49" s="18"/>
    </row>
    <row r="50" spans="2:23" ht="15.75" thickBot="1" x14ac:dyDescent="0.3">
      <c r="B50" s="7"/>
      <c r="C50" s="8" t="s">
        <v>60</v>
      </c>
      <c r="D50" s="8"/>
      <c r="E50" s="8"/>
      <c r="F50" s="8"/>
      <c r="G50" s="8"/>
      <c r="H50" s="8"/>
      <c r="I50" s="8">
        <f ca="1">INDIRECT(CONCATENATE("AC",$W$9+$N$42+1))</f>
        <v>0</v>
      </c>
      <c r="J50" s="8">
        <f ca="1">INDIRECT(CONCATENATE("AD",$W$9+$N$42+1))</f>
        <v>1</v>
      </c>
      <c r="K50" s="8">
        <f ca="1">INDIRECT(CONCATENATE("AE",$W$9+$N$42+1))</f>
        <v>1</v>
      </c>
      <c r="L50" s="8">
        <f ca="1">INDIRECT(CONCATENATE("AF",$W$9+$N$42+1))</f>
        <v>1</v>
      </c>
      <c r="M50" s="8">
        <f ca="1">8*I50+4*J50+2*K50+L50</f>
        <v>7</v>
      </c>
      <c r="N50" s="9"/>
      <c r="O50" s="17"/>
      <c r="P50" s="18"/>
      <c r="Q50" s="18"/>
    </row>
    <row r="51" spans="2:23" ht="15.75" thickBot="1" x14ac:dyDescent="0.3"/>
    <row r="52" spans="2:23" ht="15.75" thickBot="1" x14ac:dyDescent="0.3">
      <c r="B52" s="19" t="s">
        <v>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45</v>
      </c>
      <c r="P52" s="2" t="s">
        <v>38</v>
      </c>
      <c r="Q52" s="2" t="s">
        <v>39</v>
      </c>
      <c r="R52" s="2" t="s">
        <v>40</v>
      </c>
      <c r="S52" s="2" t="s">
        <v>41</v>
      </c>
      <c r="T52" s="2" t="s">
        <v>42</v>
      </c>
      <c r="U52" s="2" t="s">
        <v>17</v>
      </c>
      <c r="V52" s="2" t="s">
        <v>43</v>
      </c>
      <c r="W52" s="3" t="s">
        <v>58</v>
      </c>
    </row>
    <row r="53" spans="2:23" x14ac:dyDescent="0.25">
      <c r="B53" s="4" t="s">
        <v>8</v>
      </c>
      <c r="C53" s="5">
        <v>0</v>
      </c>
      <c r="D53" s="5"/>
      <c r="E53" s="5"/>
      <c r="F53" s="5"/>
      <c r="G53" s="5"/>
      <c r="H53" s="5"/>
      <c r="I53" s="5">
        <f>QUOTIENT(C53,8)</f>
        <v>0</v>
      </c>
      <c r="J53" s="5">
        <f>QUOTIENT(C53-I53*8,4)</f>
        <v>0</v>
      </c>
      <c r="K53" s="5">
        <f>QUOTIENT(C53-I53*8-J53*4,2)</f>
        <v>0</v>
      </c>
      <c r="L53" s="5">
        <f>C53-I53*8-J53*4-K53*2</f>
        <v>0</v>
      </c>
      <c r="M53" s="5"/>
      <c r="N53" s="5"/>
      <c r="O53" s="5">
        <f ca="1">IF(VLOOKUP(B53,$B$53:$AB$68,2,FALSE)=$M$49,1,0)</f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f>I53</f>
        <v>0</v>
      </c>
      <c r="V53" s="5">
        <v>0</v>
      </c>
      <c r="W53" s="6">
        <v>0</v>
      </c>
    </row>
    <row r="54" spans="2:23" x14ac:dyDescent="0.25">
      <c r="B54" s="4" t="s">
        <v>55</v>
      </c>
      <c r="C54" s="5">
        <v>1</v>
      </c>
      <c r="D54" s="5"/>
      <c r="E54" s="5"/>
      <c r="F54" s="5"/>
      <c r="G54" s="5"/>
      <c r="H54" s="5"/>
      <c r="I54" s="5">
        <f>QUOTIENT(C54,8)</f>
        <v>0</v>
      </c>
      <c r="J54" s="5">
        <f>QUOTIENT(C54-I54*8,4)</f>
        <v>0</v>
      </c>
      <c r="K54" s="5">
        <f>QUOTIENT(C54-I54*8-J54*4,2)</f>
        <v>0</v>
      </c>
      <c r="L54" s="5">
        <f>C54-I54*8-J54*4-K54*2</f>
        <v>1</v>
      </c>
      <c r="M54" s="5"/>
      <c r="N54" s="5"/>
      <c r="O54" s="5">
        <f ca="1">IF(VLOOKUP(B54,$B$53:$AB$68,2,FALSE)=$M$49,1,0)</f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f>I54</f>
        <v>0</v>
      </c>
      <c r="V54" s="5">
        <v>0</v>
      </c>
      <c r="W54" s="6">
        <v>1</v>
      </c>
    </row>
    <row r="55" spans="2:23" x14ac:dyDescent="0.25">
      <c r="B55" s="4" t="s">
        <v>31</v>
      </c>
      <c r="C55" s="5">
        <v>2</v>
      </c>
      <c r="D55" s="5"/>
      <c r="E55" s="5"/>
      <c r="F55" s="5"/>
      <c r="G55" s="5"/>
      <c r="H55" s="5"/>
      <c r="I55" s="5">
        <f>QUOTIENT(C55,8)</f>
        <v>0</v>
      </c>
      <c r="J55" s="5">
        <f>QUOTIENT(C55-I55*8,4)</f>
        <v>0</v>
      </c>
      <c r="K55" s="5">
        <f>QUOTIENT(C55-I55*8-J55*4,2)</f>
        <v>1</v>
      </c>
      <c r="L55" s="5">
        <f>C55-I55*8-J55*4-K55*2</f>
        <v>0</v>
      </c>
      <c r="M55" s="5"/>
      <c r="N55" s="5"/>
      <c r="O55" s="5">
        <f ca="1">IF(VLOOKUP(B55,$B$53:$AB$68,2,FALSE)=$M$49,1,0)</f>
        <v>0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f>I55</f>
        <v>0</v>
      </c>
      <c r="V55" s="5">
        <v>0</v>
      </c>
      <c r="W55" s="6">
        <v>1</v>
      </c>
    </row>
    <row r="56" spans="2:23" x14ac:dyDescent="0.25">
      <c r="B56" s="4" t="s">
        <v>29</v>
      </c>
      <c r="C56" s="5">
        <v>3</v>
      </c>
      <c r="D56" s="5"/>
      <c r="E56" s="5"/>
      <c r="F56" s="5"/>
      <c r="G56" s="5"/>
      <c r="H56" s="5"/>
      <c r="I56" s="5">
        <f>QUOTIENT(C56,8)</f>
        <v>0</v>
      </c>
      <c r="J56" s="5">
        <f>QUOTIENT(C56-I56*8,4)</f>
        <v>0</v>
      </c>
      <c r="K56" s="5">
        <f>QUOTIENT(C56-I56*8-J56*4,2)</f>
        <v>1</v>
      </c>
      <c r="L56" s="5">
        <f>C56-I56*8-J56*4-K56*2</f>
        <v>1</v>
      </c>
      <c r="M56" s="5"/>
      <c r="N56" s="5"/>
      <c r="O56" s="5">
        <f ca="1">IF(VLOOKUP(B56,$B$53:$AB$68,2,FALSE)=$M$49,1,0)</f>
        <v>1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f>I56</f>
        <v>0</v>
      </c>
      <c r="V56" s="5">
        <v>0</v>
      </c>
      <c r="W56" s="6">
        <v>1</v>
      </c>
    </row>
    <row r="57" spans="2:23" x14ac:dyDescent="0.25">
      <c r="B57" s="4" t="s">
        <v>9</v>
      </c>
      <c r="C57" s="5">
        <v>4</v>
      </c>
      <c r="D57" s="5"/>
      <c r="E57" s="5"/>
      <c r="F57" s="5"/>
      <c r="G57" s="5"/>
      <c r="H57" s="5"/>
      <c r="I57" s="5">
        <f>QUOTIENT(C57,8)</f>
        <v>0</v>
      </c>
      <c r="J57" s="5">
        <f>QUOTIENT(C57-I57*8,4)</f>
        <v>1</v>
      </c>
      <c r="K57" s="5">
        <f>QUOTIENT(C57-I57*8-J57*4,2)</f>
        <v>0</v>
      </c>
      <c r="L57" s="5">
        <f>C57-I57*8-J57*4-K57*2</f>
        <v>0</v>
      </c>
      <c r="M57" s="5"/>
      <c r="N57" s="5"/>
      <c r="O57" s="5">
        <f ca="1">IF(VLOOKUP(B57,$B$53:$AB$68,2,FALSE)=$M$49,1,0)</f>
        <v>0</v>
      </c>
      <c r="P57" s="5">
        <v>1</v>
      </c>
      <c r="Q57" s="5">
        <v>0</v>
      </c>
      <c r="R57" s="5">
        <v>1</v>
      </c>
      <c r="S57" s="5">
        <v>0</v>
      </c>
      <c r="T57" s="5">
        <v>0</v>
      </c>
      <c r="U57" s="5">
        <f>I57</f>
        <v>0</v>
      </c>
      <c r="V57" s="5">
        <v>0</v>
      </c>
      <c r="W57" s="6">
        <v>0</v>
      </c>
    </row>
    <row r="58" spans="2:23" x14ac:dyDescent="0.25">
      <c r="B58" s="4" t="s">
        <v>10</v>
      </c>
      <c r="C58" s="5">
        <v>5</v>
      </c>
      <c r="D58" s="5"/>
      <c r="E58" s="5"/>
      <c r="F58" s="5"/>
      <c r="G58" s="5"/>
      <c r="H58" s="5"/>
      <c r="I58" s="5">
        <f>QUOTIENT(C58,8)</f>
        <v>0</v>
      </c>
      <c r="J58" s="5">
        <f>QUOTIENT(C58-I58*8,4)</f>
        <v>1</v>
      </c>
      <c r="K58" s="5">
        <f>QUOTIENT(C58-I58*8-J58*4,2)</f>
        <v>0</v>
      </c>
      <c r="L58" s="5">
        <f>C58-I58*8-J58*4-K58*2</f>
        <v>1</v>
      </c>
      <c r="M58" s="5"/>
      <c r="N58" s="5"/>
      <c r="O58" s="5">
        <f ca="1">IF(VLOOKUP(B58,$B$53:$AB$68,2,FALSE)=$M$49,1,0)</f>
        <v>0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f>I58</f>
        <v>0</v>
      </c>
      <c r="V58" s="5">
        <v>0</v>
      </c>
      <c r="W58" s="6">
        <v>0</v>
      </c>
    </row>
    <row r="59" spans="2:23" x14ac:dyDescent="0.25">
      <c r="B59" s="4" t="s">
        <v>11</v>
      </c>
      <c r="C59" s="5">
        <v>6</v>
      </c>
      <c r="D59" s="5"/>
      <c r="E59" s="5"/>
      <c r="F59" s="5"/>
      <c r="G59" s="5"/>
      <c r="H59" s="5"/>
      <c r="I59" s="5">
        <f>QUOTIENT(C59,8)</f>
        <v>0</v>
      </c>
      <c r="J59" s="5">
        <f>QUOTIENT(C59-I59*8,4)</f>
        <v>1</v>
      </c>
      <c r="K59" s="5">
        <f>QUOTIENT(C59-I59*8-J59*4,2)</f>
        <v>1</v>
      </c>
      <c r="L59" s="5">
        <f>C59-I59*8-J59*4-K59*2</f>
        <v>0</v>
      </c>
      <c r="M59" s="5"/>
      <c r="N59" s="5"/>
      <c r="O59" s="5">
        <f ca="1">IF(VLOOKUP(B59,$B$53:$AB$68,2,FALSE)=$M$49,1,0)</f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f>I59</f>
        <v>0</v>
      </c>
      <c r="V59" s="5">
        <v>1</v>
      </c>
      <c r="W59" s="6">
        <v>0</v>
      </c>
    </row>
    <row r="60" spans="2:23" x14ac:dyDescent="0.25">
      <c r="B60" s="4" t="s">
        <v>33</v>
      </c>
      <c r="C60" s="5">
        <v>7</v>
      </c>
      <c r="D60" s="5"/>
      <c r="E60" s="5"/>
      <c r="F60" s="5"/>
      <c r="G60" s="5"/>
      <c r="H60" s="5"/>
      <c r="I60" s="5">
        <f>QUOTIENT(C60,8)</f>
        <v>0</v>
      </c>
      <c r="J60" s="5">
        <f>QUOTIENT(C60-I60*8,4)</f>
        <v>1</v>
      </c>
      <c r="K60" s="5">
        <f>QUOTIENT(C60-I60*8-J60*4,2)</f>
        <v>1</v>
      </c>
      <c r="L60" s="5">
        <f>C60-I60*8-J60*4-K60*2</f>
        <v>1</v>
      </c>
      <c r="M60" s="5"/>
      <c r="N60" s="5"/>
      <c r="O60" s="5">
        <f ca="1">IF(VLOOKUP(B60,$B$53:$AB$68,2,FALSE)=$M$49,1,0)</f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f>I60</f>
        <v>0</v>
      </c>
      <c r="V60" s="5">
        <v>0</v>
      </c>
      <c r="W60" s="6">
        <v>0</v>
      </c>
    </row>
    <row r="61" spans="2:23" x14ac:dyDescent="0.25">
      <c r="B61" s="4" t="s">
        <v>12</v>
      </c>
      <c r="C61" s="5">
        <v>8</v>
      </c>
      <c r="D61" s="5"/>
      <c r="E61" s="5"/>
      <c r="F61" s="5"/>
      <c r="G61" s="5"/>
      <c r="H61" s="5"/>
      <c r="I61" s="5">
        <f>QUOTIENT(C61,8)</f>
        <v>1</v>
      </c>
      <c r="J61" s="5">
        <f>QUOTIENT(C61-I61*8,4)</f>
        <v>0</v>
      </c>
      <c r="K61" s="5">
        <f>QUOTIENT(C61-I61*8-J61*4,2)</f>
        <v>0</v>
      </c>
      <c r="L61" s="5">
        <f>C61-I61*8-J61*4-K61*2</f>
        <v>0</v>
      </c>
      <c r="M61" s="5"/>
      <c r="N61" s="5"/>
      <c r="O61" s="5">
        <f ca="1">IF(VLOOKUP(B61,$B$53:$AB$68,2,FALSE)=$M$49,1,0)</f>
        <v>0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f>I61</f>
        <v>1</v>
      </c>
      <c r="V61" s="5">
        <v>0</v>
      </c>
      <c r="W61" s="6">
        <v>0</v>
      </c>
    </row>
    <row r="62" spans="2:23" x14ac:dyDescent="0.25">
      <c r="B62" s="4" t="s">
        <v>13</v>
      </c>
      <c r="C62" s="5">
        <v>9</v>
      </c>
      <c r="D62" s="5"/>
      <c r="E62" s="5"/>
      <c r="F62" s="5"/>
      <c r="G62" s="5"/>
      <c r="H62" s="5"/>
      <c r="I62" s="5">
        <f>QUOTIENT(C62,8)</f>
        <v>1</v>
      </c>
      <c r="J62" s="5">
        <f>QUOTIENT(C62-I62*8,4)</f>
        <v>0</v>
      </c>
      <c r="K62" s="5">
        <f>QUOTIENT(C62-I62*8-J62*4,2)</f>
        <v>0</v>
      </c>
      <c r="L62" s="5">
        <f>C62-I62*8-J62*4-K62*2</f>
        <v>1</v>
      </c>
      <c r="M62" s="5"/>
      <c r="N62" s="5"/>
      <c r="O62" s="5">
        <f ca="1">IF(VLOOKUP(B62,$B$53:$AB$68,2,FALSE)=$M$49,1,0)</f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  <c r="U62" s="5">
        <f>I62</f>
        <v>1</v>
      </c>
      <c r="V62" s="5">
        <v>0</v>
      </c>
      <c r="W62" s="6">
        <v>0</v>
      </c>
    </row>
    <row r="63" spans="2:23" x14ac:dyDescent="0.25">
      <c r="B63" s="4" t="s">
        <v>32</v>
      </c>
      <c r="C63" s="5">
        <v>10</v>
      </c>
      <c r="D63" s="5"/>
      <c r="E63" s="5"/>
      <c r="F63" s="5"/>
      <c r="G63" s="5"/>
      <c r="H63" s="5"/>
      <c r="I63" s="5">
        <f>QUOTIENT(C63,8)</f>
        <v>1</v>
      </c>
      <c r="J63" s="5">
        <f>QUOTIENT(C63-I63*8,4)</f>
        <v>0</v>
      </c>
      <c r="K63" s="5">
        <f>QUOTIENT(C63-I63*8-J63*4,2)</f>
        <v>1</v>
      </c>
      <c r="L63" s="5">
        <f>C63-I63*8-J63*4-K63*2</f>
        <v>0</v>
      </c>
      <c r="M63" s="5"/>
      <c r="N63" s="5"/>
      <c r="O63" s="5">
        <f ca="1">IF(VLOOKUP(B63,$B$53:$AB$68,2,FALSE)=$M$49,1,0)</f>
        <v>0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f>I63</f>
        <v>1</v>
      </c>
      <c r="V63" s="5">
        <v>0</v>
      </c>
      <c r="W63" s="6">
        <v>0</v>
      </c>
    </row>
    <row r="64" spans="2:23" x14ac:dyDescent="0.25">
      <c r="B64" s="4" t="s">
        <v>14</v>
      </c>
      <c r="C64" s="5">
        <v>11</v>
      </c>
      <c r="D64" s="5"/>
      <c r="E64" s="5"/>
      <c r="F64" s="5"/>
      <c r="G64" s="5"/>
      <c r="H64" s="5"/>
      <c r="I64" s="5">
        <f>QUOTIENT(C64,8)</f>
        <v>1</v>
      </c>
      <c r="J64" s="5">
        <f>QUOTIENT(C64-I64*8,4)</f>
        <v>0</v>
      </c>
      <c r="K64" s="5">
        <f>QUOTIENT(C64-I64*8-J64*4,2)</f>
        <v>1</v>
      </c>
      <c r="L64" s="5">
        <f>C64-I64*8-J64*4-K64*2</f>
        <v>1</v>
      </c>
      <c r="M64" s="5"/>
      <c r="N64" s="5"/>
      <c r="O64" s="5">
        <f ca="1">IF(VLOOKUP(B64,$B$53:$AB$68,2,FALSE)=$M$49,1,0)</f>
        <v>0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f>I64</f>
        <v>1</v>
      </c>
      <c r="V64" s="5">
        <v>0</v>
      </c>
      <c r="W64" s="6">
        <v>0</v>
      </c>
    </row>
    <row r="65" spans="2:23" x14ac:dyDescent="0.25">
      <c r="B65" s="4" t="s">
        <v>15</v>
      </c>
      <c r="C65" s="5">
        <v>12</v>
      </c>
      <c r="D65" s="5"/>
      <c r="E65" s="5"/>
      <c r="F65" s="5"/>
      <c r="G65" s="5"/>
      <c r="H65" s="5"/>
      <c r="I65" s="5">
        <f>QUOTIENT(C65,8)</f>
        <v>1</v>
      </c>
      <c r="J65" s="5">
        <f>QUOTIENT(C65-I65*8,4)</f>
        <v>1</v>
      </c>
      <c r="K65" s="5">
        <f>QUOTIENT(C65-I65*8-J65*4,2)</f>
        <v>0</v>
      </c>
      <c r="L65" s="5">
        <f>C65-I65*8-J65*4-K65*2</f>
        <v>0</v>
      </c>
      <c r="M65" s="5"/>
      <c r="N65" s="5"/>
      <c r="O65" s="5">
        <f ca="1">IF(VLOOKUP(B65,$B$53:$AB$68,2,FALSE)=$M$49,1,0)</f>
        <v>0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f>I65</f>
        <v>1</v>
      </c>
      <c r="V65" s="5">
        <v>0</v>
      </c>
      <c r="W65" s="6">
        <v>0</v>
      </c>
    </row>
    <row r="66" spans="2:23" x14ac:dyDescent="0.25">
      <c r="B66" s="4" t="s">
        <v>16</v>
      </c>
      <c r="C66" s="5">
        <v>13</v>
      </c>
      <c r="D66" s="5"/>
      <c r="E66" s="5"/>
      <c r="F66" s="5"/>
      <c r="G66" s="5"/>
      <c r="H66" s="5"/>
      <c r="I66" s="5">
        <f>QUOTIENT(C66,8)</f>
        <v>1</v>
      </c>
      <c r="J66" s="5">
        <f>QUOTIENT(C66-I66*8,4)</f>
        <v>1</v>
      </c>
      <c r="K66" s="5">
        <f>QUOTIENT(C66-I66*8-J66*4,2)</f>
        <v>0</v>
      </c>
      <c r="L66" s="5">
        <f>C66-I66*8-J66*4-K66*2</f>
        <v>1</v>
      </c>
      <c r="M66" s="5"/>
      <c r="N66" s="5"/>
      <c r="O66" s="5">
        <f ca="1">IF(VLOOKUP(B66,$B$53:$AB$68,2,FALSE)=$M$49,1,0)</f>
        <v>0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f>I66</f>
        <v>1</v>
      </c>
      <c r="V66" s="5">
        <v>0</v>
      </c>
      <c r="W66" s="6">
        <v>0</v>
      </c>
    </row>
    <row r="67" spans="2:23" x14ac:dyDescent="0.25">
      <c r="B67" s="4" t="s">
        <v>21</v>
      </c>
      <c r="C67" s="5">
        <v>14</v>
      </c>
      <c r="D67" s="5"/>
      <c r="E67" s="5"/>
      <c r="F67" s="5"/>
      <c r="G67" s="5"/>
      <c r="H67" s="5"/>
      <c r="I67" s="5">
        <f>QUOTIENT(C67,8)</f>
        <v>1</v>
      </c>
      <c r="J67" s="5">
        <f>QUOTIENT(C67-I67*8,4)</f>
        <v>1</v>
      </c>
      <c r="K67" s="5">
        <f>QUOTIENT(C67-I67*8-J67*4,2)</f>
        <v>1</v>
      </c>
      <c r="L67" s="5">
        <f>C67-I67*8-J67*4-K67*2</f>
        <v>0</v>
      </c>
      <c r="M67" s="5"/>
      <c r="N67" s="5"/>
      <c r="O67" s="5">
        <f ca="1">IF(VLOOKUP(B67,$B$53:$AB$68,2,FALSE)=$M$49,1,0)</f>
        <v>0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f>I67</f>
        <v>1</v>
      </c>
      <c r="V67" s="5">
        <v>0</v>
      </c>
      <c r="W67" s="6">
        <v>0</v>
      </c>
    </row>
    <row r="68" spans="2:23" ht="15.75" thickBot="1" x14ac:dyDescent="0.3">
      <c r="B68" s="7" t="s">
        <v>22</v>
      </c>
      <c r="C68" s="8">
        <v>15</v>
      </c>
      <c r="D68" s="8"/>
      <c r="E68" s="8"/>
      <c r="F68" s="8"/>
      <c r="G68" s="8"/>
      <c r="H68" s="8"/>
      <c r="I68" s="8">
        <f>QUOTIENT(C68,8)</f>
        <v>1</v>
      </c>
      <c r="J68" s="8">
        <f>QUOTIENT(C68-I68*8,4)</f>
        <v>1</v>
      </c>
      <c r="K68" s="8">
        <f>QUOTIENT(C68-I68*8-J68*4,2)</f>
        <v>1</v>
      </c>
      <c r="L68" s="8">
        <f>C68-I68*8-J68*4-K68*2</f>
        <v>1</v>
      </c>
      <c r="M68" s="8"/>
      <c r="N68" s="8"/>
      <c r="O68" s="8">
        <f ca="1">IF(VLOOKUP(B68,$B$53:$AB$68,2,FALSE)=$M$49,1,0)</f>
        <v>0</v>
      </c>
      <c r="P68" s="8">
        <v>0</v>
      </c>
      <c r="Q68" s="8">
        <v>0</v>
      </c>
      <c r="R68" s="8">
        <v>1</v>
      </c>
      <c r="S68" s="8">
        <v>0</v>
      </c>
      <c r="T68" s="8">
        <v>0</v>
      </c>
      <c r="U68" s="8">
        <f>I68</f>
        <v>1</v>
      </c>
      <c r="V68" s="8">
        <v>0</v>
      </c>
      <c r="W68" s="9">
        <v>0</v>
      </c>
    </row>
    <row r="69" spans="2:23" ht="15.75" thickBot="1" x14ac:dyDescent="0.3"/>
    <row r="70" spans="2:23" ht="15.75" thickBot="1" x14ac:dyDescent="0.3">
      <c r="B70" s="19" t="s">
        <v>44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>
        <f ca="1">VLOOKUP(1,$O$53:$W$68,COLUMN()-14,FALSE)</f>
        <v>0</v>
      </c>
      <c r="Q70" s="11">
        <f t="shared" ref="Q70:W70" ca="1" si="7">VLOOKUP(1,$O$53:$W$68,COLUMN()-14,FALSE)</f>
        <v>0</v>
      </c>
      <c r="R70" s="11">
        <f t="shared" ca="1" si="7"/>
        <v>1</v>
      </c>
      <c r="S70" s="11">
        <f t="shared" ca="1" si="7"/>
        <v>0</v>
      </c>
      <c r="T70" s="11">
        <f t="shared" ca="1" si="7"/>
        <v>0</v>
      </c>
      <c r="U70" s="11">
        <f t="shared" ca="1" si="7"/>
        <v>0</v>
      </c>
      <c r="V70" s="11">
        <f t="shared" ca="1" si="7"/>
        <v>0</v>
      </c>
      <c r="W70" s="12">
        <f t="shared" ca="1" si="7"/>
        <v>1</v>
      </c>
    </row>
    <row r="73" spans="2:23" ht="15.75" thickBot="1" x14ac:dyDescent="0.3"/>
    <row r="74" spans="2:23" ht="15.75" thickBot="1" x14ac:dyDescent="0.3">
      <c r="B74" s="19" t="s">
        <v>23</v>
      </c>
      <c r="C74" s="2" t="s">
        <v>4</v>
      </c>
      <c r="D74" s="2"/>
      <c r="E74" s="2"/>
      <c r="F74" s="2"/>
      <c r="G74" s="2"/>
      <c r="H74" s="2"/>
      <c r="I74" s="2">
        <f ca="1">1-clock</f>
        <v>0</v>
      </c>
      <c r="J74" s="2"/>
      <c r="K74" s="2"/>
      <c r="L74" s="2"/>
      <c r="M74" s="3"/>
    </row>
    <row r="75" spans="2:23" x14ac:dyDescent="0.2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</row>
    <row r="76" spans="2:23" x14ac:dyDescent="0.25">
      <c r="B76" s="4"/>
      <c r="C76" s="5" t="s">
        <v>3</v>
      </c>
      <c r="D76" s="5"/>
      <c r="E76" s="5"/>
      <c r="F76" s="5"/>
      <c r="G76" s="5"/>
      <c r="H76" s="5"/>
      <c r="I76" s="5">
        <f>IF(reset=1,0,IF($C$111=1,I125,IF(read=1,$I$34,IF($V$70=1,I89,IF($W$70=1,I50,I79)))))</f>
        <v>0</v>
      </c>
      <c r="J76" s="5">
        <f>IF(reset=1,0,IF($C$111=1,J125,IF(read=1,$J$34,IF($V$70=1,J89,IF($W$70=1,J50,J79)))))</f>
        <v>0</v>
      </c>
      <c r="K76" s="5">
        <f>IF(reset=1,0,IF($C$111=1,K125,IF(read=1,$K$34,IF($V$70=1,K89,IF($W$70=1,K50,K79)))))</f>
        <v>0</v>
      </c>
      <c r="L76" s="5">
        <f>IF(reset=1,0,IF($C$111=1,L125,IF(read=1,$L$34,IF($V$70=1,L89,IF($W$70=1,L50,L79)))))</f>
        <v>0</v>
      </c>
      <c r="M76" s="6">
        <f>8*I76+4*J76+2*K76+L76</f>
        <v>0</v>
      </c>
    </row>
    <row r="77" spans="2:23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</row>
    <row r="78" spans="2:23" x14ac:dyDescent="0.25">
      <c r="B78" s="4"/>
      <c r="C78" s="5" t="s">
        <v>1</v>
      </c>
      <c r="D78" s="5"/>
      <c r="E78" s="5"/>
      <c r="F78" s="5"/>
      <c r="G78" s="5"/>
      <c r="H78" s="5"/>
      <c r="I78" s="5">
        <f ca="1">IF(enable_buffer=1,I76,I78)</f>
        <v>0</v>
      </c>
      <c r="J78" s="5">
        <f ca="1">IF(enable_buffer=1,J76,J78)</f>
        <v>0</v>
      </c>
      <c r="K78" s="5">
        <f ca="1">IF(enable_buffer=1,K76,K78)</f>
        <v>0</v>
      </c>
      <c r="L78" s="5">
        <f ca="1">IF(enable_buffer=1,L76,L78)</f>
        <v>0</v>
      </c>
      <c r="M78" s="6">
        <f ca="1">8*I78+4*J78+2*K78+L78</f>
        <v>0</v>
      </c>
    </row>
    <row r="79" spans="2:23" ht="15.75" thickBot="1" x14ac:dyDescent="0.3">
      <c r="B79" s="7"/>
      <c r="C79" s="8" t="s">
        <v>2</v>
      </c>
      <c r="D79" s="8"/>
      <c r="E79" s="8"/>
      <c r="F79" s="8"/>
      <c r="G79" s="8"/>
      <c r="H79" s="8"/>
      <c r="I79" s="8">
        <f ca="1">IF(enable_buffer=0,I78,I79)</f>
        <v>0</v>
      </c>
      <c r="J79" s="8">
        <f ca="1">IF(enable_buffer=0,J78,J79)</f>
        <v>0</v>
      </c>
      <c r="K79" s="8">
        <f ca="1">IF(enable_buffer=0,K78,K79)</f>
        <v>0</v>
      </c>
      <c r="L79" s="8">
        <f ca="1">IF(enable_buffer=0,L78,L79)</f>
        <v>0</v>
      </c>
      <c r="M79" s="9">
        <f ca="1">8*I79+4*J79+2*K79+L79</f>
        <v>0</v>
      </c>
    </row>
    <row r="83" spans="2:13" ht="15.75" thickBot="1" x14ac:dyDescent="0.3"/>
    <row r="84" spans="2:13" ht="15.75" thickBot="1" x14ac:dyDescent="0.3">
      <c r="B84" s="19" t="s">
        <v>5</v>
      </c>
      <c r="C84" s="2" t="s">
        <v>4</v>
      </c>
      <c r="D84" s="2"/>
      <c r="E84" s="2"/>
      <c r="F84" s="2"/>
      <c r="G84" s="2"/>
      <c r="H84" s="2"/>
      <c r="I84" s="2">
        <f ca="1">clock</f>
        <v>1</v>
      </c>
      <c r="J84" s="2"/>
      <c r="K84" s="2"/>
      <c r="L84" s="2"/>
      <c r="M84" s="3"/>
    </row>
    <row r="85" spans="2:13" x14ac:dyDescent="0.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</row>
    <row r="86" spans="2:13" x14ac:dyDescent="0.25">
      <c r="B86" s="4"/>
      <c r="C86" s="5" t="s">
        <v>3</v>
      </c>
      <c r="D86" s="5"/>
      <c r="E86" s="5"/>
      <c r="F86" s="5"/>
      <c r="G86" s="5"/>
      <c r="H86" s="5"/>
      <c r="I86" s="5">
        <f>IF(reset=1,0,IF($R$70=1,I79,I89))</f>
        <v>0</v>
      </c>
      <c r="J86" s="5">
        <f>IF(reset=1,0,IF($R$70=1,J79,J89))</f>
        <v>0</v>
      </c>
      <c r="K86" s="5">
        <f>IF(reset=1,0,IF($R$70=1,K79,K89))</f>
        <v>0</v>
      </c>
      <c r="L86" s="5">
        <f>IF(reset=1,0,IF($R$70=1,L79,L89))</f>
        <v>0</v>
      </c>
      <c r="M86" s="6">
        <f>8*I86+4*J86+2*K86+L86</f>
        <v>0</v>
      </c>
    </row>
    <row r="87" spans="2:13" x14ac:dyDescent="0.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</row>
    <row r="88" spans="2:13" x14ac:dyDescent="0.25">
      <c r="B88" s="4"/>
      <c r="C88" s="5" t="s">
        <v>1</v>
      </c>
      <c r="D88" s="5"/>
      <c r="E88" s="5"/>
      <c r="F88" s="5"/>
      <c r="G88" s="5"/>
      <c r="H88" s="5"/>
      <c r="I88" s="5">
        <f ca="1">IF(enable_a=1,I86,I88)</f>
        <v>0</v>
      </c>
      <c r="J88" s="5">
        <f ca="1">IF(enable_a=1,J86,J88)</f>
        <v>0</v>
      </c>
      <c r="K88" s="5">
        <f ca="1">IF(enable_a=1,K86,K88)</f>
        <v>0</v>
      </c>
      <c r="L88" s="5">
        <f ca="1">IF(enable_a=1,L86,L88)</f>
        <v>0</v>
      </c>
      <c r="M88" s="6">
        <f ca="1">8*I88+4*J88+2*K88+L88</f>
        <v>0</v>
      </c>
    </row>
    <row r="89" spans="2:13" x14ac:dyDescent="0.25">
      <c r="B89" s="4"/>
      <c r="C89" s="5" t="s">
        <v>2</v>
      </c>
      <c r="D89" s="5"/>
      <c r="E89" s="5"/>
      <c r="F89" s="5"/>
      <c r="G89" s="5"/>
      <c r="H89" s="5"/>
      <c r="I89" s="5">
        <f ca="1">IF(enable_a=0,I88,I89)</f>
        <v>0</v>
      </c>
      <c r="J89" s="5">
        <f ca="1">IF(enable_a=0,J88,J89)</f>
        <v>0</v>
      </c>
      <c r="K89" s="5">
        <f ca="1">IF(enable_a=0,K88,K89)</f>
        <v>0</v>
      </c>
      <c r="L89" s="5">
        <f ca="1">IF(enable_a=0,L88,L89)</f>
        <v>0</v>
      </c>
      <c r="M89" s="6">
        <f ca="1">8*I89+4*J89+2*K89+L89</f>
        <v>0</v>
      </c>
    </row>
    <row r="90" spans="2:13" x14ac:dyDescent="0.2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</row>
    <row r="91" spans="2:13" ht="15.75" thickBot="1" x14ac:dyDescent="0.3">
      <c r="B91" s="7"/>
      <c r="C91" s="8"/>
      <c r="D91" s="8"/>
      <c r="E91" s="8"/>
      <c r="F91" s="8"/>
      <c r="G91" s="8"/>
      <c r="H91" s="8"/>
      <c r="I91" s="8"/>
      <c r="J91" s="8"/>
      <c r="K91" s="8" t="s">
        <v>46</v>
      </c>
      <c r="L91" s="8"/>
      <c r="M91" s="9">
        <f ca="1">IF(OR(I89=1,J89=1,K89=1,L89=1),1,0)</f>
        <v>0</v>
      </c>
    </row>
    <row r="93" spans="2:13" ht="15.75" thickBot="1" x14ac:dyDescent="0.3"/>
    <row r="94" spans="2:13" ht="15.75" thickBot="1" x14ac:dyDescent="0.3">
      <c r="B94" s="19" t="s">
        <v>6</v>
      </c>
      <c r="C94" s="2" t="s">
        <v>4</v>
      </c>
      <c r="D94" s="2"/>
      <c r="E94" s="2"/>
      <c r="F94" s="2"/>
      <c r="G94" s="2"/>
      <c r="H94" s="2"/>
      <c r="I94" s="2">
        <f ca="1">clock</f>
        <v>1</v>
      </c>
      <c r="J94" s="2"/>
      <c r="K94" s="2"/>
      <c r="L94" s="2"/>
      <c r="M94" s="3"/>
    </row>
    <row r="95" spans="2:13" x14ac:dyDescent="0.25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</row>
    <row r="96" spans="2:13" x14ac:dyDescent="0.25">
      <c r="B96" s="4"/>
      <c r="C96" s="5" t="s">
        <v>3</v>
      </c>
      <c r="D96" s="5"/>
      <c r="E96" s="5"/>
      <c r="F96" s="5"/>
      <c r="G96" s="5"/>
      <c r="H96" s="5"/>
      <c r="I96" s="5">
        <f>IF(reset=1,0,IF($S$70=1,I79,I99))</f>
        <v>0</v>
      </c>
      <c r="J96" s="5">
        <f>IF(reset=1,0,IF($S$70=1,J79,J99))</f>
        <v>0</v>
      </c>
      <c r="K96" s="5">
        <f>IF(reset=1,0,IF($S$70=1,K79,K99))</f>
        <v>0</v>
      </c>
      <c r="L96" s="5">
        <f>IF(reset=1,0,IF($S$70=1,L79,L99))</f>
        <v>0</v>
      </c>
      <c r="M96" s="6">
        <f>8*I96+4*J96+2*K96+L96</f>
        <v>0</v>
      </c>
    </row>
    <row r="97" spans="2:13" x14ac:dyDescent="0.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</row>
    <row r="98" spans="2:13" x14ac:dyDescent="0.25">
      <c r="B98" s="4"/>
      <c r="C98" s="5" t="s">
        <v>1</v>
      </c>
      <c r="D98" s="5"/>
      <c r="E98" s="5"/>
      <c r="F98" s="5"/>
      <c r="G98" s="5"/>
      <c r="H98" s="5"/>
      <c r="I98" s="5">
        <f ca="1">IF(enable_b=1,I96,I98)</f>
        <v>0</v>
      </c>
      <c r="J98" s="5">
        <f ca="1">IF(enable_b=1,J96,J98)</f>
        <v>0</v>
      </c>
      <c r="K98" s="5">
        <f ca="1">IF(enable_b=1,K96,K98)</f>
        <v>0</v>
      </c>
      <c r="L98" s="5">
        <f ca="1">IF(enable_b=1,L96,L98)</f>
        <v>0</v>
      </c>
      <c r="M98" s="6">
        <f ca="1">8*I98+4*J98+2*K98+L98</f>
        <v>0</v>
      </c>
    </row>
    <row r="99" spans="2:13" ht="15.75" thickBot="1" x14ac:dyDescent="0.3">
      <c r="B99" s="7"/>
      <c r="C99" s="8" t="s">
        <v>2</v>
      </c>
      <c r="D99" s="8"/>
      <c r="E99" s="8"/>
      <c r="F99" s="8"/>
      <c r="G99" s="8"/>
      <c r="H99" s="8"/>
      <c r="I99" s="8">
        <f ca="1">IF(enable_b=0,I98,I99)</f>
        <v>0</v>
      </c>
      <c r="J99" s="8">
        <f ca="1">IF(enable_b=0,J98,J99)</f>
        <v>0</v>
      </c>
      <c r="K99" s="8">
        <f ca="1">IF(enable_b=0,K98,K99)</f>
        <v>0</v>
      </c>
      <c r="L99" s="8">
        <f ca="1">IF(enable_b=0,L98,L99)</f>
        <v>0</v>
      </c>
      <c r="M99" s="9">
        <f ca="1">8*I99+4*J99+2*K99+L99</f>
        <v>0</v>
      </c>
    </row>
    <row r="101" spans="2:13" ht="15.75" thickBot="1" x14ac:dyDescent="0.3"/>
    <row r="102" spans="2:13" ht="15.75" thickBot="1" x14ac:dyDescent="0.3">
      <c r="B102" s="19" t="s">
        <v>24</v>
      </c>
      <c r="C102" s="2" t="s">
        <v>4</v>
      </c>
      <c r="D102" s="2"/>
      <c r="E102" s="2"/>
      <c r="F102" s="2"/>
      <c r="G102" s="2"/>
      <c r="H102" s="2"/>
      <c r="I102" s="2">
        <f ca="1">clock</f>
        <v>1</v>
      </c>
      <c r="J102" s="2"/>
      <c r="K102" s="2"/>
      <c r="L102" s="2"/>
      <c r="M102" s="3"/>
    </row>
    <row r="103" spans="2:13" x14ac:dyDescent="0.2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</row>
    <row r="104" spans="2:13" x14ac:dyDescent="0.25">
      <c r="B104" s="4"/>
      <c r="C104" s="5" t="s">
        <v>3</v>
      </c>
      <c r="D104" s="5"/>
      <c r="E104" s="5"/>
      <c r="F104" s="5"/>
      <c r="G104" s="5"/>
      <c r="H104" s="5"/>
      <c r="I104" s="5">
        <f>IF(reset=1,0,IF($T$70=1,I79,I107))</f>
        <v>0</v>
      </c>
      <c r="J104" s="5">
        <f>IF(reset=1,0,IF($T$70=1,J79,J107))</f>
        <v>0</v>
      </c>
      <c r="K104" s="5">
        <f>IF(reset=1,0,IF($T$70=1,K79,K107))</f>
        <v>0</v>
      </c>
      <c r="L104" s="5">
        <f>IF(reset=1,0,IF($T$70=1,L79,L107))</f>
        <v>0</v>
      </c>
      <c r="M104" s="6">
        <f>8*I104+4*J104+2*K104+L104</f>
        <v>0</v>
      </c>
    </row>
    <row r="105" spans="2:13" x14ac:dyDescent="0.2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</row>
    <row r="106" spans="2:13" x14ac:dyDescent="0.25">
      <c r="B106" s="4"/>
      <c r="C106" s="5" t="s">
        <v>1</v>
      </c>
      <c r="D106" s="5"/>
      <c r="E106" s="5"/>
      <c r="F106" s="5"/>
      <c r="G106" s="5"/>
      <c r="H106" s="5"/>
      <c r="I106" s="5">
        <f ca="1">IF(enable_b=1,I104,I106)</f>
        <v>0</v>
      </c>
      <c r="J106" s="5">
        <f ca="1">IF(enable_b=1,J104,J106)</f>
        <v>0</v>
      </c>
      <c r="K106" s="5">
        <f ca="1">IF(enable_b=1,K104,K106)</f>
        <v>0</v>
      </c>
      <c r="L106" s="5">
        <f ca="1">IF(enable_b=1,L104,L106)</f>
        <v>0</v>
      </c>
      <c r="M106" s="6">
        <f ca="1">8*I106+4*J106+2*K106+L106</f>
        <v>0</v>
      </c>
    </row>
    <row r="107" spans="2:13" ht="15.75" thickBot="1" x14ac:dyDescent="0.3">
      <c r="B107" s="7"/>
      <c r="C107" s="8" t="s">
        <v>2</v>
      </c>
      <c r="D107" s="8"/>
      <c r="E107" s="8"/>
      <c r="F107" s="8"/>
      <c r="G107" s="8"/>
      <c r="H107" s="8"/>
      <c r="I107" s="8">
        <f ca="1">IF(enable_b=0,I106,I107)</f>
        <v>0</v>
      </c>
      <c r="J107" s="8">
        <f ca="1">IF(enable_b=0,J106,J107)</f>
        <v>0</v>
      </c>
      <c r="K107" s="8">
        <f ca="1">IF(enable_b=0,K106,K107)</f>
        <v>0</v>
      </c>
      <c r="L107" s="8">
        <f ca="1">IF(enable_b=0,L106,L107)</f>
        <v>0</v>
      </c>
      <c r="M107" s="9">
        <f ca="1">8*I107+4*J107+2*K107+L107</f>
        <v>0</v>
      </c>
    </row>
    <row r="109" spans="2:13" ht="15.75" thickBot="1" x14ac:dyDescent="0.3"/>
    <row r="110" spans="2:13" ht="15.75" thickBot="1" x14ac:dyDescent="0.3">
      <c r="B110" s="19" t="s">
        <v>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</row>
    <row r="111" spans="2:13" x14ac:dyDescent="0.25">
      <c r="B111" s="1" t="s">
        <v>59</v>
      </c>
      <c r="C111" s="5">
        <f ca="1">U70</f>
        <v>0</v>
      </c>
      <c r="D111" s="5"/>
      <c r="E111" s="5"/>
      <c r="F111" s="5"/>
      <c r="G111" s="5"/>
      <c r="H111" s="5"/>
      <c r="I111" s="5"/>
      <c r="J111" s="5"/>
      <c r="K111" s="5"/>
      <c r="L111" s="5"/>
      <c r="M111" s="6"/>
    </row>
    <row r="112" spans="2:13" x14ac:dyDescent="0.25">
      <c r="B112" s="4"/>
      <c r="C112" s="5" t="s">
        <v>18</v>
      </c>
      <c r="D112" s="5"/>
      <c r="E112" s="5"/>
      <c r="F112" s="5"/>
      <c r="G112" s="5"/>
      <c r="H112" s="5"/>
      <c r="I112" s="5">
        <f ca="1">I89</f>
        <v>0</v>
      </c>
      <c r="J112" s="5">
        <f ca="1">J89</f>
        <v>0</v>
      </c>
      <c r="K112" s="5">
        <f ca="1">K89</f>
        <v>0</v>
      </c>
      <c r="L112" s="5">
        <f ca="1">L89</f>
        <v>0</v>
      </c>
      <c r="M112" s="6">
        <f ca="1">8*I112+4*J112+2*K112+L112</f>
        <v>0</v>
      </c>
    </row>
    <row r="113" spans="2:13" x14ac:dyDescent="0.25">
      <c r="B113" s="4"/>
      <c r="C113" s="5" t="s">
        <v>19</v>
      </c>
      <c r="D113" s="5"/>
      <c r="E113" s="5"/>
      <c r="F113" s="5"/>
      <c r="G113" s="5"/>
      <c r="H113" s="5"/>
      <c r="I113" s="5">
        <f ca="1">I99</f>
        <v>0</v>
      </c>
      <c r="J113" s="5">
        <f ca="1">J99</f>
        <v>0</v>
      </c>
      <c r="K113" s="5">
        <f ca="1">K99</f>
        <v>0</v>
      </c>
      <c r="L113" s="5">
        <f ca="1">L99</f>
        <v>0</v>
      </c>
      <c r="M113" s="6">
        <f ca="1">8*I113+4*J113+2*K113+L113</f>
        <v>0</v>
      </c>
    </row>
    <row r="114" spans="2:13" x14ac:dyDescent="0.25">
      <c r="B114" s="4"/>
      <c r="C114" s="5" t="s">
        <v>20</v>
      </c>
      <c r="D114" s="5"/>
      <c r="E114" s="5"/>
      <c r="F114" s="5"/>
      <c r="G114" s="5"/>
      <c r="H114" s="5"/>
      <c r="I114" s="5"/>
      <c r="J114" s="5">
        <f ca="1">J49*$C$111</f>
        <v>0</v>
      </c>
      <c r="K114" s="5">
        <f ca="1">K49*$C$111</f>
        <v>0</v>
      </c>
      <c r="L114" s="5">
        <f ca="1">L49*$C$111</f>
        <v>0</v>
      </c>
      <c r="M114" s="6"/>
    </row>
    <row r="115" spans="2:13" x14ac:dyDescent="0.2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</row>
    <row r="116" spans="2:13" x14ac:dyDescent="0.25">
      <c r="B116" s="4" t="str">
        <f>B61</f>
        <v>ALU NULL</v>
      </c>
      <c r="C116" s="5">
        <f ca="1">IF(AND(J$114=J61,K$114=K61,L$114=L61),1,0)</f>
        <v>1</v>
      </c>
      <c r="D116" s="5"/>
      <c r="E116" s="5"/>
      <c r="F116" s="5"/>
      <c r="G116" s="5"/>
      <c r="H116" s="5"/>
      <c r="I116" s="5">
        <v>0</v>
      </c>
      <c r="J116" s="5">
        <v>0</v>
      </c>
      <c r="K116" s="5">
        <v>0</v>
      </c>
      <c r="L116" s="5">
        <v>0</v>
      </c>
      <c r="M116" s="6">
        <f t="shared" ref="M116:M125" si="8">8*I116+4*J116+2*K116+L116</f>
        <v>0</v>
      </c>
    </row>
    <row r="117" spans="2:13" x14ac:dyDescent="0.25">
      <c r="B117" s="4" t="str">
        <f>B62</f>
        <v>ALU ADD</v>
      </c>
      <c r="C117" s="5">
        <f ca="1">IF(AND(J$114=J62,K$114=K62,L$114=L62),1,0)</f>
        <v>0</v>
      </c>
      <c r="D117" s="5">
        <f ca="1">M112+M113</f>
        <v>0</v>
      </c>
      <c r="E117" s="5"/>
      <c r="F117" s="5"/>
      <c r="G117" s="5"/>
      <c r="H117" s="5"/>
      <c r="I117" s="5">
        <f ca="1">QUOTIENT(MOD(D117,16),8)</f>
        <v>0</v>
      </c>
      <c r="J117" s="5">
        <f ca="1">QUOTIENT(MOD(D117,16)-I117*8,4)</f>
        <v>0</v>
      </c>
      <c r="K117" s="5">
        <f ca="1">QUOTIENT(MOD(D117,16)-I117*8-J117*4,2)</f>
        <v>0</v>
      </c>
      <c r="L117" s="5">
        <f ca="1">MOD(D117,16)-I117*8-J117*4-K117*2</f>
        <v>0</v>
      </c>
      <c r="M117" s="6">
        <f t="shared" ca="1" si="8"/>
        <v>0</v>
      </c>
    </row>
    <row r="118" spans="2:13" x14ac:dyDescent="0.25">
      <c r="B118" s="4" t="str">
        <f>B63</f>
        <v>ALU DEC A</v>
      </c>
      <c r="C118" s="5">
        <f ca="1">IF(AND(J$114=J63,K$114=K63,L$114=L63),1,0)</f>
        <v>0</v>
      </c>
      <c r="D118" s="5">
        <f ca="1">M112-1</f>
        <v>-1</v>
      </c>
      <c r="E118" s="5"/>
      <c r="F118" s="5"/>
      <c r="G118" s="5"/>
      <c r="H118" s="5"/>
      <c r="I118" s="5">
        <f ca="1">QUOTIENT(MOD(D118,16),8)</f>
        <v>1</v>
      </c>
      <c r="J118" s="5">
        <f ca="1">QUOTIENT(MOD(D118,16)-I118*8,4)</f>
        <v>1</v>
      </c>
      <c r="K118" s="5">
        <f ca="1">QUOTIENT(MOD(D118,16)-I118*8-J118*4,2)</f>
        <v>1</v>
      </c>
      <c r="L118" s="5">
        <f ca="1">MOD(D118,16)-I118*8-J118*4-K118*2</f>
        <v>1</v>
      </c>
      <c r="M118" s="6">
        <f t="shared" ca="1" si="8"/>
        <v>15</v>
      </c>
    </row>
    <row r="119" spans="2:13" x14ac:dyDescent="0.25">
      <c r="B119" s="4" t="str">
        <f>B64</f>
        <v>ALU OR</v>
      </c>
      <c r="C119" s="5">
        <f ca="1">IF(AND(J$114=J64,K$114=K64,L$114=L64),1,0)</f>
        <v>0</v>
      </c>
      <c r="D119" s="5"/>
      <c r="E119" s="5"/>
      <c r="F119" s="5"/>
      <c r="G119" s="5"/>
      <c r="H119" s="5"/>
      <c r="I119" s="5">
        <f ca="1">IF(OR(I$112=1,I$113=1),1,0)</f>
        <v>0</v>
      </c>
      <c r="J119" s="5">
        <f ca="1">IF(OR(J$112=1,J$113=1),1,0)</f>
        <v>0</v>
      </c>
      <c r="K119" s="5">
        <f ca="1">IF(OR(K$112=1,K$113=1),1,0)</f>
        <v>0</v>
      </c>
      <c r="L119" s="5">
        <f ca="1">IF(OR(L$112=1,L$113=1),1,0)</f>
        <v>0</v>
      </c>
      <c r="M119" s="6">
        <f t="shared" ca="1" si="8"/>
        <v>0</v>
      </c>
    </row>
    <row r="120" spans="2:13" x14ac:dyDescent="0.25">
      <c r="B120" s="4" t="str">
        <f>B65</f>
        <v>ALU XOR</v>
      </c>
      <c r="C120" s="5">
        <f ca="1">IF(AND(J$114=J65,K$114=K65,L$114=L65),1,0)</f>
        <v>0</v>
      </c>
      <c r="D120" s="5"/>
      <c r="E120" s="5"/>
      <c r="F120" s="5"/>
      <c r="G120" s="5"/>
      <c r="H120" s="5"/>
      <c r="I120" s="5">
        <f ca="1">IF(_xlfn.XOR(I$112=1,I$113=1),1,0)</f>
        <v>0</v>
      </c>
      <c r="J120" s="5">
        <f ca="1">IF(_xlfn.XOR(J$112=1,J$113=1),1,0)</f>
        <v>0</v>
      </c>
      <c r="K120" s="5">
        <f ca="1">IF(_xlfn.XOR(K$112=1,K$113=1),1,0)</f>
        <v>0</v>
      </c>
      <c r="L120" s="5">
        <f ca="1">IF(_xlfn.XOR(L$112=1,L$113=1),1,0)</f>
        <v>0</v>
      </c>
      <c r="M120" s="6">
        <f t="shared" ca="1" si="8"/>
        <v>0</v>
      </c>
    </row>
    <row r="121" spans="2:13" x14ac:dyDescent="0.25">
      <c r="B121" s="4" t="str">
        <f>B66</f>
        <v>ALU AND</v>
      </c>
      <c r="C121" s="5">
        <f ca="1">IF(AND(J$114=J66,K$114=K66,L$114=L66),1,0)</f>
        <v>0</v>
      </c>
      <c r="D121" s="5"/>
      <c r="E121" s="5"/>
      <c r="F121" s="5"/>
      <c r="G121" s="5"/>
      <c r="H121" s="5"/>
      <c r="I121" s="5">
        <f ca="1">IF(AND(I$112=1,I$113=1),1,0)</f>
        <v>0</v>
      </c>
      <c r="J121" s="5">
        <f ca="1">IF(AND(J$112=1,J$113=1),1,0)</f>
        <v>0</v>
      </c>
      <c r="K121" s="5">
        <f ca="1">IF(AND(K$112=1,K$113=1),1,0)</f>
        <v>0</v>
      </c>
      <c r="L121" s="5">
        <f ca="1">IF(AND(L$112=1,L$113=1),1,0)</f>
        <v>0</v>
      </c>
      <c r="M121" s="6">
        <f t="shared" ca="1" si="8"/>
        <v>0</v>
      </c>
    </row>
    <row r="122" spans="2:13" x14ac:dyDescent="0.25">
      <c r="B122" s="4" t="str">
        <f>B67</f>
        <v>ALU NOT A</v>
      </c>
      <c r="C122" s="5">
        <f ca="1">IF(AND(J$114=J67,K$114=K67,L$114=L67),1,0)</f>
        <v>0</v>
      </c>
      <c r="D122" s="5"/>
      <c r="E122" s="5"/>
      <c r="F122" s="5"/>
      <c r="G122" s="5"/>
      <c r="H122" s="5"/>
      <c r="I122" s="5">
        <f ca="1">1-I112</f>
        <v>1</v>
      </c>
      <c r="J122" s="5">
        <f ca="1">1-J112</f>
        <v>1</v>
      </c>
      <c r="K122" s="5">
        <f ca="1">1-K112</f>
        <v>1</v>
      </c>
      <c r="L122" s="5">
        <f ca="1">1-L112</f>
        <v>1</v>
      </c>
      <c r="M122" s="6">
        <f t="shared" ca="1" si="8"/>
        <v>15</v>
      </c>
    </row>
    <row r="123" spans="2:13" x14ac:dyDescent="0.25">
      <c r="B123" s="4" t="str">
        <f>B68</f>
        <v>ALU PASS A</v>
      </c>
      <c r="C123" s="5">
        <f ca="1">IF(AND(J$114=J68,K$114=K68,L$114=L68),1,0)</f>
        <v>0</v>
      </c>
      <c r="D123" s="5"/>
      <c r="E123" s="5"/>
      <c r="F123" s="5"/>
      <c r="G123" s="5"/>
      <c r="H123" s="5"/>
      <c r="I123" s="5">
        <f ca="1">I112</f>
        <v>0</v>
      </c>
      <c r="J123" s="5">
        <f ca="1">J112</f>
        <v>0</v>
      </c>
      <c r="K123" s="5">
        <f ca="1">K112</f>
        <v>0</v>
      </c>
      <c r="L123" s="5">
        <f ca="1">L112</f>
        <v>0</v>
      </c>
      <c r="M123" s="6">
        <f t="shared" ca="1" si="8"/>
        <v>0</v>
      </c>
    </row>
    <row r="124" spans="2:13" x14ac:dyDescent="0.25"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</row>
    <row r="125" spans="2:13" ht="15.75" thickBot="1" x14ac:dyDescent="0.3">
      <c r="B125" s="7"/>
      <c r="C125" s="8"/>
      <c r="D125" s="8"/>
      <c r="E125" s="8"/>
      <c r="F125" s="8"/>
      <c r="G125" s="8"/>
      <c r="H125" s="8"/>
      <c r="I125" s="8">
        <f ca="1">$C116*I116+$C117*I117+$C118*I118+$C119*I119+$C120*I120+$C121*I121+$C122*I122+$C123*I123</f>
        <v>0</v>
      </c>
      <c r="J125" s="8">
        <f ca="1">$C116*J116+$C117*J117+$C118*J118+$C119*J119+$C120*J120+$C121*J121+$C122*J122+$C123*J123</f>
        <v>0</v>
      </c>
      <c r="K125" s="8">
        <f ca="1">$C116*K116+$C117*K117+$C118*K118+$C119*K119+$C120*K120+$C121*K121+$C122*K122+$C123*K123</f>
        <v>0</v>
      </c>
      <c r="L125" s="8">
        <f ca="1">$C116*L116+$C117*L117+$C118*L118+$C119*L119+$C120*L120+$C121*L121+$C122*L122+$C123*L123</f>
        <v>0</v>
      </c>
      <c r="M125" s="9">
        <f t="shared" ca="1" si="8"/>
        <v>0</v>
      </c>
    </row>
  </sheetData>
  <mergeCells count="2">
    <mergeCell ref="O49:Q50"/>
    <mergeCell ref="P15:U28"/>
  </mergeCells>
  <phoneticPr fontId="1" type="noConversion"/>
  <conditionalFormatting sqref="B53:W68">
    <cfRule type="expression" dxfId="1" priority="2">
      <formula>$O53=1</formula>
    </cfRule>
  </conditionalFormatting>
  <conditionalFormatting sqref="X9:Y40">
    <cfRule type="expression" dxfId="0" priority="1">
      <formula>$X9=$N$42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clock</vt:lpstr>
      <vt:lpstr>enable_a</vt:lpstr>
      <vt:lpstr>enable_b</vt:lpstr>
      <vt:lpstr>enable_buffer</vt:lpstr>
      <vt:lpstr>enable_read_cu</vt:lpstr>
      <vt:lpstr>read</vt:lpstr>
      <vt:lpstr>reset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Labussiere</dc:creator>
  <cp:lastModifiedBy>Sylvain Labussiere</cp:lastModifiedBy>
  <dcterms:created xsi:type="dcterms:W3CDTF">2024-02-10T12:45:35Z</dcterms:created>
  <dcterms:modified xsi:type="dcterms:W3CDTF">2024-02-18T12:06:15Z</dcterms:modified>
</cp:coreProperties>
</file>