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stall\Desktop\"/>
    </mc:Choice>
  </mc:AlternateContent>
  <xr:revisionPtr revIDLastSave="0" documentId="8_{372B6E9B-77CA-4A2B-887D-44DC87437E3C}" xr6:coauthVersionLast="45" xr6:coauthVersionMax="45" xr10:uidLastSave="{00000000-0000-0000-0000-000000000000}"/>
  <workbookProtection workbookPassword="C174" lockStructure="1"/>
  <bookViews>
    <workbookView xWindow="4545" yWindow="3390" windowWidth="21600" windowHeight="11385" tabRatio="565" activeTab="1" xr2:uid="{00000000-000D-0000-FFFF-FFFF00000000}"/>
  </bookViews>
  <sheets>
    <sheet name="Enoncés Gest_port" sheetId="1" r:id="rId1"/>
    <sheet name="exercice " sheetId="2" r:id="rId2"/>
    <sheet name="Module1" sheetId="3" state="veryHidden" r:id="rId3"/>
    <sheet name="Feuil1" sheetId="4" state="hidden" r:id="rId4"/>
    <sheet name="correction" sheetId="5" state="hidden" r:id="rId5"/>
  </sheets>
  <externalReferences>
    <externalReference r:id="rId6"/>
  </externalReferences>
  <definedNames>
    <definedName name="_r">#REF!</definedName>
    <definedName name="ba">#REF!</definedName>
    <definedName name="bb">#REF!</definedName>
    <definedName name="bc">#REF!</definedName>
    <definedName name="bd">#REF!</definedName>
    <definedName name="be">#REF!</definedName>
    <definedName name="call">#REF!</definedName>
    <definedName name="code">'exercice '!#REF!</definedName>
    <definedName name="d">#REF!</definedName>
    <definedName name="dd">#REF!</definedName>
    <definedName name="div">#REF!</definedName>
    <definedName name="DNa">#REF!</definedName>
    <definedName name="E">#REF!</definedName>
    <definedName name="F">#REF!</definedName>
    <definedName name="ff">#REF!</definedName>
    <definedName name="h">#REF!</definedName>
    <definedName name="hh">#REF!</definedName>
    <definedName name="hhh">#REF!</definedName>
    <definedName name="i">#REF!</definedName>
    <definedName name="k">#REF!</definedName>
    <definedName name="kk">#REF!</definedName>
    <definedName name="kkk">#REF!</definedName>
    <definedName name="Na">#REF!</definedName>
    <definedName name="Naa">#REF!</definedName>
    <definedName name="Naaa">#REF!</definedName>
    <definedName name="Nb">#REF!</definedName>
    <definedName name="Nbb">#REF!</definedName>
    <definedName name="Nbbb">#REF!</definedName>
    <definedName name="note">'exercice '!#REF!</definedName>
    <definedName name="note_a">'exercice '!#REF!</definedName>
    <definedName name="note_abx">#REF!</definedName>
    <definedName name="note_b">'exercice '!#REF!</definedName>
    <definedName name="note_c">'exercice '!#REF!</definedName>
    <definedName name="note_d">'exercice '!#REF!</definedName>
    <definedName name="note_e">'exercice '!#REF!</definedName>
    <definedName name="note_ex1">'exercice '!$C$38</definedName>
    <definedName name="note_ex2">'exercice '!$C$38</definedName>
    <definedName name="note_ex3">'exercice '!#REF!</definedName>
    <definedName name="note_exo">'exercice '!#REF!</definedName>
    <definedName name="note_exo3">'exercice '!#REF!</definedName>
    <definedName name="note_fin_sim_b">#REF!</definedName>
    <definedName name="note_fin_sim_c">#REF!</definedName>
    <definedName name="note_fin_sim_d">#REF!</definedName>
    <definedName name="note_finsim_a">#REF!</definedName>
    <definedName name="note_tpff_a">#REF!</definedName>
    <definedName name="note_tpff_b">#REF!</definedName>
    <definedName name="note1">'exercice '!$C$38</definedName>
    <definedName name="note2">'exercice '!$C$52</definedName>
    <definedName name="note3">'exercice '!$C$84</definedName>
    <definedName name="note4">'exercice '!$C$109</definedName>
    <definedName name="note5">'exercice '!$C$131</definedName>
    <definedName name="note6">'exercice '!$C$155</definedName>
    <definedName name="note7">'exercice '!$C$185</definedName>
    <definedName name="note8">'exercice '!$C$230</definedName>
    <definedName name="notes">'exercice '!#REF!</definedName>
    <definedName name="obj">#REF!</definedName>
    <definedName name="objp">#REF!</definedName>
    <definedName name="pas">#REF!</definedName>
    <definedName name="pasz">#REF!</definedName>
    <definedName name="PP">#REF!</definedName>
    <definedName name="rtf">'exercice '!$F$7</definedName>
    <definedName name="S">#REF!</definedName>
    <definedName name="solver_adj" localSheetId="4" hidden="1">correction!$D$240:$E$240</definedName>
    <definedName name="solver_cvg" localSheetId="4" hidden="1">0.0001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hs1" localSheetId="4" hidden="1">correction!#REF!</definedName>
    <definedName name="solver_lhs2" localSheetId="4" hidden="1">correction!#REF!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correction!$F$240</definedName>
    <definedName name="solver_pre" localSheetId="4" hidden="1">0.000001</definedName>
    <definedName name="solver_rel1" localSheetId="4" hidden="1">2</definedName>
    <definedName name="solver_rel2" localSheetId="4" hidden="1">2</definedName>
    <definedName name="solver_rhs1" localSheetId="4" hidden="1">1</definedName>
    <definedName name="solver_rhs2" localSheetId="4" hidden="1">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S">#REF!</definedName>
    <definedName name="T">#REF!</definedName>
    <definedName name="u">#REF!</definedName>
    <definedName name="uu">#REF!</definedName>
    <definedName name="uuu">#REF!</definedName>
    <definedName name="v">#REF!</definedName>
    <definedName name="VOLH">'[1]#REF'!#REF!</definedName>
    <definedName name="vv">#REF!</definedName>
    <definedName name="vvv">#REF!</definedName>
    <definedName name="x">#REF!</definedName>
    <definedName name="xx">#REF!</definedName>
    <definedName name="z">#REF!</definedName>
    <definedName name="_xlnm.Print_Area" localSheetId="4">correction!$A$1:$N$271</definedName>
    <definedName name="zz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2" l="1"/>
  <c r="E62" i="2"/>
  <c r="E63" i="2"/>
  <c r="E64" i="2"/>
  <c r="E65" i="2"/>
  <c r="E66" i="2"/>
  <c r="E61" i="2"/>
  <c r="D62" i="2"/>
  <c r="D63" i="2"/>
  <c r="D64" i="2"/>
  <c r="D65" i="2"/>
  <c r="D66" i="2"/>
  <c r="D61" i="2"/>
  <c r="C62" i="2"/>
  <c r="C63" i="2"/>
  <c r="C64" i="2"/>
  <c r="C65" i="2"/>
  <c r="C66" i="2"/>
  <c r="C61" i="2"/>
  <c r="F57" i="2" l="1"/>
  <c r="D57" i="2"/>
  <c r="G85" i="5" l="1"/>
  <c r="D97" i="5" s="1"/>
  <c r="F97" i="5" s="1"/>
  <c r="D95" i="5"/>
  <c r="D96" i="5"/>
  <c r="D99" i="5"/>
  <c r="F99" i="5" s="1"/>
  <c r="F60" i="5"/>
  <c r="G62" i="5"/>
  <c r="G76" i="5" s="1"/>
  <c r="G20" i="5"/>
  <c r="G29" i="5" s="1"/>
  <c r="E286" i="5"/>
  <c r="E287" i="5"/>
  <c r="G280" i="5"/>
  <c r="H281" i="5"/>
  <c r="H257" i="5"/>
  <c r="G258" i="5" s="1"/>
  <c r="I261" i="5" s="1"/>
  <c r="G265" i="5" s="1"/>
  <c r="G256" i="5"/>
  <c r="G257" i="5"/>
  <c r="G261" i="5" s="1"/>
  <c r="G248" i="5"/>
  <c r="E253" i="5" s="1"/>
  <c r="E132" i="5"/>
  <c r="D133" i="5"/>
  <c r="G159" i="5" s="1"/>
  <c r="E134" i="5"/>
  <c r="F133" i="5"/>
  <c r="E85" i="5"/>
  <c r="E96" i="5" s="1"/>
  <c r="F96" i="5" s="1"/>
  <c r="E95" i="5"/>
  <c r="E97" i="5"/>
  <c r="E98" i="5"/>
  <c r="E99" i="5"/>
  <c r="E100" i="5"/>
  <c r="G109" i="5"/>
  <c r="G58" i="5"/>
  <c r="G28" i="5"/>
  <c r="G44" i="5" s="1"/>
  <c r="G27" i="5"/>
  <c r="G42" i="5"/>
  <c r="H18" i="5"/>
  <c r="H315" i="5"/>
  <c r="G323" i="5" s="1"/>
  <c r="H320" i="5"/>
  <c r="G326" i="5" s="1"/>
  <c r="G232" i="5"/>
  <c r="E237" i="5" s="1"/>
  <c r="H154" i="5"/>
  <c r="H155" i="5"/>
  <c r="H156" i="5"/>
  <c r="D155" i="5"/>
  <c r="F155" i="5"/>
  <c r="H59" i="5"/>
  <c r="G19" i="5"/>
  <c r="G17" i="5"/>
  <c r="G116" i="5"/>
  <c r="D132" i="5"/>
  <c r="G136" i="5" s="1"/>
  <c r="F132" i="5"/>
  <c r="E133" i="5"/>
  <c r="D134" i="5"/>
  <c r="F134" i="5"/>
  <c r="E155" i="5"/>
  <c r="G206" i="5"/>
  <c r="G209" i="5"/>
  <c r="G220" i="5"/>
  <c r="G222" i="5"/>
  <c r="G227" i="5"/>
  <c r="F268" i="5"/>
  <c r="I268" i="5"/>
  <c r="H280" i="5"/>
  <c r="G286" i="5" s="1" a="1"/>
  <c r="G281" i="5"/>
  <c r="H26" i="2"/>
  <c r="I26" i="2" s="1"/>
  <c r="G29" i="2"/>
  <c r="H29" i="2" s="1"/>
  <c r="G34" i="2"/>
  <c r="H34" i="2" s="1"/>
  <c r="E35" i="2"/>
  <c r="E36" i="2"/>
  <c r="G36" i="2"/>
  <c r="H45" i="2"/>
  <c r="I45" i="2" s="1"/>
  <c r="H48" i="2"/>
  <c r="I48" i="2" s="1"/>
  <c r="F70" i="2"/>
  <c r="G70" i="2" s="1"/>
  <c r="F72" i="2"/>
  <c r="G72" i="2" s="1"/>
  <c r="G74" i="2"/>
  <c r="H74" i="2" s="1"/>
  <c r="G79" i="2"/>
  <c r="H79" i="2" s="1"/>
  <c r="G96" i="2"/>
  <c r="H96" i="2" s="1"/>
  <c r="G106" i="2"/>
  <c r="H106" i="2" s="1"/>
  <c r="G117" i="2"/>
  <c r="H117" i="2" s="1"/>
  <c r="C131" i="2" s="1"/>
  <c r="G138" i="2"/>
  <c r="H138" i="2" s="1"/>
  <c r="G141" i="2"/>
  <c r="H141" i="2" s="1"/>
  <c r="G145" i="2"/>
  <c r="H145" i="2" s="1"/>
  <c r="G147" i="2"/>
  <c r="H147" i="2" s="1"/>
  <c r="G150" i="2"/>
  <c r="H150" i="2" s="1"/>
  <c r="G152" i="2"/>
  <c r="H152" i="2" s="1"/>
  <c r="G165" i="2"/>
  <c r="H165" i="2" s="1"/>
  <c r="G167" i="2"/>
  <c r="H167" i="2" s="1"/>
  <c r="F173" i="2"/>
  <c r="F174" i="2" s="1"/>
  <c r="H173" i="2"/>
  <c r="H174" i="2" s="1"/>
  <c r="F177" i="2"/>
  <c r="F178" i="2" s="1"/>
  <c r="H177" i="2"/>
  <c r="H178" i="2" s="1"/>
  <c r="F182" i="2"/>
  <c r="F183" i="2" s="1"/>
  <c r="H182" i="2"/>
  <c r="H183" i="2" s="1"/>
  <c r="G193" i="2"/>
  <c r="H193" i="2" s="1"/>
  <c r="G195" i="2"/>
  <c r="H195" i="2" s="1"/>
  <c r="G197" i="2"/>
  <c r="H197" i="2" s="1"/>
  <c r="G202" i="2"/>
  <c r="H202" i="2" s="1"/>
  <c r="G203" i="2"/>
  <c r="H203" i="2" s="1"/>
  <c r="G205" i="2"/>
  <c r="H205" i="2" s="1"/>
  <c r="G206" i="2"/>
  <c r="H206" i="2" s="1"/>
  <c r="G214" i="2"/>
  <c r="H214" i="2" s="1"/>
  <c r="G215" i="2"/>
  <c r="H215" i="2" s="1"/>
  <c r="F218" i="2"/>
  <c r="I219" i="2"/>
  <c r="J219" i="2" s="1"/>
  <c r="I220" i="2"/>
  <c r="J220" i="2" s="1"/>
  <c r="F221" i="2"/>
  <c r="G225" i="2"/>
  <c r="H225" i="2" s="1"/>
  <c r="G226" i="2"/>
  <c r="H226" i="2" s="1"/>
  <c r="H319" i="5"/>
  <c r="G325" i="5"/>
  <c r="G225" i="5"/>
  <c r="C230" i="2" l="1"/>
  <c r="C52" i="2"/>
  <c r="C38" i="2"/>
  <c r="G286" i="5"/>
  <c r="G287" i="5"/>
  <c r="G291" i="5" s="1"/>
  <c r="G324" i="5"/>
  <c r="G337" i="5" s="1"/>
  <c r="I336" i="5"/>
  <c r="C155" i="2"/>
  <c r="C84" i="2"/>
  <c r="C109" i="2"/>
  <c r="I265" i="5"/>
  <c r="G271" i="5"/>
  <c r="D101" i="5"/>
  <c r="G107" i="5" s="1"/>
  <c r="C185" i="2"/>
  <c r="G237" i="5"/>
  <c r="H255" i="5"/>
  <c r="G239" i="5"/>
  <c r="G240" i="5" s="1"/>
  <c r="G243" i="5" s="1"/>
  <c r="F95" i="5"/>
  <c r="D100" i="5"/>
  <c r="F100" i="5" s="1"/>
  <c r="H253" i="5"/>
  <c r="F32" i="5"/>
  <c r="F35" i="5" s="1"/>
  <c r="D98" i="5"/>
  <c r="F98" i="5" s="1"/>
  <c r="F7" i="2" l="1"/>
  <c r="F89" i="5"/>
  <c r="G105" i="5" s="1"/>
  <c r="G117" i="5" s="1"/>
  <c r="G120" i="5" s="1"/>
  <c r="G245" i="5"/>
  <c r="I271" i="5"/>
  <c r="I337" i="5"/>
  <c r="G332" i="5"/>
  <c r="G290" i="5"/>
  <c r="J290" i="5" l="1"/>
  <c r="I290" i="5"/>
  <c r="G336" i="5"/>
  <c r="G331" i="5"/>
  <c r="G289" i="5"/>
  <c r="G355" i="5" l="1"/>
  <c r="G356" i="5" s="1"/>
</calcChain>
</file>

<file path=xl/sharedStrings.xml><?xml version="1.0" encoding="utf-8"?>
<sst xmlns="http://schemas.openxmlformats.org/spreadsheetml/2006/main" count="450" uniqueCount="337">
  <si>
    <t>NOM</t>
  </si>
  <si>
    <t>N° d'étudiant</t>
  </si>
  <si>
    <t>NOTE FINALE</t>
  </si>
  <si>
    <t>Note minimum pour avoir la correction : 13</t>
  </si>
  <si>
    <t>REMPLIR LES CELLULES JAUNES</t>
  </si>
  <si>
    <t>EXERCICE 1</t>
  </si>
  <si>
    <t>EXERCICE 2</t>
  </si>
  <si>
    <t>Exercice N°1 :</t>
  </si>
  <si>
    <t>a)</t>
  </si>
  <si>
    <t>b)</t>
  </si>
  <si>
    <t>EXERCICE 3</t>
  </si>
  <si>
    <t>m</t>
  </si>
  <si>
    <t>Exercice 1</t>
  </si>
  <si>
    <t>Euros</t>
  </si>
  <si>
    <t>Exercice 2</t>
  </si>
  <si>
    <t>Quel est le &lt;&lt; PER normal &gt;&gt; de Sx ?</t>
  </si>
  <si>
    <t>Exercice 3</t>
  </si>
  <si>
    <t xml:space="preserve">Vous disposez des données passées, suivantes, relatives à la firme ZZ : </t>
  </si>
  <si>
    <t>Année</t>
  </si>
  <si>
    <t>Rendement du marché</t>
  </si>
  <si>
    <t>Rendement de ZZ</t>
  </si>
  <si>
    <t>n-6</t>
  </si>
  <si>
    <t>n-5</t>
  </si>
  <si>
    <t>n-4</t>
  </si>
  <si>
    <t>n-3</t>
  </si>
  <si>
    <t>n-2</t>
  </si>
  <si>
    <t>n-1</t>
  </si>
  <si>
    <t xml:space="preserve">a) Estimez à partir des données passées : </t>
  </si>
  <si>
    <t>- Le bêta de ZZ ;</t>
  </si>
  <si>
    <t>- Le prix du marché du risque (pente de la droite de marché) ;</t>
  </si>
  <si>
    <t>- La performance moyenne passée de ZZ.</t>
  </si>
  <si>
    <t>b) Quelle est l'espérance minimum de rendement du titre ZZ pour l'année n à partir de laquelle</t>
  </si>
  <si>
    <t xml:space="preserve"> l'investisseur a intérêt à détenir le titre dans son portefeuille (on supposera le prix de marché</t>
  </si>
  <si>
    <t>du risque et le bêta de ZZ stables).</t>
  </si>
  <si>
    <t>Exercice 4</t>
  </si>
  <si>
    <t>a) Calculez la variance d'un portefeuille équipondéré ?</t>
  </si>
  <si>
    <t>Exercice 5</t>
  </si>
  <si>
    <t xml:space="preserve">qui ont tous la même moyenne (E(Ri)=E(Rj)) et les mêmes variances. Que pourrait être la composition d'un </t>
  </si>
  <si>
    <t>Exercice 6</t>
  </si>
  <si>
    <t>L'espérance mathématique et l'écart type de la rentabilité de deux titres A et B sont :</t>
  </si>
  <si>
    <t>A</t>
  </si>
  <si>
    <t>B</t>
  </si>
  <si>
    <t>E(R)</t>
  </si>
  <si>
    <t>Sigma</t>
  </si>
  <si>
    <t xml:space="preserve">b) </t>
  </si>
  <si>
    <t xml:space="preserve">b) Quelles sont les proportions de votre richesse à investir dans A et B afin d'obtenir un </t>
  </si>
  <si>
    <t xml:space="preserve">portefeuille à risque minimum ? Quels sont l'espérance mathématique et l'écart type de la </t>
  </si>
  <si>
    <t>rentabilité de ce portefeuille ?</t>
  </si>
  <si>
    <t>Exercice 7</t>
  </si>
  <si>
    <t xml:space="preserve">Un investisseur veut avoir un portefeuille composé uniquement de deux titres : </t>
  </si>
  <si>
    <t>rho AB</t>
  </si>
  <si>
    <t>a) Quelles sont les proportions de sa richesse à investir dans A et B pour obtenir un portefeuille</t>
  </si>
  <si>
    <t xml:space="preserve">b) Quelles sont les proportions de sa richesse à investir dans A et B pour obtenir un portefeuille </t>
  </si>
  <si>
    <t>Gestion de portefeuilles</t>
  </si>
  <si>
    <t xml:space="preserve">2) Pour l'exercice 3 vous pouvez utilisez soit la formule fermée soit Excel pour faire une régréssion. Pour </t>
  </si>
  <si>
    <t xml:space="preserve">faire une régréssion dans Excel : Menu "Outils" ; "Utilitaire d'analyse" et "Régression linéaire". Si l'utilitaire </t>
  </si>
  <si>
    <t>d'analyse n'est pas installé, il faut l'installer de la façon suivante : Menu "Outils" ; "Macros complémentaires"</t>
  </si>
  <si>
    <t>Soit la matrice de variance-covariance</t>
  </si>
  <si>
    <t>Un investisseur allergique au risque peut choisir un portefeuille à partir de N actifs avec rendements indépendant,</t>
  </si>
  <si>
    <t>portefeuille optimal ? Vous considérez le cas où il n'y a pas d'actifsans risque (N actifs en tout) ainsi que le cas</t>
  </si>
  <si>
    <t>où il ya aussi un actif sans risque (N+1 actifs en tout).</t>
  </si>
  <si>
    <t xml:space="preserve">c) S'il désire respecter la condition b ci-dessus et maximiser l'espérance de rentabilité, quel est </t>
  </si>
  <si>
    <t>le meilleur portefeuille qu'il peut avoir ?</t>
  </si>
  <si>
    <t>Gestion de Portefeuilles</t>
  </si>
  <si>
    <t>L'action MEAC devrait coter normalement</t>
  </si>
  <si>
    <t>L'action MEAC est donc (surcotée ou souscotée)</t>
  </si>
  <si>
    <t>Le coût des fonds propres de la société MEAC (en %)</t>
  </si>
  <si>
    <t>note /3 :</t>
  </si>
  <si>
    <t>Le taux d'actualisation à appliquer aux placement Sx est (en %)</t>
  </si>
  <si>
    <t xml:space="preserve">PER de Sx </t>
  </si>
  <si>
    <t>Le beta de ZZ est</t>
  </si>
  <si>
    <t>Le prix du marché du risque (en %)</t>
  </si>
  <si>
    <t>La performance moyenne passée de ZZ (en %)</t>
  </si>
  <si>
    <t>L'espérance minimum de rendement pour l'année n (en %)</t>
  </si>
  <si>
    <t>EXERCICE 4</t>
  </si>
  <si>
    <t xml:space="preserve">La variance d'un portefeuille équipondéré </t>
  </si>
  <si>
    <t xml:space="preserve">Covariance du portefeuille </t>
  </si>
  <si>
    <t>EXERCICE 5</t>
  </si>
  <si>
    <t>a) Cas où il n' y a pas d'actif sans risque</t>
  </si>
  <si>
    <t>Proportion optimal de chaque actif (en fonction  de N)</t>
  </si>
  <si>
    <t>1/N</t>
  </si>
  <si>
    <t>b) Cas où il y a un actif sans risque</t>
  </si>
  <si>
    <t>EXERCICE 6</t>
  </si>
  <si>
    <t xml:space="preserve">a) </t>
  </si>
  <si>
    <t>Espérance mathématique du portefeuille (en %)</t>
  </si>
  <si>
    <t>Ecart type de la rentabilité du portefeuille (en %)</t>
  </si>
  <si>
    <t>EXERCICE 7</t>
  </si>
  <si>
    <t xml:space="preserve">et </t>
  </si>
  <si>
    <t>Proportion à investir dans A (en %)</t>
  </si>
  <si>
    <t>Proportion à investir dans B (en %)</t>
  </si>
  <si>
    <t xml:space="preserve">La proportion (en %) à investir dans A est comprise entre </t>
  </si>
  <si>
    <t xml:space="preserve">La proportion (en %) à investir dans B est comprise entre </t>
  </si>
  <si>
    <t xml:space="preserve">c) </t>
  </si>
  <si>
    <t xml:space="preserve">Combiner les conditions a et b : </t>
  </si>
  <si>
    <t>Proportion maximale à investir dans A (en %)</t>
  </si>
  <si>
    <t>Proportion minimale à investir dans B (en %)</t>
  </si>
  <si>
    <t>note /2,5 :</t>
  </si>
  <si>
    <t>Exercice N°2 :</t>
  </si>
  <si>
    <t>Exercice N°3 :</t>
  </si>
  <si>
    <t xml:space="preserve">Calcul du Beta en utilisant la formule : </t>
  </si>
  <si>
    <t>Exercice N°4 :</t>
  </si>
  <si>
    <t>Exercice N°5 :</t>
  </si>
  <si>
    <t xml:space="preserve">Demonstration : </t>
  </si>
  <si>
    <t xml:space="preserve">Résoudre le problème suivant : </t>
  </si>
  <si>
    <t>Le portefeuille est un mélange de l'actif sans risque et d'une composition équipondérée des N autres actifs.</t>
  </si>
  <si>
    <t>Exercice N°6 :</t>
  </si>
  <si>
    <t>Exercice N°7 :</t>
  </si>
  <si>
    <t>CORRECTION GESTION DE PORTEFEUILLES</t>
  </si>
  <si>
    <t>Exercice 8</t>
  </si>
  <si>
    <t xml:space="preserve">(3 actifs au total) ; les ventes à découvert sont autorisées. On notera R1 et R2 les rentabilités des fonds F1 et </t>
  </si>
  <si>
    <t xml:space="preserve">F2 respectivement. On supposera que : </t>
  </si>
  <si>
    <t>1) Caractérisez deux fonds à partir desquels tout portefeuille efficient peut être construit. L'un de ces fonds</t>
  </si>
  <si>
    <r>
      <t xml:space="preserve">sera un portefeuille </t>
    </r>
    <r>
      <rPr>
        <i/>
        <u/>
        <sz val="10"/>
        <rFont val="Arial"/>
        <family val="2"/>
      </rPr>
      <t>t</t>
    </r>
    <r>
      <rPr>
        <sz val="10"/>
        <rFont val="Arial"/>
        <family val="2"/>
      </rPr>
      <t xml:space="preserve"> qui n'inclut pas d'actif sans risque et dont vous déterminerez précisément la composition</t>
    </r>
  </si>
  <si>
    <t>(3 poids).</t>
  </si>
  <si>
    <t>2) Sur un graphique qui permet de repérer l'écart-type et l'espérance de rentabilité des différents portefeuilles</t>
  </si>
  <si>
    <t>(i)</t>
  </si>
  <si>
    <t>l'actif sans risque</t>
  </si>
  <si>
    <t>(ii)</t>
  </si>
  <si>
    <t>le sommet de l'hyperbole représentant un portefeuille u (qui minimise la variance</t>
  </si>
  <si>
    <t>parmi les portefeuilles n'incluant pas d'actif sans risque)</t>
  </si>
  <si>
    <t>(iii)</t>
  </si>
  <si>
    <r>
      <t xml:space="preserve">les 2 actifs risqués et le portefeuille </t>
    </r>
    <r>
      <rPr>
        <i/>
        <u/>
        <sz val="10"/>
        <rFont val="Arial"/>
        <family val="2"/>
      </rPr>
      <t>t</t>
    </r>
  </si>
  <si>
    <t>(iv)</t>
  </si>
  <si>
    <t>la frontière d'efficience</t>
  </si>
  <si>
    <t xml:space="preserve">caractérisant la frontière d'efficience des portefeuilles composés exclusivement d'actifs risqués en </t>
  </si>
  <si>
    <t xml:space="preserve">positionnant sur ce graphique, avec le maximum de précision : </t>
  </si>
  <si>
    <r>
      <t xml:space="preserve">sur la branche de </t>
    </r>
    <r>
      <rPr>
        <b/>
        <i/>
        <sz val="10"/>
        <rFont val="Arial"/>
        <family val="2"/>
      </rPr>
      <t>H</t>
    </r>
    <r>
      <rPr>
        <sz val="10"/>
        <rFont val="Arial"/>
        <family val="2"/>
      </rPr>
      <t xml:space="preserve"> au nord-est de </t>
    </r>
    <r>
      <rPr>
        <i/>
        <u/>
        <sz val="10"/>
        <rFont val="Arial"/>
        <family val="2"/>
      </rPr>
      <t>t</t>
    </r>
    <r>
      <rPr>
        <sz val="10"/>
        <rFont val="Arial"/>
        <family val="2"/>
      </rPr>
      <t xml:space="preserve"> (espérance de rentabilité &gt; E(Rt)) et ceux de la branche sud-ouest </t>
    </r>
  </si>
  <si>
    <r>
      <t xml:space="preserve">situés entre </t>
    </r>
    <r>
      <rPr>
        <i/>
        <u/>
        <sz val="10"/>
        <rFont val="Arial"/>
        <family val="2"/>
      </rPr>
      <t>u</t>
    </r>
    <r>
      <rPr>
        <sz val="10"/>
        <rFont val="Arial"/>
        <family val="2"/>
      </rPr>
      <t xml:space="preserve"> et </t>
    </r>
    <r>
      <rPr>
        <i/>
        <u/>
        <sz val="10"/>
        <rFont val="Arial"/>
        <family val="2"/>
      </rPr>
      <t>t</t>
    </r>
    <r>
      <rPr>
        <sz val="10"/>
        <rFont val="Arial"/>
        <family val="2"/>
      </rPr>
      <t xml:space="preserve">. </t>
    </r>
  </si>
  <si>
    <r>
      <t xml:space="preserve">a) Vous caractériserez avec précision le portefeuille </t>
    </r>
    <r>
      <rPr>
        <i/>
        <u/>
        <sz val="10"/>
        <rFont val="Arial"/>
        <family val="2"/>
      </rPr>
      <t>u</t>
    </r>
    <r>
      <rPr>
        <sz val="10"/>
        <rFont val="Arial"/>
        <family val="2"/>
      </rPr>
      <t xml:space="preserve"> (poids, espérance et écart-type de rentabilité).</t>
    </r>
  </si>
  <si>
    <t xml:space="preserve">b) Vous caractiserez aussi  (par des conditions sur les poids) les portefeuilles d'actifs risqués situés </t>
  </si>
  <si>
    <r>
      <t>possibles (axes (sigma,E)), tracez (</t>
    </r>
    <r>
      <rPr>
        <b/>
        <i/>
        <sz val="10"/>
        <rFont val="Arial"/>
        <family val="2"/>
      </rPr>
      <t>sur une feuille à part chez vous</t>
    </r>
    <r>
      <rPr>
        <sz val="10"/>
        <rFont val="Arial"/>
        <family val="2"/>
      </rPr>
      <t xml:space="preserve">) qualitativement l'hyperbole </t>
    </r>
    <r>
      <rPr>
        <b/>
        <i/>
        <sz val="10"/>
        <rFont val="Arial"/>
        <family val="2"/>
      </rPr>
      <t>H</t>
    </r>
    <r>
      <rPr>
        <sz val="10"/>
        <rFont val="Arial"/>
        <family val="2"/>
      </rPr>
      <t xml:space="preserve"> </t>
    </r>
  </si>
  <si>
    <t>(R = rendement du portefeuille)</t>
  </si>
  <si>
    <t>NB Rappel inversion de matrices</t>
  </si>
  <si>
    <t>Considérez un investisseur qui compse son portefeuille à partir de deux fonds F1 et F2 et de l'actif sans risque</t>
  </si>
  <si>
    <t>V=</t>
  </si>
  <si>
    <r>
      <t>s</t>
    </r>
    <r>
      <rPr>
        <vertAlign val="subscript"/>
        <sz val="12"/>
        <rFont val="Symbol"/>
        <family val="1"/>
      </rPr>
      <t>11</t>
    </r>
  </si>
  <si>
    <r>
      <t>s</t>
    </r>
    <r>
      <rPr>
        <vertAlign val="subscript"/>
        <sz val="12"/>
        <rFont val="Symbol"/>
        <family val="1"/>
      </rPr>
      <t>22</t>
    </r>
  </si>
  <si>
    <r>
      <t>s</t>
    </r>
    <r>
      <rPr>
        <vertAlign val="subscript"/>
        <sz val="12"/>
        <rFont val="Symbol"/>
        <family val="1"/>
      </rPr>
      <t>12</t>
    </r>
  </si>
  <si>
    <r>
      <t>s</t>
    </r>
    <r>
      <rPr>
        <vertAlign val="subscript"/>
        <sz val="12"/>
        <rFont val="Symbol"/>
        <family val="1"/>
      </rPr>
      <t>21</t>
    </r>
  </si>
  <si>
    <r>
      <t>V</t>
    </r>
    <r>
      <rPr>
        <vertAlign val="superscript"/>
        <sz val="12"/>
        <rFont val="Arial"/>
        <family val="2"/>
      </rPr>
      <t>-1</t>
    </r>
    <r>
      <rPr>
        <sz val="12"/>
        <rFont val="Arial"/>
        <family val="2"/>
      </rPr>
      <t>=</t>
    </r>
  </si>
  <si>
    <r>
      <t>1/</t>
    </r>
    <r>
      <rPr>
        <sz val="12"/>
        <rFont val="Symbol"/>
        <family val="1"/>
      </rPr>
      <t>D</t>
    </r>
  </si>
  <si>
    <r>
      <t xml:space="preserve">où </t>
    </r>
    <r>
      <rPr>
        <sz val="10"/>
        <rFont val="Symbol"/>
        <family val="1"/>
      </rPr>
      <t>D</t>
    </r>
    <r>
      <rPr>
        <sz val="10"/>
        <rFont val="Arial"/>
        <family val="2"/>
      </rPr>
      <t>=</t>
    </r>
  </si>
  <si>
    <r>
      <t>s</t>
    </r>
    <r>
      <rPr>
        <vertAlign val="subscript"/>
        <sz val="12"/>
        <rFont val="Symbol"/>
        <family val="1"/>
      </rPr>
      <t>11</t>
    </r>
    <r>
      <rPr>
        <sz val="12"/>
        <rFont val="Symbol"/>
        <family val="1"/>
      </rPr>
      <t>s</t>
    </r>
    <r>
      <rPr>
        <vertAlign val="subscript"/>
        <sz val="12"/>
        <rFont val="Symbol"/>
        <family val="1"/>
      </rPr>
      <t>22</t>
    </r>
    <r>
      <rPr>
        <sz val="12"/>
        <rFont val="Symbol"/>
        <family val="1"/>
      </rPr>
      <t>-s</t>
    </r>
    <r>
      <rPr>
        <vertAlign val="subscript"/>
        <sz val="12"/>
        <rFont val="Symbol"/>
        <family val="1"/>
      </rPr>
      <t>12</t>
    </r>
    <r>
      <rPr>
        <sz val="12"/>
        <rFont val="Symbol"/>
        <family val="1"/>
      </rPr>
      <t>s</t>
    </r>
    <r>
      <rPr>
        <vertAlign val="subscript"/>
        <sz val="12"/>
        <rFont val="Symbol"/>
        <family val="1"/>
      </rPr>
      <t>21</t>
    </r>
  </si>
  <si>
    <r>
      <t xml:space="preserve"> -s</t>
    </r>
    <r>
      <rPr>
        <vertAlign val="subscript"/>
        <sz val="12"/>
        <rFont val="Symbol"/>
        <family val="1"/>
      </rPr>
      <t xml:space="preserve">21   </t>
    </r>
    <r>
      <rPr>
        <sz val="12"/>
        <rFont val="Symbol"/>
        <family val="1"/>
      </rPr>
      <t>s</t>
    </r>
    <r>
      <rPr>
        <vertAlign val="subscript"/>
        <sz val="12"/>
        <rFont val="Symbol"/>
        <family val="1"/>
      </rPr>
      <t>11</t>
    </r>
  </si>
  <si>
    <r>
      <t xml:space="preserve"> s</t>
    </r>
    <r>
      <rPr>
        <vertAlign val="subscript"/>
        <sz val="12"/>
        <rFont val="Symbol"/>
        <family val="1"/>
      </rPr>
      <t>22   -</t>
    </r>
    <r>
      <rPr>
        <sz val="12"/>
        <rFont val="Symbol"/>
        <family val="1"/>
      </rPr>
      <t>s</t>
    </r>
    <r>
      <rPr>
        <vertAlign val="subscript"/>
        <sz val="12"/>
        <rFont val="Symbol"/>
        <family val="1"/>
      </rPr>
      <t>21</t>
    </r>
  </si>
  <si>
    <t>EXERCICE 8</t>
  </si>
  <si>
    <t>Proportion à investir dans Actif 1 (en %)</t>
  </si>
  <si>
    <t>Proportion à investir dans Actif 2 (en %)</t>
  </si>
  <si>
    <t>Proportion à investir dans Actif sans risque (en %)</t>
  </si>
  <si>
    <r>
      <t xml:space="preserve">Composition du portefeuille </t>
    </r>
    <r>
      <rPr>
        <i/>
        <u/>
        <sz val="12"/>
        <rFont val="Arial"/>
        <family val="2"/>
      </rPr>
      <t>t</t>
    </r>
    <r>
      <rPr>
        <sz val="12"/>
        <rFont val="Arial"/>
        <family val="2"/>
      </rPr>
      <t xml:space="preserve"> : </t>
    </r>
  </si>
  <si>
    <t xml:space="preserve">1) </t>
  </si>
  <si>
    <t xml:space="preserve">2) </t>
  </si>
  <si>
    <t xml:space="preserve">Caractérisation du portefeuille u : </t>
  </si>
  <si>
    <t>Espérance de rendement de u</t>
  </si>
  <si>
    <t xml:space="preserve">Ecart-type de rendement de u </t>
  </si>
  <si>
    <t xml:space="preserve">Caractérisation du portefeuille sur la branche H au nord-est de t : </t>
  </si>
  <si>
    <t>Poids à investir dans Actif 2</t>
  </si>
  <si>
    <t xml:space="preserve">Caractérisation du portefeuille sur la branche H au sud-ouest de t : </t>
  </si>
  <si>
    <t xml:space="preserve">NB : On appelle x le poids dans l'actif 1 et 1-x celui dans l'actif 2. </t>
  </si>
  <si>
    <t>Répondre sous la forme d'inégalités strictes sur x et 1-x.</t>
  </si>
  <si>
    <t xml:space="preserve">3) </t>
  </si>
  <si>
    <t xml:space="preserve">Composition du portefeuille optimal : </t>
  </si>
  <si>
    <t>Poids à investir dans Actif sans risque</t>
  </si>
  <si>
    <t>note/5 :</t>
  </si>
  <si>
    <t>Exercice N°8 :</t>
  </si>
  <si>
    <t xml:space="preserve">On sait que : </t>
  </si>
  <si>
    <t>En effet proportion optimale du portefeuille u à détenir :</t>
  </si>
  <si>
    <t>PRENOM</t>
  </si>
  <si>
    <t>Espérance minimum de rendement du titre ZZ</t>
  </si>
  <si>
    <t>D'après l'équation du Medaf :</t>
  </si>
  <si>
    <t>Données :</t>
  </si>
  <si>
    <t>Le taux d'actualisation à appliquer aux placements Sx est (en %)</t>
  </si>
  <si>
    <t>Selon le Medaf :</t>
  </si>
  <si>
    <r>
      <t>La PER normal de S</t>
    </r>
    <r>
      <rPr>
        <b/>
        <vertAlign val="subscript"/>
        <sz val="12"/>
        <rFont val="Arial"/>
        <family val="2"/>
      </rPr>
      <t xml:space="preserve">x </t>
    </r>
    <r>
      <rPr>
        <b/>
        <sz val="12"/>
        <rFont val="Arial"/>
        <family val="2"/>
      </rPr>
      <t>:</t>
    </r>
  </si>
  <si>
    <t>Le taux d'actualisation :</t>
  </si>
  <si>
    <t>Cotation de l'action Meac :</t>
  </si>
  <si>
    <t xml:space="preserve">Le taux d'actualisation appliqué à l'action Meac est égal à son espérance de rentabilité </t>
  </si>
  <si>
    <r>
      <t>Le taux d'actualisation appliqué est égal à l'espérance de rentabilité de S</t>
    </r>
    <r>
      <rPr>
        <vertAlign val="subscript"/>
        <sz val="12"/>
        <rFont val="Arial"/>
        <family val="2"/>
      </rPr>
      <t>x</t>
    </r>
  </si>
  <si>
    <t>Modèle de Gordon et Shapiro :</t>
  </si>
  <si>
    <t>Coût des fonds propres de la sociéte Meac :</t>
  </si>
  <si>
    <t>Valeur théorique de l'action Meac :</t>
  </si>
  <si>
    <t>Remarque :</t>
  </si>
  <si>
    <t xml:space="preserve">si la valeur théorique de l'action est égale à sa valeur de marché, le coût des fonds propres est égal  </t>
  </si>
  <si>
    <t>Rentabilité du portefeuille :</t>
  </si>
  <si>
    <t>Variance du portefeuille :</t>
  </si>
  <si>
    <t>Rentabilité du portefeuille 1 :</t>
  </si>
  <si>
    <t>Rentabilité du portefeuille 2 :</t>
  </si>
  <si>
    <t>covariance du portefeuille 1 avec le portefeuille 2 :</t>
  </si>
  <si>
    <t>En utilisant le Lagrangian on trouve  (x(i) / x(j) ) = 1 et comme il y a N actifs  x(i) = x(j) = 1/N</t>
  </si>
  <si>
    <r>
      <t>En utilisant le Lagrangian on trouve  (x(i) / x(j) ) = 1 et comme il y a N actifs  x(i) = x(j) = (1-x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>)/N</t>
    </r>
  </si>
  <si>
    <t>Resoudre le système d'équations suivant :</t>
  </si>
  <si>
    <t>Espérance et Ecart-type du portefeuille :</t>
  </si>
  <si>
    <t>Portefeuille de risque minimum :</t>
  </si>
  <si>
    <t>Il faut minimiser la variance du portefeuille c-à-d :</t>
  </si>
  <si>
    <t xml:space="preserve">C'est le domaine d'intersection des questions a et b : </t>
  </si>
  <si>
    <r>
      <t xml:space="preserve">Composition du portefeuille </t>
    </r>
    <r>
      <rPr>
        <b/>
        <i/>
        <u/>
        <sz val="12"/>
        <rFont val="Arial"/>
        <family val="2"/>
      </rPr>
      <t>t</t>
    </r>
    <r>
      <rPr>
        <b/>
        <sz val="12"/>
        <rFont val="Arial"/>
        <family val="2"/>
      </rPr>
      <t xml:space="preserve"> : </t>
    </r>
  </si>
  <si>
    <t>La composition du portefeuille qui minimise la variance :</t>
  </si>
  <si>
    <r>
      <t xml:space="preserve"> Proportion d'actif 1 : 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=x   </t>
    </r>
  </si>
  <si>
    <r>
      <t xml:space="preserve"> Proportion d'actif 2 : 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=(1-x)  </t>
    </r>
  </si>
  <si>
    <r>
      <t>avec 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+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=1  </t>
    </r>
  </si>
  <si>
    <t xml:space="preserve">- sur la branche H au sud-ouest de t, le portefeuille est compris entre les portefeuilles u et t donc : </t>
  </si>
  <si>
    <t xml:space="preserve">Séparation en 2 fonds, par ex : </t>
  </si>
  <si>
    <t>portefeuille t tangent (ratio de Sharpe maximum)</t>
  </si>
  <si>
    <t xml:space="preserve">actif sans risque </t>
  </si>
  <si>
    <t>+</t>
  </si>
  <si>
    <t xml:space="preserve">La société MEAC a eu au cours des dernières années une croissance moyenne de </t>
  </si>
  <si>
    <t xml:space="preserve"> l'an. La communauté</t>
  </si>
  <si>
    <t xml:space="preserve">financière estime que cette croissance continuera dans le futur. Le dividende courant est de </t>
  </si>
  <si>
    <t>par action.</t>
  </si>
  <si>
    <t xml:space="preserve">Le bêta de l'action MEAC est estimé à </t>
  </si>
  <si>
    <t xml:space="preserve">. Ce dernier taux est </t>
  </si>
  <si>
    <t xml:space="preserve">actuellement estimé à </t>
  </si>
  <si>
    <t xml:space="preserve">L'action MEAC cote aujourd'hui </t>
  </si>
  <si>
    <t>; est-elle sous-cotée ou sur-cotée ? Quel est, d'après vous, le coût des fonds</t>
  </si>
  <si>
    <t>propres de la société MEAC ?</t>
  </si>
  <si>
    <t xml:space="preserve">portefeuille de marché et celui des titres à revenus fixes d'un an de durée est de </t>
  </si>
  <si>
    <t xml:space="preserve">et la différence entre la moyenne du rendement annuel du </t>
  </si>
  <si>
    <t xml:space="preserve">On estime que le bénéfice de la société Sx va croître en moyenne de </t>
  </si>
  <si>
    <t xml:space="preserve">Sx distribue </t>
  </si>
  <si>
    <t xml:space="preserve">de son bénéfice, son bêta est estimé à </t>
  </si>
  <si>
    <t>la prime de risque appliquée</t>
  </si>
  <si>
    <t xml:space="preserve">au portefeuille de marché est de l'ordre de </t>
  </si>
  <si>
    <t>et le taux d'intérêt à un an en vigueur sur les placements à revenu</t>
  </si>
  <si>
    <t>fixe est de</t>
  </si>
  <si>
    <t>Le rendement sur les bons du Trésor a été en moyenne sur les six années passées de</t>
  </si>
  <si>
    <t xml:space="preserve">Il est prévu qu'il sera égal à </t>
  </si>
  <si>
    <t>pour l'année n.</t>
  </si>
  <si>
    <t xml:space="preserve">Le coefficient de corrélation des rentabilités de A et de B (rho) est égal à </t>
  </si>
  <si>
    <t xml:space="preserve">a) Si vous investissez </t>
  </si>
  <si>
    <t xml:space="preserve">de votre richesse dans A et </t>
  </si>
  <si>
    <t>sont l'espéreance mathématique et l'écart type de la rentabilité  de votre portefeuille ?</t>
  </si>
  <si>
    <t>dans B, quels</t>
  </si>
  <si>
    <t xml:space="preserve">3) Donnez la composition (3 poids) du portefeuille optimal pour un investisseur qui maximise E(R) - </t>
  </si>
  <si>
    <t>* Var(R).</t>
  </si>
  <si>
    <t xml:space="preserve">Cov(R1,R2) = </t>
  </si>
  <si>
    <t>E(R2)  =</t>
  </si>
  <si>
    <t>E(R1)  =</t>
  </si>
  <si>
    <t>r = taux sans risque  =</t>
  </si>
  <si>
    <t>Var(R1) = Var(R2)  =</t>
  </si>
  <si>
    <t xml:space="preserve">avec une rentabilité espérée au moins égale à </t>
  </si>
  <si>
    <t>avec un ecart-type de rentabilité inférieure ou égale à</t>
  </si>
  <si>
    <t xml:space="preserve">b) Calculez la covariance d'un portefeuille composé de </t>
  </si>
  <si>
    <t>en actif 1,</t>
  </si>
  <si>
    <t xml:space="preserve"> en actif 2 et </t>
  </si>
  <si>
    <t xml:space="preserve">en actif 3 avec un second portefeuille composé de </t>
  </si>
  <si>
    <t>en actif 3.</t>
  </si>
  <si>
    <t xml:space="preserve"> en actif 1, </t>
  </si>
  <si>
    <t>Taux sans risque : r0 =</t>
  </si>
  <si>
    <t>Prime de risque du portefeuille de marché : E(RM)-r0 =</t>
  </si>
  <si>
    <r>
      <t xml:space="preserve">Beta de l'action Meac :  </t>
    </r>
    <r>
      <rPr>
        <sz val="12"/>
        <rFont val="Symbol"/>
        <family val="1"/>
      </rPr>
      <t>b</t>
    </r>
    <r>
      <rPr>
        <sz val="9.6"/>
        <rFont val="Arial"/>
        <family val="2"/>
      </rPr>
      <t xml:space="preserve"> =</t>
    </r>
  </si>
  <si>
    <r>
      <t>Taux d'actualisation : r</t>
    </r>
    <r>
      <rPr>
        <vertAlign val="subscript"/>
        <sz val="12"/>
        <rFont val="Arial"/>
        <family val="2"/>
      </rPr>
      <t>Meac</t>
    </r>
    <r>
      <rPr>
        <sz val="12"/>
        <rFont val="Arial"/>
        <family val="2"/>
      </rPr>
      <t xml:space="preserve"> = </t>
    </r>
  </si>
  <si>
    <t xml:space="preserve">Taux de croissance du dividende : g = </t>
  </si>
  <si>
    <t xml:space="preserve">Dividende courant : D1 = </t>
  </si>
  <si>
    <r>
      <t>Taux de rendement requis par le marché : r</t>
    </r>
    <r>
      <rPr>
        <vertAlign val="subscript"/>
        <sz val="12"/>
        <rFont val="Arial"/>
        <family val="2"/>
      </rPr>
      <t>Meac</t>
    </r>
    <r>
      <rPr>
        <sz val="12"/>
        <rFont val="Arial"/>
        <family val="2"/>
      </rPr>
      <t xml:space="preserve"> = </t>
    </r>
  </si>
  <si>
    <t xml:space="preserve">Valeur de Marché de l'action Meac : P = </t>
  </si>
  <si>
    <r>
      <t xml:space="preserve">Beta de Sx : </t>
    </r>
    <r>
      <rPr>
        <sz val="12"/>
        <rFont val="Symbol"/>
        <family val="1"/>
      </rPr>
      <t>b</t>
    </r>
    <r>
      <rPr>
        <sz val="9.6"/>
        <rFont val="Arial"/>
        <family val="2"/>
      </rPr>
      <t xml:space="preserve"> = </t>
    </r>
  </si>
  <si>
    <t xml:space="preserve">km = </t>
  </si>
  <si>
    <t xml:space="preserve">Kzz = </t>
  </si>
  <si>
    <r>
      <t>Taux sans risque : r</t>
    </r>
    <r>
      <rPr>
        <vertAlign val="subscript"/>
        <sz val="12"/>
        <rFont val="Arial"/>
        <family val="2"/>
      </rPr>
      <t xml:space="preserve">0 </t>
    </r>
    <r>
      <rPr>
        <sz val="12"/>
        <rFont val="Arial"/>
        <family val="2"/>
      </rPr>
      <t>=</t>
    </r>
  </si>
  <si>
    <r>
      <t xml:space="preserve">beta de ZZ : </t>
    </r>
    <r>
      <rPr>
        <sz val="12"/>
        <rFont val="Symbol"/>
        <family val="1"/>
      </rPr>
      <t>b</t>
    </r>
    <r>
      <rPr>
        <sz val="9.6"/>
        <rFont val="Arial"/>
        <family val="2"/>
      </rPr>
      <t xml:space="preserve"> =</t>
    </r>
  </si>
  <si>
    <t>x =</t>
  </si>
  <si>
    <t>x' =</t>
  </si>
  <si>
    <t>ans et comme l'on ne peut espérer que cette croissance se poursuive indéfiniment, on supposera le bénéfice constant par la suite.</t>
  </si>
  <si>
    <t xml:space="preserve">par an pendant </t>
  </si>
  <si>
    <t>soit V valeur de l'action, B le benefice actuel, td le taux distribution des bénéfices et nc le durée de la croissance</t>
  </si>
  <si>
    <r>
      <t>x</t>
    </r>
    <r>
      <rPr>
        <b/>
        <vertAlign val="superscript"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=</t>
    </r>
  </si>
  <si>
    <t>Ω =</t>
  </si>
  <si>
    <r>
      <t>x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=</t>
    </r>
  </si>
  <si>
    <t>Portefeuille de rentabilité espérée supérieur à  :</t>
  </si>
  <si>
    <t xml:space="preserve">Portefeuille d'écart-type de rentabilité inférieure ou égale à  : </t>
  </si>
  <si>
    <t>F =</t>
  </si>
  <si>
    <t>t</t>
  </si>
  <si>
    <r>
      <t>Δ*V</t>
    </r>
    <r>
      <rPr>
        <b/>
        <vertAlign val="superscript"/>
        <sz val="12"/>
        <rFont val="Arial"/>
        <family val="2"/>
      </rPr>
      <t xml:space="preserve">-1 </t>
    </r>
    <r>
      <rPr>
        <b/>
        <sz val="12"/>
        <rFont val="Arial"/>
        <family val="2"/>
      </rPr>
      <t>=</t>
    </r>
  </si>
  <si>
    <t>I =</t>
  </si>
  <si>
    <t>a* =</t>
  </si>
  <si>
    <t>Espérance u</t>
  </si>
  <si>
    <t>Variance u</t>
  </si>
  <si>
    <r>
      <t>E(R(u)) = a</t>
    </r>
    <r>
      <rPr>
        <b/>
        <vertAlign val="superscript"/>
        <sz val="12"/>
        <rFont val="Arial"/>
        <family val="2"/>
      </rPr>
      <t>*</t>
    </r>
    <r>
      <rPr>
        <b/>
        <sz val="12"/>
        <rFont val="Arial"/>
        <family val="2"/>
      </rPr>
      <t>E(R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)+(1-a*)E(R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</si>
  <si>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Var(R(u)) = (a</t>
    </r>
    <r>
      <rPr>
        <b/>
        <vertAlign val="superscript"/>
        <sz val="12"/>
        <rFont val="Arial"/>
        <family val="2"/>
      </rPr>
      <t>*)2</t>
    </r>
    <r>
      <rPr>
        <b/>
        <sz val="12"/>
        <rFont val="Arial"/>
        <family val="2"/>
      </rPr>
      <t>Var(R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)+(1-a*)</t>
    </r>
    <r>
      <rPr>
        <b/>
        <vertAlign val="superscript"/>
        <sz val="12"/>
        <rFont val="Arial"/>
        <family val="2"/>
      </rPr>
      <t>2Var</t>
    </r>
    <r>
      <rPr>
        <b/>
        <sz val="12"/>
        <rFont val="Arial"/>
        <family val="2"/>
      </rPr>
      <t>(R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)+2a*(1-a*)Cov(R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,R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</si>
  <si>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 xml:space="preserve">Le portefeuille t est composé d'une proportion x1=x d'actif 1 et x2=1-x d'actif 2. </t>
  </si>
  <si>
    <r>
      <t>- sur la branche H au nord-est de t,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&gt; 1-x par conséquent 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&lt; x</t>
    </r>
  </si>
  <si>
    <t>x &lt;</t>
  </si>
  <si>
    <t xml:space="preserve">Poids à investir dans Actif 1 </t>
  </si>
  <si>
    <t>1-x &gt;</t>
  </si>
  <si>
    <t>et</t>
  </si>
  <si>
    <t>x compris entre</t>
  </si>
  <si>
    <t>1-x compris entre</t>
  </si>
  <si>
    <t>Poids à investir dans Actif 1:</t>
  </si>
  <si>
    <t>Poids à investir dans Actif 2 :</t>
  </si>
  <si>
    <t>Poids à investir dans Actif 1 :</t>
  </si>
  <si>
    <r>
      <t>On peut également calculer beta en faisant une régression linéaire des R</t>
    </r>
    <r>
      <rPr>
        <b/>
        <vertAlign val="subscript"/>
        <sz val="10"/>
        <rFont val="Arial"/>
        <family val="2"/>
      </rPr>
      <t>zz</t>
    </r>
    <r>
      <rPr>
        <b/>
        <sz val="10"/>
        <rFont val="Arial"/>
        <family val="2"/>
      </rPr>
      <t xml:space="preserve"> sur les 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dans Excel</t>
    </r>
  </si>
  <si>
    <r>
      <t>x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>1 =</t>
    </r>
  </si>
  <si>
    <r>
      <t>x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 xml:space="preserve">R &gt;= </t>
    </r>
  </si>
  <si>
    <t>Soit X la proportion à investir dans A :</t>
  </si>
  <si>
    <r>
      <t xml:space="preserve"> ==&gt;           x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+x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 xml:space="preserve">                     =</t>
    </r>
  </si>
  <si>
    <r>
      <t>x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 xml:space="preserve">Var(Rp)x &lt;= </t>
    </r>
  </si>
  <si>
    <r>
      <t xml:space="preserve"> ==&gt;   x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E(R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)+x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E(R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)       &gt;=</t>
    </r>
  </si>
  <si>
    <t xml:space="preserve"> ==&gt;           Delta                 =</t>
  </si>
  <si>
    <t xml:space="preserve"> ==&gt;           X'                      &gt;=</t>
  </si>
  <si>
    <t xml:space="preserve"> ==&gt;           X''                     &lt;=</t>
  </si>
  <si>
    <t xml:space="preserve">   =====&gt;</t>
  </si>
  <si>
    <r>
      <t xml:space="preserve"> u2&lt;x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&lt; 1 et 0&lt;x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&lt;u1</t>
    </r>
  </si>
  <si>
    <t>En effet,  tout portefeuille efficient est une combinaison linéaire du portefeuille t et de l'actif sans risque :</t>
  </si>
  <si>
    <t xml:space="preserve">Soit X la proportion à investir dans l'actif 2 :               ====&gt;  </t>
  </si>
  <si>
    <r>
      <t>(R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(t)-k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)</t>
    </r>
  </si>
  <si>
    <r>
      <t>(R</t>
    </r>
    <r>
      <rPr>
        <b/>
        <vertAlign val="subscript"/>
        <sz val="12"/>
        <rFont val="Arial"/>
        <family val="2"/>
      </rPr>
      <t>zz</t>
    </r>
    <r>
      <rPr>
        <b/>
        <sz val="12"/>
        <rFont val="Arial"/>
        <family val="2"/>
      </rPr>
      <t>(t)-k</t>
    </r>
    <r>
      <rPr>
        <b/>
        <vertAlign val="subscript"/>
        <sz val="12"/>
        <rFont val="Arial"/>
        <family val="2"/>
      </rPr>
      <t>zz</t>
    </r>
    <r>
      <rPr>
        <b/>
        <sz val="12"/>
        <rFont val="Arial"/>
        <family val="2"/>
      </rPr>
      <t>)</t>
    </r>
  </si>
  <si>
    <r>
      <t>(R</t>
    </r>
    <r>
      <rPr>
        <b/>
        <vertAlign val="subscript"/>
        <sz val="12"/>
        <rFont val="Arial"/>
        <family val="2"/>
      </rPr>
      <t>zz</t>
    </r>
    <r>
      <rPr>
        <b/>
        <sz val="12"/>
        <rFont val="Arial"/>
        <family val="2"/>
      </rPr>
      <t>(t)-k</t>
    </r>
    <r>
      <rPr>
        <b/>
        <vertAlign val="subscript"/>
        <sz val="12"/>
        <rFont val="Arial"/>
        <family val="2"/>
      </rPr>
      <t>zz</t>
    </r>
    <r>
      <rPr>
        <b/>
        <sz val="12"/>
        <rFont val="Arial"/>
        <family val="2"/>
      </rPr>
      <t>)(R</t>
    </r>
    <r>
      <rPr>
        <b/>
        <vertAlign val="subscript"/>
        <sz val="12"/>
        <rFont val="Arial"/>
        <family val="2"/>
      </rPr>
      <t>m</t>
    </r>
    <r>
      <rPr>
        <b/>
        <sz val="12"/>
        <rFont val="Arial"/>
        <family val="2"/>
      </rPr>
      <t>(t)-k</t>
    </r>
    <r>
      <rPr>
        <b/>
        <vertAlign val="subscript"/>
        <sz val="12"/>
        <rFont val="Arial"/>
        <family val="2"/>
      </rPr>
      <t>m</t>
    </r>
    <r>
      <rPr>
        <b/>
        <sz val="12"/>
        <rFont val="Arial"/>
        <family val="2"/>
      </rPr>
      <t>)</t>
    </r>
  </si>
  <si>
    <t>***</t>
  </si>
  <si>
    <t>Portefeuille d'écart-type       &lt; ou =</t>
  </si>
  <si>
    <t xml:space="preserve">et de rentabilité       &gt; ou =  </t>
  </si>
  <si>
    <r>
      <t xml:space="preserve"> ==&gt;   (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+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-2r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A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)X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-2(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-r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A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)X+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 &lt;=</t>
    </r>
  </si>
  <si>
    <r>
      <t>==&gt;            x</t>
    </r>
    <r>
      <rPr>
        <b/>
        <vertAlign val="subscript"/>
        <sz val="10"/>
        <rFont val="Arial"/>
        <family val="2"/>
      </rPr>
      <t>A</t>
    </r>
    <r>
      <rPr>
        <b/>
        <vertAlign val="superscript"/>
        <sz val="10"/>
        <rFont val="Arial"/>
        <family val="2"/>
      </rPr>
      <t>2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+x</t>
    </r>
    <r>
      <rPr>
        <b/>
        <vertAlign val="subscript"/>
        <sz val="10"/>
        <rFont val="Arial"/>
        <family val="2"/>
      </rP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+2r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A</t>
    </r>
    <r>
      <rPr>
        <b/>
        <sz val="10"/>
        <rFont val="Symbol"/>
        <family val="1"/>
      </rPr>
      <t>s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x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x</t>
    </r>
    <r>
      <rPr>
        <b/>
        <vertAlign val="subscript"/>
        <sz val="10"/>
        <rFont val="Arial"/>
        <family val="2"/>
      </rPr>
      <t xml:space="preserve">B        </t>
    </r>
    <r>
      <rPr>
        <b/>
        <sz val="10"/>
        <rFont val="Arial"/>
        <family val="2"/>
      </rPr>
      <t xml:space="preserve">     &lt;=</t>
    </r>
  </si>
  <si>
    <t xml:space="preserve">en actif 2 et </t>
  </si>
  <si>
    <r>
      <t>x = (E</t>
    </r>
    <r>
      <rPr>
        <b/>
        <vertAlign val="subscript"/>
        <sz val="10"/>
        <rFont val="Arial"/>
        <family val="2"/>
      </rPr>
      <t xml:space="preserve">t </t>
    </r>
    <r>
      <rPr>
        <b/>
        <sz val="10"/>
        <rFont val="Arial"/>
        <family val="2"/>
      </rPr>
      <t>- 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)/(2aV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)</t>
    </r>
  </si>
  <si>
    <r>
      <t xml:space="preserve"> ==&gt;   XE(R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)+(1-X)E(R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>)     &gt;=</t>
    </r>
  </si>
  <si>
    <r>
      <t xml:space="preserve"> ==&gt;           x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+x</t>
    </r>
    <r>
      <rPr>
        <b/>
        <vertAlign val="subscript"/>
        <sz val="10"/>
        <rFont val="Arial"/>
        <family val="2"/>
      </rPr>
      <t>B</t>
    </r>
    <r>
      <rPr>
        <b/>
        <sz val="10"/>
        <rFont val="Arial"/>
        <family val="2"/>
      </rPr>
      <t xml:space="preserve">                =</t>
    </r>
  </si>
  <si>
    <t xml:space="preserve"> ==&gt;            X                    &lt;=</t>
  </si>
  <si>
    <t>KORBA</t>
  </si>
  <si>
    <t>note /1,25 :</t>
  </si>
  <si>
    <t>note /1,5 :</t>
  </si>
  <si>
    <t>note /1 :</t>
  </si>
  <si>
    <t>note /3,25 :</t>
  </si>
  <si>
    <t xml:space="preserve">1) Pour les exercices 1 et 2 veuillez consulter le document de cours concernant l'évaluation des actions et le </t>
  </si>
  <si>
    <t xml:space="preserve"> modèle de Gordon Shapiro.</t>
  </si>
  <si>
    <t>Série7</t>
  </si>
  <si>
    <t>et sélectionnez "Utilitaire d'analyse". Si ca ne marche pas il est nécessaire d'avoir le CD Rom Office.</t>
  </si>
  <si>
    <t>au taux de rendement requis par le marché.</t>
  </si>
  <si>
    <t xml:space="preserve"> </t>
  </si>
  <si>
    <t>x_1 =</t>
  </si>
  <si>
    <t>x'_2 =</t>
  </si>
  <si>
    <t>Vt</t>
  </si>
  <si>
    <t>Poids à investir dans le portefeuille tangent</t>
  </si>
  <si>
    <t>Et</t>
  </si>
  <si>
    <t>Variance km</t>
  </si>
  <si>
    <t xml:space="preserve">Pour avoir un portefeuille avec une rentabilité espérée au moins égale à 15% : </t>
  </si>
  <si>
    <t xml:space="preserve">Pour avoir un portefeuille avec ecart-type de rentabilité inférieure ou égale à 6% : </t>
  </si>
  <si>
    <t>souscotée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</si>
</sst>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"/>
    <numFmt numFmtId="166" formatCode="0.0"/>
    <numFmt numFmtId="167" formatCode="0.0000"/>
    <numFmt numFmtId="168" formatCode="0.0000%"/>
    <numFmt numFmtId="169" formatCode="#,##0\ &quot;€&quot;"/>
    <numFmt numFmtId="170" formatCode="0.0000E+00"/>
    <numFmt numFmtId="171" formatCode="#,##0.00\ &quot;€&quot;"/>
    <numFmt numFmtId="172" formatCode="0.00000000000000%"/>
  </numFmts>
  <fonts count="53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2"/>
      <color indexed="8"/>
      <name val="Arial"/>
      <family val="2"/>
    </font>
    <font>
      <sz val="10"/>
      <color indexed="9"/>
      <name val="Arial"/>
      <family val="2"/>
    </font>
    <font>
      <b/>
      <u/>
      <sz val="14"/>
      <color indexed="8"/>
      <name val="Arial"/>
      <family val="2"/>
    </font>
    <font>
      <u/>
      <sz val="10"/>
      <name val="Arial"/>
      <family val="2"/>
    </font>
    <font>
      <b/>
      <sz val="20"/>
      <color indexed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9"/>
      <name val="MS Sans Serif"/>
      <family val="2"/>
    </font>
    <font>
      <sz val="10"/>
      <color indexed="18"/>
      <name val="Arial"/>
      <family val="2"/>
    </font>
    <font>
      <b/>
      <sz val="16"/>
      <color indexed="18"/>
      <name val="Arial"/>
      <family val="2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20"/>
      <color indexed="10"/>
      <name val="MS Sans Serif"/>
      <family val="2"/>
    </font>
    <font>
      <sz val="10"/>
      <name val="Geneva"/>
    </font>
    <font>
      <sz val="10"/>
      <color indexed="63"/>
      <name val="Arial"/>
      <family val="2"/>
    </font>
    <font>
      <i/>
      <u/>
      <sz val="10"/>
      <name val="Arial"/>
      <family val="2"/>
    </font>
    <font>
      <b/>
      <i/>
      <sz val="10"/>
      <name val="Arial"/>
      <family val="2"/>
    </font>
    <font>
      <sz val="10"/>
      <name val="Symbol"/>
      <family val="1"/>
    </font>
    <font>
      <sz val="12"/>
      <name val="Symbol"/>
      <family val="1"/>
    </font>
    <font>
      <vertAlign val="subscript"/>
      <sz val="12"/>
      <name val="Symbol"/>
      <family val="1"/>
    </font>
    <font>
      <vertAlign val="superscript"/>
      <sz val="12"/>
      <name val="Arial"/>
      <family val="2"/>
    </font>
    <font>
      <sz val="10"/>
      <name val="Arial"/>
      <family val="2"/>
    </font>
    <font>
      <i/>
      <u/>
      <sz val="12"/>
      <name val="Arial"/>
      <family val="2"/>
    </font>
    <font>
      <vertAlign val="subscript"/>
      <sz val="10"/>
      <name val="Arial"/>
      <family val="2"/>
    </font>
    <font>
      <vertAlign val="subscript"/>
      <sz val="12"/>
      <name val="Arial"/>
      <family val="2"/>
    </font>
    <font>
      <b/>
      <vertAlign val="subscript"/>
      <sz val="12"/>
      <name val="Arial"/>
      <family val="2"/>
    </font>
    <font>
      <b/>
      <i/>
      <u/>
      <sz val="12"/>
      <name val="Arial"/>
      <family val="2"/>
    </font>
    <font>
      <sz val="9.6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</font>
    <font>
      <b/>
      <sz val="2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MS Sans Serif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MS Sans Serif"/>
      <family val="2"/>
    </font>
    <font>
      <sz val="12"/>
      <color rgb="FFFF0000"/>
      <name val="Arial"/>
      <family val="2"/>
    </font>
    <font>
      <b/>
      <sz val="11"/>
      <color rgb="FF33339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5" fillId="0" borderId="0"/>
    <xf numFmtId="0" fontId="11" fillId="0" borderId="0"/>
    <xf numFmtId="9" fontId="2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0" xfId="0" applyNumberFormat="1" applyBorder="1" applyAlignment="1" applyProtection="1">
      <alignment horizontal="centerContinuous"/>
      <protection hidden="1"/>
    </xf>
    <xf numFmtId="0" fontId="10" fillId="0" borderId="0" xfId="0" applyFont="1" applyProtection="1">
      <protection hidden="1"/>
    </xf>
    <xf numFmtId="0" fontId="4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11" fillId="0" borderId="0" xfId="2" applyAlignment="1" applyProtection="1">
      <alignment horizontal="center"/>
      <protection hidden="1"/>
    </xf>
    <xf numFmtId="0" fontId="11" fillId="0" borderId="0" xfId="2" applyProtection="1">
      <protection hidden="1"/>
    </xf>
    <xf numFmtId="0" fontId="18" fillId="0" borderId="0" xfId="2" applyFont="1" applyProtection="1">
      <protection hidden="1"/>
    </xf>
    <xf numFmtId="0" fontId="0" fillId="2" borderId="0" xfId="0" applyFill="1"/>
    <xf numFmtId="0" fontId="20" fillId="3" borderId="1" xfId="0" applyFont="1" applyFill="1" applyBorder="1" applyAlignment="1">
      <alignment horizontal="center"/>
    </xf>
    <xf numFmtId="0" fontId="21" fillId="3" borderId="2" xfId="0" applyFont="1" applyFill="1" applyBorder="1"/>
    <xf numFmtId="0" fontId="16" fillId="2" borderId="0" xfId="0" applyFont="1" applyFill="1" applyBorder="1"/>
    <xf numFmtId="0" fontId="9" fillId="2" borderId="0" xfId="0" applyFont="1" applyFill="1" applyBorder="1"/>
    <xf numFmtId="0" fontId="1" fillId="4" borderId="3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21" fillId="3" borderId="4" xfId="0" applyFont="1" applyFill="1" applyBorder="1"/>
    <xf numFmtId="0" fontId="12" fillId="2" borderId="0" xfId="2" applyFont="1" applyFill="1" applyProtection="1">
      <protection hidden="1"/>
    </xf>
    <xf numFmtId="0" fontId="13" fillId="2" borderId="0" xfId="2" applyFont="1" applyFill="1" applyProtection="1">
      <protection hidden="1"/>
    </xf>
    <xf numFmtId="0" fontId="12" fillId="2" borderId="4" xfId="2" applyFont="1" applyFill="1" applyBorder="1" applyProtection="1">
      <protection hidden="1"/>
    </xf>
    <xf numFmtId="0" fontId="13" fillId="2" borderId="2" xfId="2" applyFont="1" applyFill="1" applyBorder="1" applyProtection="1">
      <protection hidden="1"/>
    </xf>
    <xf numFmtId="0" fontId="24" fillId="2" borderId="1" xfId="2" applyFont="1" applyFill="1" applyBorder="1" applyAlignment="1" applyProtection="1">
      <alignment horizontal="center"/>
      <protection hidden="1"/>
    </xf>
    <xf numFmtId="10" fontId="16" fillId="2" borderId="0" xfId="0" applyNumberFormat="1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Protection="1">
      <protection hidden="1"/>
    </xf>
    <xf numFmtId="0" fontId="7" fillId="4" borderId="1" xfId="0" applyFont="1" applyFill="1" applyBorder="1" applyProtection="1">
      <protection hidden="1"/>
    </xf>
    <xf numFmtId="0" fontId="7" fillId="4" borderId="2" xfId="0" applyFont="1" applyFill="1" applyBorder="1" applyProtection="1">
      <protection hidden="1"/>
    </xf>
    <xf numFmtId="0" fontId="16" fillId="2" borderId="0" xfId="0" applyFont="1" applyFill="1"/>
    <xf numFmtId="0" fontId="17" fillId="2" borderId="0" xfId="0" applyFont="1" applyFill="1"/>
    <xf numFmtId="0" fontId="16" fillId="0" borderId="0" xfId="0" applyFont="1" applyProtection="1">
      <protection hidden="1"/>
    </xf>
    <xf numFmtId="0" fontId="15" fillId="2" borderId="0" xfId="0" applyFont="1" applyFill="1" applyProtection="1">
      <protection hidden="1"/>
    </xf>
    <xf numFmtId="0" fontId="16" fillId="0" borderId="0" xfId="0" applyFont="1" applyAlignment="1" applyProtection="1">
      <alignment horizontal="center"/>
      <protection hidden="1"/>
    </xf>
    <xf numFmtId="14" fontId="16" fillId="0" borderId="0" xfId="0" applyNumberFormat="1" applyFont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center"/>
      <protection hidden="1"/>
    </xf>
    <xf numFmtId="2" fontId="16" fillId="2" borderId="0" xfId="0" applyNumberFormat="1" applyFont="1" applyFill="1" applyBorder="1" applyAlignment="1" applyProtection="1">
      <alignment horizontal="center"/>
      <protection locked="0" hidden="1"/>
    </xf>
    <xf numFmtId="0" fontId="3" fillId="2" borderId="4" xfId="0" applyFont="1" applyFill="1" applyBorder="1"/>
    <xf numFmtId="0" fontId="3" fillId="5" borderId="5" xfId="0" applyFont="1" applyFill="1" applyBorder="1" applyAlignment="1" applyProtection="1">
      <alignment horizontal="center"/>
      <protection hidden="1"/>
    </xf>
    <xf numFmtId="0" fontId="22" fillId="5" borderId="3" xfId="0" applyFont="1" applyFill="1" applyBorder="1" applyAlignment="1" applyProtection="1">
      <alignment horizontal="center"/>
      <protection hidden="1"/>
    </xf>
    <xf numFmtId="0" fontId="22" fillId="5" borderId="3" xfId="0" applyNumberFormat="1" applyFont="1" applyFill="1" applyBorder="1" applyAlignment="1" applyProtection="1">
      <alignment horizontal="center"/>
      <protection hidden="1"/>
    </xf>
    <xf numFmtId="0" fontId="16" fillId="4" borderId="3" xfId="0" applyNumberFormat="1" applyFont="1" applyFill="1" applyBorder="1" applyAlignment="1" applyProtection="1">
      <alignment horizontal="center"/>
      <protection locked="0" hidden="1"/>
    </xf>
    <xf numFmtId="49" fontId="16" fillId="4" borderId="3" xfId="0" applyNumberFormat="1" applyFont="1" applyFill="1" applyBorder="1" applyAlignment="1" applyProtection="1">
      <alignment horizontal="center"/>
      <protection locked="0" hidden="1"/>
    </xf>
    <xf numFmtId="0" fontId="17" fillId="2" borderId="1" xfId="0" applyFont="1" applyFill="1" applyBorder="1"/>
    <xf numFmtId="0" fontId="17" fillId="2" borderId="2" xfId="0" applyFont="1" applyFill="1" applyBorder="1"/>
    <xf numFmtId="0" fontId="3" fillId="2" borderId="6" xfId="0" applyFont="1" applyFill="1" applyBorder="1"/>
    <xf numFmtId="0" fontId="17" fillId="2" borderId="0" xfId="0" applyFont="1" applyFill="1" applyBorder="1"/>
    <xf numFmtId="0" fontId="17" fillId="2" borderId="7" xfId="0" applyFont="1" applyFill="1" applyBorder="1"/>
    <xf numFmtId="0" fontId="17" fillId="2" borderId="6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10" xfId="0" applyFont="1" applyFill="1" applyBorder="1"/>
    <xf numFmtId="0" fontId="16" fillId="6" borderId="4" xfId="0" applyFont="1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15" fillId="0" borderId="0" xfId="0" applyFont="1" applyProtection="1">
      <protection hidden="1"/>
    </xf>
    <xf numFmtId="0" fontId="0" fillId="3" borderId="4" xfId="0" applyFill="1" applyBorder="1"/>
    <xf numFmtId="0" fontId="19" fillId="3" borderId="1" xfId="0" applyFont="1" applyFill="1" applyBorder="1"/>
    <xf numFmtId="0" fontId="0" fillId="3" borderId="2" xfId="0" applyFill="1" applyBorder="1"/>
    <xf numFmtId="49" fontId="17" fillId="2" borderId="6" xfId="0" applyNumberFormat="1" applyFont="1" applyFill="1" applyBorder="1"/>
    <xf numFmtId="0" fontId="17" fillId="2" borderId="4" xfId="0" applyFont="1" applyFill="1" applyBorder="1"/>
    <xf numFmtId="49" fontId="17" fillId="2" borderId="0" xfId="0" applyNumberFormat="1" applyFont="1" applyFill="1" applyBorder="1"/>
    <xf numFmtId="10" fontId="16" fillId="4" borderId="3" xfId="0" applyNumberFormat="1" applyFont="1" applyFill="1" applyBorder="1" applyAlignment="1" applyProtection="1">
      <alignment horizontal="center"/>
      <protection locked="0" hidden="1"/>
    </xf>
    <xf numFmtId="0" fontId="12" fillId="2" borderId="0" xfId="2" applyFont="1" applyFill="1" applyBorder="1" applyProtection="1">
      <protection hidden="1"/>
    </xf>
    <xf numFmtId="0" fontId="24" fillId="2" borderId="0" xfId="2" applyFont="1" applyFill="1" applyBorder="1" applyAlignment="1" applyProtection="1">
      <alignment horizontal="center"/>
      <protection hidden="1"/>
    </xf>
    <xf numFmtId="0" fontId="13" fillId="2" borderId="0" xfId="2" applyFont="1" applyFill="1" applyBorder="1" applyProtection="1">
      <protection hidden="1"/>
    </xf>
    <xf numFmtId="0" fontId="0" fillId="6" borderId="1" xfId="0" applyFill="1" applyBorder="1" applyProtection="1">
      <protection hidden="1"/>
    </xf>
    <xf numFmtId="2" fontId="16" fillId="4" borderId="3" xfId="0" applyNumberFormat="1" applyFont="1" applyFill="1" applyBorder="1" applyAlignment="1" applyProtection="1">
      <alignment horizontal="center"/>
      <protection locked="0" hidden="1"/>
    </xf>
    <xf numFmtId="10" fontId="0" fillId="0" borderId="0" xfId="0" applyNumberFormat="1" applyProtection="1">
      <protection hidden="1"/>
    </xf>
    <xf numFmtId="0" fontId="16" fillId="6" borderId="2" xfId="0" applyFont="1" applyFill="1" applyBorder="1" applyAlignment="1" applyProtection="1">
      <alignment horizontal="center"/>
      <protection hidden="1"/>
    </xf>
    <xf numFmtId="0" fontId="10" fillId="2" borderId="0" xfId="0" applyFont="1" applyFill="1" applyProtection="1">
      <protection hidden="1"/>
    </xf>
    <xf numFmtId="0" fontId="14" fillId="2" borderId="0" xfId="0" applyFont="1" applyFill="1" applyProtection="1">
      <protection hidden="1"/>
    </xf>
    <xf numFmtId="0" fontId="15" fillId="2" borderId="0" xfId="0" applyFont="1" applyFill="1" applyAlignment="1" applyProtection="1">
      <alignment horizontal="center"/>
      <protection hidden="1"/>
    </xf>
    <xf numFmtId="0" fontId="18" fillId="2" borderId="0" xfId="2" applyFont="1" applyFill="1" applyProtection="1">
      <protection hidden="1"/>
    </xf>
    <xf numFmtId="0" fontId="16" fillId="2" borderId="0" xfId="0" applyFont="1" applyFill="1" applyProtection="1">
      <protection hidden="1"/>
    </xf>
    <xf numFmtId="49" fontId="0" fillId="2" borderId="0" xfId="0" applyNumberFormat="1" applyFill="1"/>
    <xf numFmtId="49" fontId="26" fillId="0" borderId="0" xfId="0" applyNumberFormat="1" applyFont="1" applyAlignment="1" applyProtection="1">
      <alignment horizontal="left"/>
      <protection hidden="1"/>
    </xf>
    <xf numFmtId="0" fontId="16" fillId="2" borderId="0" xfId="0" applyFont="1" applyFill="1" applyAlignment="1" applyProtection="1">
      <alignment horizontal="center"/>
      <protection hidden="1"/>
    </xf>
    <xf numFmtId="14" fontId="16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Protection="1">
      <protection hidden="1"/>
    </xf>
    <xf numFmtId="49" fontId="0" fillId="2" borderId="0" xfId="0" applyNumberFormat="1" applyFill="1" applyProtection="1">
      <protection hidden="1"/>
    </xf>
    <xf numFmtId="0" fontId="17" fillId="2" borderId="0" xfId="0" applyFont="1" applyFill="1" applyBorder="1" applyAlignment="1">
      <alignment horizontal="right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0" fontId="16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33" fillId="0" borderId="0" xfId="0" applyFont="1" applyFill="1" applyBorder="1" applyProtection="1">
      <protection hidden="1"/>
    </xf>
    <xf numFmtId="0" fontId="11" fillId="0" borderId="0" xfId="2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16" fillId="5" borderId="3" xfId="0" applyFont="1" applyFill="1" applyBorder="1" applyAlignment="1" applyProtection="1">
      <alignment horizontal="center"/>
      <protection hidden="1"/>
    </xf>
    <xf numFmtId="0" fontId="21" fillId="3" borderId="4" xfId="0" applyFont="1" applyFill="1" applyBorder="1" applyAlignment="1">
      <alignment horizontal="left"/>
    </xf>
    <xf numFmtId="0" fontId="9" fillId="2" borderId="0" xfId="0" applyFont="1" applyFill="1"/>
    <xf numFmtId="10" fontId="15" fillId="0" borderId="0" xfId="0" applyNumberFormat="1" applyFont="1" applyAlignment="1" applyProtection="1">
      <alignment horizontal="center"/>
      <protection hidden="1"/>
    </xf>
    <xf numFmtId="166" fontId="16" fillId="5" borderId="3" xfId="0" applyNumberFormat="1" applyFont="1" applyFill="1" applyBorder="1" applyAlignment="1" applyProtection="1">
      <alignment horizontal="center"/>
      <protection hidden="1"/>
    </xf>
    <xf numFmtId="2" fontId="1" fillId="5" borderId="5" xfId="0" applyNumberFormat="1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left"/>
      <protection hidden="1"/>
    </xf>
    <xf numFmtId="0" fontId="21" fillId="2" borderId="0" xfId="0" applyFont="1" applyFill="1" applyBorder="1"/>
    <xf numFmtId="0" fontId="9" fillId="2" borderId="0" xfId="0" applyFont="1" applyFill="1" applyProtection="1">
      <protection hidden="1"/>
    </xf>
    <xf numFmtId="0" fontId="3" fillId="2" borderId="0" xfId="0" applyFont="1" applyFill="1"/>
    <xf numFmtId="0" fontId="16" fillId="2" borderId="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0" fillId="2" borderId="0" xfId="0" quotePrefix="1" applyFill="1" applyAlignment="1">
      <alignment horizontal="right"/>
    </xf>
    <xf numFmtId="0" fontId="0" fillId="2" borderId="0" xfId="0" applyFill="1" applyAlignment="1" applyProtection="1">
      <alignment horizontal="right"/>
      <protection hidden="1"/>
    </xf>
    <xf numFmtId="12" fontId="0" fillId="2" borderId="0" xfId="0" applyNumberFormat="1" applyFill="1" applyProtection="1">
      <protection hidden="1"/>
    </xf>
    <xf numFmtId="9" fontId="0" fillId="2" borderId="0" xfId="0" applyNumberFormat="1" applyFill="1"/>
    <xf numFmtId="9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17" fillId="0" borderId="0" xfId="0" applyFont="1" applyFill="1" applyBorder="1"/>
    <xf numFmtId="1" fontId="17" fillId="2" borderId="0" xfId="0" applyNumberFormat="1" applyFont="1" applyFill="1" applyBorder="1"/>
    <xf numFmtId="1" fontId="17" fillId="7" borderId="0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2" fontId="0" fillId="7" borderId="0" xfId="0" applyNumberFormat="1" applyFill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16" fillId="2" borderId="0" xfId="0" applyFont="1" applyFill="1" applyAlignment="1">
      <alignment horizontal="right"/>
    </xf>
    <xf numFmtId="9" fontId="0" fillId="7" borderId="0" xfId="0" applyNumberFormat="1" applyFill="1"/>
    <xf numFmtId="9" fontId="0" fillId="7" borderId="0" xfId="0" applyNumberFormat="1" applyFill="1" applyProtection="1">
      <protection hidden="1"/>
    </xf>
    <xf numFmtId="9" fontId="0" fillId="7" borderId="0" xfId="0" applyNumberFormat="1" applyFill="1" applyAlignment="1" applyProtection="1">
      <alignment horizontal="center"/>
      <protection hidden="1"/>
    </xf>
    <xf numFmtId="9" fontId="16" fillId="2" borderId="0" xfId="0" applyNumberFormat="1" applyFont="1" applyFill="1" applyAlignment="1" applyProtection="1">
      <alignment horizontal="left"/>
      <protection hidden="1"/>
    </xf>
    <xf numFmtId="10" fontId="9" fillId="2" borderId="0" xfId="0" applyNumberFormat="1" applyFont="1" applyFill="1" applyProtection="1">
      <protection hidden="1"/>
    </xf>
    <xf numFmtId="10" fontId="0" fillId="2" borderId="0" xfId="0" applyNumberFormat="1" applyFill="1" applyProtection="1">
      <protection hidden="1"/>
    </xf>
    <xf numFmtId="9" fontId="16" fillId="7" borderId="0" xfId="0" applyNumberFormat="1" applyFont="1" applyFill="1" applyAlignment="1" applyProtection="1">
      <alignment horizontal="left"/>
      <protection hidden="1"/>
    </xf>
    <xf numFmtId="0" fontId="16" fillId="0" borderId="0" xfId="0" applyFont="1" applyAlignment="1" applyProtection="1">
      <alignment horizontal="right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0" xfId="0" applyFont="1" applyFill="1"/>
    <xf numFmtId="0" fontId="0" fillId="8" borderId="0" xfId="0" quotePrefix="1" applyFill="1"/>
    <xf numFmtId="10" fontId="0" fillId="2" borderId="0" xfId="0" applyNumberFormat="1" applyFill="1"/>
    <xf numFmtId="0" fontId="16" fillId="6" borderId="2" xfId="0" applyFont="1" applyFill="1" applyBorder="1" applyAlignment="1" applyProtection="1">
      <alignment horizontal="right"/>
      <protection hidden="1"/>
    </xf>
    <xf numFmtId="0" fontId="16" fillId="8" borderId="0" xfId="0" applyFont="1" applyFill="1" applyBorder="1" applyProtection="1">
      <protection hidden="1"/>
    </xf>
    <xf numFmtId="0" fontId="0" fillId="8" borderId="0" xfId="0" applyFill="1" applyProtection="1">
      <protection hidden="1"/>
    </xf>
    <xf numFmtId="0" fontId="16" fillId="9" borderId="3" xfId="0" applyFont="1" applyFill="1" applyBorder="1" applyAlignment="1">
      <alignment horizontal="center"/>
    </xf>
    <xf numFmtId="0" fontId="16" fillId="9" borderId="3" xfId="0" applyFont="1" applyFill="1" applyBorder="1" applyAlignment="1" applyProtection="1">
      <alignment horizontal="center"/>
      <protection hidden="1"/>
    </xf>
    <xf numFmtId="10" fontId="3" fillId="2" borderId="0" xfId="0" applyNumberFormat="1" applyFont="1" applyFill="1" applyAlignment="1" applyProtection="1">
      <alignment horizontal="left"/>
      <protection hidden="1"/>
    </xf>
    <xf numFmtId="0" fontId="16" fillId="2" borderId="0" xfId="0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left"/>
      <protection hidden="1"/>
    </xf>
    <xf numFmtId="0" fontId="3" fillId="2" borderId="0" xfId="0" applyFont="1" applyFill="1" applyAlignment="1" applyProtection="1">
      <alignment horizontal="left"/>
      <protection hidden="1"/>
    </xf>
    <xf numFmtId="10" fontId="3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 applyProtection="1">
      <alignment horizontal="left"/>
      <protection hidden="1"/>
    </xf>
    <xf numFmtId="0" fontId="3" fillId="2" borderId="0" xfId="0" quotePrefix="1" applyFont="1" applyFill="1" applyAlignment="1" applyProtection="1">
      <alignment horizontal="left"/>
      <protection hidden="1"/>
    </xf>
    <xf numFmtId="11" fontId="3" fillId="2" borderId="0" xfId="0" applyNumberFormat="1" applyFont="1" applyFill="1" applyAlignment="1" applyProtection="1">
      <alignment horizontal="left"/>
      <protection hidden="1"/>
    </xf>
    <xf numFmtId="170" fontId="0" fillId="2" borderId="0" xfId="0" applyNumberFormat="1" applyFill="1" applyProtection="1">
      <protection hidden="1"/>
    </xf>
    <xf numFmtId="11" fontId="0" fillId="2" borderId="0" xfId="0" applyNumberFormat="1" applyFill="1" applyProtection="1">
      <protection hidden="1"/>
    </xf>
    <xf numFmtId="167" fontId="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Fill="1"/>
    <xf numFmtId="0" fontId="17" fillId="2" borderId="0" xfId="0" applyFont="1" applyFill="1" applyAlignment="1" applyProtection="1">
      <alignment horizontal="right"/>
      <protection hidden="1"/>
    </xf>
    <xf numFmtId="0" fontId="3" fillId="6" borderId="3" xfId="0" applyFont="1" applyFill="1" applyBorder="1" applyAlignment="1" applyProtection="1">
      <alignment horizontal="center"/>
      <protection hidden="1"/>
    </xf>
    <xf numFmtId="0" fontId="16" fillId="6" borderId="3" xfId="0" applyFont="1" applyFill="1" applyBorder="1" applyAlignment="1" applyProtection="1">
      <alignment horizontal="center"/>
      <protection hidden="1"/>
    </xf>
    <xf numFmtId="14" fontId="16" fillId="6" borderId="3" xfId="0" applyNumberFormat="1" applyFont="1" applyFill="1" applyBorder="1" applyAlignment="1" applyProtection="1">
      <alignment horizontal="center"/>
      <protection hidden="1"/>
    </xf>
    <xf numFmtId="0" fontId="17" fillId="2" borderId="0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9" fontId="17" fillId="7" borderId="0" xfId="0" applyNumberFormat="1" applyFont="1" applyFill="1" applyBorder="1" applyAlignment="1">
      <alignment horizontal="center"/>
    </xf>
    <xf numFmtId="169" fontId="17" fillId="7" borderId="0" xfId="0" applyNumberFormat="1" applyFont="1" applyFill="1" applyBorder="1" applyAlignment="1">
      <alignment horizontal="center"/>
    </xf>
    <xf numFmtId="10" fontId="17" fillId="7" borderId="0" xfId="0" applyNumberFormat="1" applyFont="1" applyFill="1" applyBorder="1" applyAlignment="1">
      <alignment horizontal="center"/>
    </xf>
    <xf numFmtId="9" fontId="17" fillId="7" borderId="0" xfId="0" applyNumberFormat="1" applyFont="1" applyFill="1" applyBorder="1" applyAlignment="1">
      <alignment horizontal="left"/>
    </xf>
    <xf numFmtId="0" fontId="3" fillId="2" borderId="5" xfId="0" applyFont="1" applyFill="1" applyBorder="1"/>
    <xf numFmtId="0" fontId="17" fillId="7" borderId="7" xfId="0" applyFont="1" applyFill="1" applyBorder="1" applyAlignment="1">
      <alignment horizontal="center"/>
    </xf>
    <xf numFmtId="0" fontId="17" fillId="2" borderId="7" xfId="0" quotePrefix="1" applyFont="1" applyFill="1" applyBorder="1"/>
    <xf numFmtId="9" fontId="17" fillId="7" borderId="7" xfId="0" applyNumberFormat="1" applyFont="1" applyFill="1" applyBorder="1" applyAlignment="1">
      <alignment horizontal="center"/>
    </xf>
    <xf numFmtId="0" fontId="8" fillId="0" borderId="16" xfId="0" applyFont="1" applyBorder="1" applyAlignment="1" applyProtection="1">
      <alignment horizontal="left"/>
      <protection hidden="1"/>
    </xf>
    <xf numFmtId="0" fontId="3" fillId="2" borderId="0" xfId="0" applyNumberFormat="1" applyFont="1" applyFill="1" applyAlignment="1" applyProtection="1">
      <alignment horizontal="left"/>
      <protection hidden="1"/>
    </xf>
    <xf numFmtId="0" fontId="3" fillId="4" borderId="3" xfId="0" applyFont="1" applyFill="1" applyBorder="1" applyAlignment="1" applyProtection="1">
      <alignment horizontal="left"/>
      <protection locked="0" hidden="1"/>
    </xf>
    <xf numFmtId="0" fontId="3" fillId="4" borderId="3" xfId="0" applyNumberFormat="1" applyFont="1" applyFill="1" applyBorder="1" applyAlignment="1" applyProtection="1">
      <alignment horizontal="left"/>
      <protection locked="0" hidden="1"/>
    </xf>
    <xf numFmtId="2" fontId="16" fillId="4" borderId="3" xfId="0" applyNumberFormat="1" applyFont="1" applyFill="1" applyBorder="1" applyAlignment="1" applyProtection="1">
      <alignment horizontal="center"/>
    </xf>
    <xf numFmtId="10" fontId="16" fillId="4" borderId="3" xfId="0" applyNumberFormat="1" applyFont="1" applyFill="1" applyBorder="1" applyAlignment="1" applyProtection="1">
      <alignment horizontal="center"/>
    </xf>
    <xf numFmtId="2" fontId="16" fillId="10" borderId="3" xfId="0" applyNumberFormat="1" applyFont="1" applyFill="1" applyBorder="1" applyAlignment="1" applyProtection="1">
      <alignment horizontal="center"/>
    </xf>
    <xf numFmtId="0" fontId="16" fillId="4" borderId="3" xfId="0" applyNumberFormat="1" applyFont="1" applyFill="1" applyBorder="1" applyAlignment="1" applyProtection="1">
      <alignment horizontal="center"/>
    </xf>
    <xf numFmtId="49" fontId="16" fillId="4" borderId="3" xfId="0" applyNumberFormat="1" applyFont="1" applyFill="1" applyBorder="1" applyAlignment="1" applyProtection="1">
      <alignment horizontal="center"/>
    </xf>
    <xf numFmtId="0" fontId="3" fillId="2" borderId="0" xfId="0" applyFont="1" applyFill="1" applyProtection="1"/>
    <xf numFmtId="167" fontId="3" fillId="2" borderId="0" xfId="0" applyNumberFormat="1" applyFont="1" applyFill="1" applyProtection="1"/>
    <xf numFmtId="0" fontId="3" fillId="2" borderId="0" xfId="0" applyFont="1" applyFill="1" applyAlignment="1" applyProtection="1">
      <alignment horizontal="center"/>
    </xf>
    <xf numFmtId="171" fontId="17" fillId="7" borderId="0" xfId="0" applyNumberFormat="1" applyFont="1" applyFill="1" applyBorder="1" applyAlignment="1">
      <alignment horizontal="center"/>
    </xf>
    <xf numFmtId="10" fontId="16" fillId="2" borderId="0" xfId="0" applyNumberFormat="1" applyFont="1" applyFill="1" applyAlignment="1">
      <alignment horizontal="left"/>
    </xf>
    <xf numFmtId="168" fontId="16" fillId="2" borderId="0" xfId="0" applyNumberFormat="1" applyFont="1" applyFill="1" applyAlignment="1">
      <alignment horizontal="left"/>
    </xf>
    <xf numFmtId="168" fontId="3" fillId="2" borderId="0" xfId="0" applyNumberFormat="1" applyFont="1" applyFill="1" applyAlignment="1" applyProtection="1">
      <alignment horizontal="left"/>
      <protection hidden="1"/>
    </xf>
    <xf numFmtId="10" fontId="9" fillId="2" borderId="0" xfId="0" applyNumberFormat="1" applyFont="1" applyFill="1"/>
    <xf numFmtId="9" fontId="17" fillId="2" borderId="0" xfId="0" applyNumberFormat="1" applyFont="1" applyFill="1" applyBorder="1" applyAlignment="1">
      <alignment horizontal="left"/>
    </xf>
    <xf numFmtId="0" fontId="17" fillId="2" borderId="17" xfId="0" applyFont="1" applyFill="1" applyBorder="1"/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/>
    <xf numFmtId="0" fontId="17" fillId="2" borderId="16" xfId="0" applyFont="1" applyFill="1" applyBorder="1" applyAlignment="1">
      <alignment horizontal="center"/>
    </xf>
    <xf numFmtId="9" fontId="17" fillId="7" borderId="16" xfId="0" applyNumberFormat="1" applyFont="1" applyFill="1" applyBorder="1" applyAlignment="1">
      <alignment horizontal="center"/>
    </xf>
    <xf numFmtId="0" fontId="17" fillId="2" borderId="21" xfId="0" applyFont="1" applyFill="1" applyBorder="1"/>
    <xf numFmtId="9" fontId="17" fillId="7" borderId="22" xfId="0" applyNumberFormat="1" applyFont="1" applyFill="1" applyBorder="1" applyAlignment="1">
      <alignment horizontal="center"/>
    </xf>
    <xf numFmtId="9" fontId="17" fillId="7" borderId="23" xfId="0" applyNumberFormat="1" applyFont="1" applyFill="1" applyBorder="1" applyAlignment="1">
      <alignment horizontal="center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9" fontId="16" fillId="4" borderId="3" xfId="3" applyFont="1" applyFill="1" applyBorder="1" applyAlignment="1" applyProtection="1">
      <alignment horizontal="center"/>
      <protection locked="0" hidden="1"/>
    </xf>
    <xf numFmtId="0" fontId="0" fillId="0" borderId="0" xfId="0" applyFill="1" applyProtection="1">
      <protection hidden="1"/>
    </xf>
    <xf numFmtId="12" fontId="0" fillId="0" borderId="0" xfId="0" applyNumberFormat="1" applyFill="1" applyAlignment="1" applyProtection="1">
      <alignment horizontal="center"/>
      <protection hidden="1"/>
    </xf>
    <xf numFmtId="12" fontId="0" fillId="0" borderId="0" xfId="0" applyNumberFormat="1" applyFill="1" applyProtection="1">
      <protection hidden="1"/>
    </xf>
    <xf numFmtId="1" fontId="0" fillId="0" borderId="0" xfId="0" applyNumberFormat="1" applyFill="1" applyAlignment="1">
      <alignment horizontal="center"/>
    </xf>
    <xf numFmtId="0" fontId="16" fillId="0" borderId="0" xfId="0" applyFont="1" applyFill="1" applyAlignment="1" applyProtection="1">
      <alignment horizontal="right"/>
      <protection hidden="1"/>
    </xf>
    <xf numFmtId="9" fontId="0" fillId="0" borderId="0" xfId="0" applyNumberFormat="1" applyFill="1" applyAlignment="1" applyProtection="1">
      <alignment horizontal="center"/>
      <protection hidden="1"/>
    </xf>
    <xf numFmtId="0" fontId="16" fillId="0" borderId="0" xfId="0" applyFont="1" applyFill="1" applyAlignment="1">
      <alignment horizontal="right"/>
    </xf>
    <xf numFmtId="0" fontId="15" fillId="0" borderId="0" xfId="0" applyFont="1" applyFill="1" applyProtection="1">
      <protection hidden="1"/>
    </xf>
    <xf numFmtId="9" fontId="0" fillId="0" borderId="0" xfId="0" applyNumberFormat="1" applyFill="1"/>
    <xf numFmtId="9" fontId="0" fillId="0" borderId="0" xfId="0" applyNumberFormat="1" applyFill="1" applyProtection="1">
      <protection hidden="1"/>
    </xf>
    <xf numFmtId="0" fontId="12" fillId="0" borderId="0" xfId="2" applyFont="1" applyFill="1" applyProtection="1">
      <protection hidden="1"/>
    </xf>
    <xf numFmtId="0" fontId="45" fillId="2" borderId="0" xfId="0" applyFont="1" applyFill="1" applyProtection="1">
      <protection hidden="1"/>
    </xf>
    <xf numFmtId="0" fontId="45" fillId="2" borderId="0" xfId="0" applyFont="1" applyFill="1" applyAlignment="1" applyProtection="1">
      <alignment horizontal="right"/>
      <protection hidden="1"/>
    </xf>
    <xf numFmtId="0" fontId="46" fillId="2" borderId="0" xfId="0" applyFont="1" applyFill="1" applyAlignment="1" applyProtection="1">
      <alignment horizontal="right"/>
      <protection hidden="1"/>
    </xf>
    <xf numFmtId="0" fontId="46" fillId="2" borderId="0" xfId="0" applyFont="1" applyFill="1"/>
    <xf numFmtId="0" fontId="45" fillId="2" borderId="0" xfId="0" applyFont="1" applyFill="1" applyAlignment="1">
      <alignment horizontal="right"/>
    </xf>
    <xf numFmtId="0" fontId="45" fillId="0" borderId="0" xfId="0" applyFont="1" applyFill="1" applyAlignment="1">
      <alignment horizontal="right"/>
    </xf>
    <xf numFmtId="0" fontId="46" fillId="0" borderId="0" xfId="0" applyFont="1" applyFill="1" applyAlignment="1" applyProtection="1">
      <alignment horizontal="right"/>
      <protection hidden="1"/>
    </xf>
    <xf numFmtId="0" fontId="46" fillId="0" borderId="0" xfId="0" applyFont="1" applyFill="1" applyProtection="1">
      <protection hidden="1"/>
    </xf>
    <xf numFmtId="0" fontId="46" fillId="0" borderId="0" xfId="0" applyFont="1" applyProtection="1">
      <protection hidden="1"/>
    </xf>
    <xf numFmtId="0" fontId="47" fillId="0" borderId="0" xfId="2" applyFont="1" applyProtection="1">
      <protection hidden="1"/>
    </xf>
    <xf numFmtId="0" fontId="48" fillId="0" borderId="0" xfId="0" applyFont="1" applyProtection="1">
      <protection hidden="1"/>
    </xf>
    <xf numFmtId="0" fontId="49" fillId="0" borderId="0" xfId="0" applyFont="1" applyAlignment="1" applyProtection="1">
      <alignment horizontal="center"/>
      <protection hidden="1"/>
    </xf>
    <xf numFmtId="2" fontId="48" fillId="0" borderId="0" xfId="0" applyNumberFormat="1" applyFont="1" applyProtection="1">
      <protection hidden="1"/>
    </xf>
    <xf numFmtId="2" fontId="16" fillId="4" borderId="3" xfId="3" applyNumberFormat="1" applyFont="1" applyFill="1" applyBorder="1" applyAlignment="1" applyProtection="1">
      <alignment horizontal="center"/>
      <protection locked="0" hidden="1"/>
    </xf>
    <xf numFmtId="0" fontId="50" fillId="2" borderId="0" xfId="2" applyFont="1" applyFill="1" applyProtection="1">
      <protection hidden="1"/>
    </xf>
    <xf numFmtId="0" fontId="48" fillId="0" borderId="0" xfId="0" applyFont="1" applyFill="1" applyBorder="1" applyProtection="1">
      <protection hidden="1"/>
    </xf>
    <xf numFmtId="0" fontId="46" fillId="0" borderId="0" xfId="0" applyFont="1" applyFill="1" applyBorder="1" applyProtection="1">
      <protection hidden="1"/>
    </xf>
    <xf numFmtId="0" fontId="47" fillId="0" borderId="0" xfId="2" applyFont="1" applyFill="1" applyBorder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164" fontId="17" fillId="7" borderId="0" xfId="0" applyNumberFormat="1" applyFont="1" applyFill="1" applyBorder="1" applyAlignment="1">
      <alignment horizontal="center"/>
    </xf>
    <xf numFmtId="10" fontId="17" fillId="7" borderId="0" xfId="3" applyNumberFormat="1" applyFont="1" applyFill="1" applyBorder="1" applyAlignment="1">
      <alignment horizontal="center"/>
    </xf>
    <xf numFmtId="10" fontId="17" fillId="7" borderId="9" xfId="3" applyNumberFormat="1" applyFont="1" applyFill="1" applyBorder="1" applyAlignment="1">
      <alignment horizontal="center"/>
    </xf>
    <xf numFmtId="0" fontId="2" fillId="11" borderId="3" xfId="0" applyFont="1" applyFill="1" applyBorder="1" applyAlignment="1" applyProtection="1">
      <alignment textRotation="255"/>
      <protection locked="0"/>
    </xf>
    <xf numFmtId="0" fontId="2" fillId="12" borderId="3" xfId="0" applyFont="1" applyFill="1" applyBorder="1" applyAlignment="1" applyProtection="1">
      <alignment textRotation="255"/>
      <protection locked="0"/>
    </xf>
    <xf numFmtId="9" fontId="0" fillId="12" borderId="3" xfId="0" applyNumberFormat="1" applyFill="1" applyBorder="1" applyAlignment="1" applyProtection="1">
      <alignment horizontal="center"/>
      <protection locked="0"/>
    </xf>
    <xf numFmtId="12" fontId="0" fillId="0" borderId="0" xfId="0" applyNumberFormat="1" applyFill="1" applyAlignment="1" applyProtection="1">
      <alignment horizontal="center"/>
      <protection locked="0"/>
    </xf>
    <xf numFmtId="9" fontId="0" fillId="12" borderId="24" xfId="0" applyNumberFormat="1" applyFill="1" applyBorder="1" applyAlignment="1" applyProtection="1">
      <alignment horizontal="center"/>
      <protection locked="0"/>
    </xf>
    <xf numFmtId="9" fontId="0" fillId="0" borderId="0" xfId="0" applyNumberFormat="1" applyFill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6" fillId="2" borderId="0" xfId="0" applyFont="1" applyFill="1" applyAlignment="1" applyProtection="1">
      <alignment horizontal="right"/>
      <protection locked="0"/>
    </xf>
    <xf numFmtId="12" fontId="0" fillId="12" borderId="3" xfId="0" applyNumberForma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12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14" fontId="16" fillId="0" borderId="0" xfId="0" applyNumberFormat="1" applyFont="1" applyAlignment="1" applyProtection="1">
      <alignment horizontal="center"/>
      <protection locked="0"/>
    </xf>
    <xf numFmtId="9" fontId="0" fillId="12" borderId="11" xfId="0" applyNumberFormat="1" applyFill="1" applyBorder="1" applyAlignment="1" applyProtection="1">
      <alignment horizontal="center"/>
      <protection locked="0"/>
    </xf>
    <xf numFmtId="164" fontId="0" fillId="12" borderId="12" xfId="0" applyNumberFormat="1" applyFill="1" applyBorder="1" applyAlignment="1" applyProtection="1">
      <alignment horizontal="center"/>
      <protection locked="0"/>
    </xf>
    <xf numFmtId="165" fontId="0" fillId="12" borderId="15" xfId="0" applyNumberFormat="1" applyFill="1" applyBorder="1" applyAlignment="1" applyProtection="1">
      <alignment horizontal="center"/>
      <protection locked="0"/>
    </xf>
    <xf numFmtId="9" fontId="3" fillId="12" borderId="3" xfId="0" applyNumberFormat="1" applyFont="1" applyFill="1" applyBorder="1" applyAlignment="1" applyProtection="1">
      <alignment horizontal="left"/>
      <protection locked="0"/>
    </xf>
    <xf numFmtId="10" fontId="3" fillId="12" borderId="3" xfId="0" applyNumberFormat="1" applyFont="1" applyFill="1" applyBorder="1" applyAlignment="1" applyProtection="1">
      <alignment horizontal="left"/>
      <protection locked="0"/>
    </xf>
    <xf numFmtId="0" fontId="0" fillId="12" borderId="3" xfId="0" applyFill="1" applyBorder="1" applyAlignment="1" applyProtection="1">
      <alignment horizontal="right"/>
      <protection hidden="1"/>
    </xf>
    <xf numFmtId="0" fontId="17" fillId="12" borderId="3" xfId="0" applyFont="1" applyFill="1" applyBorder="1" applyAlignment="1" applyProtection="1">
      <alignment horizontal="right"/>
      <protection hidden="1"/>
    </xf>
    <xf numFmtId="168" fontId="0" fillId="2" borderId="0" xfId="3" applyNumberFormat="1" applyFont="1" applyFill="1" applyAlignment="1">
      <alignment horizontal="left"/>
    </xf>
    <xf numFmtId="0" fontId="51" fillId="13" borderId="0" xfId="0" applyFont="1" applyFill="1" applyProtection="1">
      <protection hidden="1"/>
    </xf>
    <xf numFmtId="0" fontId="48" fillId="13" borderId="0" xfId="0" applyFont="1" applyFill="1" applyProtection="1">
      <protection hidden="1"/>
    </xf>
    <xf numFmtId="164" fontId="16" fillId="2" borderId="0" xfId="0" applyNumberFormat="1" applyFont="1" applyFill="1" applyAlignment="1">
      <alignment horizontal="left"/>
    </xf>
    <xf numFmtId="172" fontId="0" fillId="2" borderId="0" xfId="0" applyNumberFormat="1" applyFill="1"/>
    <xf numFmtId="0" fontId="30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4" fillId="10" borderId="17" xfId="0" applyFont="1" applyFill="1" applyBorder="1" applyAlignment="1">
      <alignment horizontal="center" vertical="center"/>
    </xf>
    <xf numFmtId="0" fontId="44" fillId="10" borderId="18" xfId="0" applyFont="1" applyFill="1" applyBorder="1" applyAlignment="1">
      <alignment horizontal="center" vertical="center"/>
    </xf>
    <xf numFmtId="0" fontId="44" fillId="10" borderId="19" xfId="0" applyFont="1" applyFill="1" applyBorder="1" applyAlignment="1">
      <alignment horizontal="center" vertical="center"/>
    </xf>
    <xf numFmtId="0" fontId="44" fillId="10" borderId="20" xfId="0" applyFont="1" applyFill="1" applyBorder="1" applyAlignment="1">
      <alignment horizontal="center" vertical="center"/>
    </xf>
    <xf numFmtId="0" fontId="44" fillId="10" borderId="0" xfId="0" applyFont="1" applyFill="1" applyBorder="1" applyAlignment="1">
      <alignment horizontal="center" vertical="center"/>
    </xf>
    <xf numFmtId="0" fontId="44" fillId="10" borderId="16" xfId="0" applyFont="1" applyFill="1" applyBorder="1" applyAlignment="1">
      <alignment horizontal="center" vertical="center"/>
    </xf>
    <xf numFmtId="0" fontId="44" fillId="10" borderId="21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10" borderId="23" xfId="0" applyFont="1" applyFill="1" applyBorder="1" applyAlignment="1">
      <alignment horizontal="center" vertical="center"/>
    </xf>
    <xf numFmtId="10" fontId="16" fillId="4" borderId="3" xfId="0" applyNumberFormat="1" applyFont="1" applyFill="1" applyBorder="1" applyAlignment="1" applyProtection="1">
      <alignment horizontal="center"/>
      <protection locked="0"/>
    </xf>
  </cellXfs>
  <cellStyles count="4">
    <cellStyle name="- put k2 = y Pputs k1" xfId="1" xr:uid="{00000000-0005-0000-0000-000000000000}"/>
    <cellStyle name="Normal" xfId="0" builtinId="0"/>
    <cellStyle name="Normal_exercice " xfId="2" xr:uid="{00000000-0005-0000-0000-000002000000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161</xdr:row>
      <xdr:rowOff>47625</xdr:rowOff>
    </xdr:from>
    <xdr:to>
      <xdr:col>2</xdr:col>
      <xdr:colOff>352425</xdr:colOff>
      <xdr:row>163</xdr:row>
      <xdr:rowOff>171450</xdr:rowOff>
    </xdr:to>
    <xdr:sp macro="" textlink="">
      <xdr:nvSpPr>
        <xdr:cNvPr id="1025" name="AutoShape 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1219200" y="26508075"/>
          <a:ext cx="942975" cy="54292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361950</xdr:colOff>
      <xdr:row>165</xdr:row>
      <xdr:rowOff>28575</xdr:rowOff>
    </xdr:from>
    <xdr:to>
      <xdr:col>2</xdr:col>
      <xdr:colOff>409575</xdr:colOff>
      <xdr:row>168</xdr:row>
      <xdr:rowOff>38100</xdr:rowOff>
    </xdr:to>
    <xdr:sp macro="" textlink="">
      <xdr:nvSpPr>
        <xdr:cNvPr id="1026" name="AutoShape 9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228725" y="27317700"/>
          <a:ext cx="990600" cy="69532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2049" name="Text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0" y="41624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«{«£#+c9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ssO+ÉÉÁac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{KO£O2JrJj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K«OKG+#{s£É{s£O£O³+s#«+q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KG+ac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£KG++kKG+{ß£+2qb+C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;+#+c9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ssO+{s£O£O#+2{«c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Ks#9{+«³+a#+©2{«c+3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K;OsO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«Ã+£#+©{«c+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k{£K+k+s£q*s{«£+aÁ2{s£O£O#O+sO{«c9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£#+s{«³+cc+k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CKs++£©2{s£O£O³+O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«£K£+#+#K³K#+s#++£Kk§£{«ÉÉ¹qPP2JrJj+£Kk{O+©)«c+OsO3K+aKcs9Ë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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#+¢²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ac+cK+s£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K+s£k{Kac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#+££++s³+c+3{«sK+«+£+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KsC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s;O+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«{«#+ÉÉÁac+KÃ#+³+s£+«sK£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K++£#+2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KG++£c+£{[{s£O³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c«O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«KÃ#++³K+s£{kc+£#+{#«£K{sqPP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I*£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cKc+{k£+#+O«c£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£{«ÉÉÁqPI*£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cKc+Kc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s+s3Ks#9+Ã+K+ÉÉÁAKc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s#«#O+k+ÉÉ¹+s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ss+Ã+IqPI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c«c+c+3c«Ã3Ks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sK+«K³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s£ÑOsO3K+s+£aj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Ak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;+«£#9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«£{3Ks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s++k+s£Ia+s£O+A{«{£K+Is+£#+£O{+K+qP#I*£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cKc+£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c+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«#+3Ks</a:t>
          </a:r>
          <a:b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s+k+s£#+ÉÉÁP</a:t>
          </a:r>
        </a:p>
      </xdr:txBody>
    </xdr:sp>
    <xdr:clientData/>
  </xdr:twoCellAnchor>
  <xdr:twoCellAnchor>
    <xdr:from>
      <xdr:col>1</xdr:col>
      <xdr:colOff>180975</xdr:colOff>
      <xdr:row>121</xdr:row>
      <xdr:rowOff>9525</xdr:rowOff>
    </xdr:from>
    <xdr:to>
      <xdr:col>7</xdr:col>
      <xdr:colOff>600075</xdr:colOff>
      <xdr:row>128</xdr:row>
      <xdr:rowOff>85725</xdr:rowOff>
    </xdr:to>
    <xdr:sp macro="" textlink="" fLocksText="0">
      <xdr:nvSpPr>
        <xdr:cNvPr id="2080" name="Texte 4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>
          <a:spLocks noChangeArrowheads="1"/>
        </xdr:cNvSpPr>
      </xdr:nvSpPr>
      <xdr:spPr bwMode="auto">
        <a:xfrm>
          <a:off x="514350" y="24279225"/>
          <a:ext cx="9401175" cy="1209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13</xdr:row>
          <xdr:rowOff>95250</xdr:rowOff>
        </xdr:from>
        <xdr:to>
          <xdr:col>2</xdr:col>
          <xdr:colOff>533400</xdr:colOff>
          <xdr:row>15</xdr:row>
          <xdr:rowOff>104775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endParaRPr lang="fr-FR" sz="1100" b="1" i="0" u="none" strike="noStrike" baseline="0">
                <a:solidFill>
                  <a:srgbClr val="333399"/>
                </a:solidFill>
                <a:latin typeface="Calibri"/>
                <a:cs typeface="Calibri"/>
              </a:endParaRPr>
            </a:p>
            <a:p>
              <a:pPr algn="ctr" rtl="0">
                <a:defRPr sz="1000"/>
              </a:pPr>
              <a:r>
                <a:rPr lang="fr-FR" sz="1100" b="1" i="0" u="none" strike="noStrike" baseline="0">
                  <a:solidFill>
                    <a:srgbClr val="333399"/>
                  </a:solidFill>
                  <a:latin typeface="Calibri"/>
                  <a:cs typeface="Calibri"/>
                </a:rPr>
                <a:t>33KC+c</a:t>
              </a:r>
            </a:p>
            <a:p>
              <a:pPr algn="ctr" rtl="0">
                <a:defRPr sz="1000"/>
              </a:pPr>
              <a:r>
                <a:rPr lang="fr-FR" sz="1100" b="1" i="0" u="none" strike="noStrike" baseline="0">
                  <a:solidFill>
                    <a:srgbClr val="333399"/>
                  </a:solidFill>
                  <a:latin typeface="Calibri"/>
                  <a:cs typeface="Calibri"/>
                </a:rPr>
                <a:t>{+£K{s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278</xdr:row>
      <xdr:rowOff>190500</xdr:rowOff>
    </xdr:from>
    <xdr:to>
      <xdr:col>4</xdr:col>
      <xdr:colOff>552450</xdr:colOff>
      <xdr:row>281</xdr:row>
      <xdr:rowOff>95250</xdr:rowOff>
    </xdr:to>
    <xdr:pic>
      <xdr:nvPicPr>
        <xdr:cNvPr id="3158" name="Picture 77"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52349400"/>
          <a:ext cx="17526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85</xdr:row>
          <xdr:rowOff>190500</xdr:rowOff>
        </xdr:from>
        <xdr:to>
          <xdr:col>4</xdr:col>
          <xdr:colOff>276225</xdr:colOff>
          <xdr:row>90</xdr:row>
          <xdr:rowOff>171450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172</xdr:row>
          <xdr:rowOff>9525</xdr:rowOff>
        </xdr:from>
        <xdr:to>
          <xdr:col>4</xdr:col>
          <xdr:colOff>847725</xdr:colOff>
          <xdr:row>175</xdr:row>
          <xdr:rowOff>152400</xdr:rowOff>
        </xdr:to>
        <xdr:sp macro="" textlink="">
          <xdr:nvSpPr>
            <xdr:cNvPr id="3117" name="Object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4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199</xdr:row>
          <xdr:rowOff>76200</xdr:rowOff>
        </xdr:from>
        <xdr:to>
          <xdr:col>5</xdr:col>
          <xdr:colOff>1343025</xdr:colOff>
          <xdr:row>203</xdr:row>
          <xdr:rowOff>28575</xdr:rowOff>
        </xdr:to>
        <xdr:sp macro="" textlink="">
          <xdr:nvSpPr>
            <xdr:cNvPr id="3118" name="Object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4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214</xdr:row>
          <xdr:rowOff>9525</xdr:rowOff>
        </xdr:from>
        <xdr:to>
          <xdr:col>5</xdr:col>
          <xdr:colOff>257175</xdr:colOff>
          <xdr:row>217</xdr:row>
          <xdr:rowOff>0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313</xdr:row>
          <xdr:rowOff>57150</xdr:rowOff>
        </xdr:from>
        <xdr:to>
          <xdr:col>4</xdr:col>
          <xdr:colOff>1276350</xdr:colOff>
          <xdr:row>316</xdr:row>
          <xdr:rowOff>9525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990600</xdr:colOff>
          <xdr:row>113</xdr:row>
          <xdr:rowOff>0</xdr:rowOff>
        </xdr:from>
        <xdr:to>
          <xdr:col>5</xdr:col>
          <xdr:colOff>1495425</xdr:colOff>
          <xdr:row>114</xdr:row>
          <xdr:rowOff>104775</xdr:rowOff>
        </xdr:to>
        <xdr:sp macro="" textlink="">
          <xdr:nvSpPr>
            <xdr:cNvPr id="3130" name="Object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4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53</xdr:row>
          <xdr:rowOff>152400</xdr:rowOff>
        </xdr:from>
        <xdr:to>
          <xdr:col>5</xdr:col>
          <xdr:colOff>590550</xdr:colOff>
          <xdr:row>55</xdr:row>
          <xdr:rowOff>123825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63</xdr:row>
          <xdr:rowOff>123825</xdr:rowOff>
        </xdr:from>
        <xdr:to>
          <xdr:col>4</xdr:col>
          <xdr:colOff>952500</xdr:colOff>
          <xdr:row>65</xdr:row>
          <xdr:rowOff>123825</xdr:rowOff>
        </xdr:to>
        <xdr:sp macro="" textlink="">
          <xdr:nvSpPr>
            <xdr:cNvPr id="3132" name="Object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4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12</xdr:row>
          <xdr:rowOff>133350</xdr:rowOff>
        </xdr:from>
        <xdr:to>
          <xdr:col>5</xdr:col>
          <xdr:colOff>1047750</xdr:colOff>
          <xdr:row>14</xdr:row>
          <xdr:rowOff>95250</xdr:rowOff>
        </xdr:to>
        <xdr:sp macro="" textlink="">
          <xdr:nvSpPr>
            <xdr:cNvPr id="3133" name="Object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4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21</xdr:row>
          <xdr:rowOff>95250</xdr:rowOff>
        </xdr:from>
        <xdr:to>
          <xdr:col>5</xdr:col>
          <xdr:colOff>1000125</xdr:colOff>
          <xdr:row>24</xdr:row>
          <xdr:rowOff>123825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37</xdr:row>
          <xdr:rowOff>57150</xdr:rowOff>
        </xdr:from>
        <xdr:to>
          <xdr:col>5</xdr:col>
          <xdr:colOff>838200</xdr:colOff>
          <xdr:row>40</xdr:row>
          <xdr:rowOff>0</xdr:rowOff>
        </xdr:to>
        <xdr:sp macro="" textlink="">
          <xdr:nvSpPr>
            <xdr:cNvPr id="3137" name="Object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4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124</xdr:row>
          <xdr:rowOff>123825</xdr:rowOff>
        </xdr:from>
        <xdr:to>
          <xdr:col>6</xdr:col>
          <xdr:colOff>581025</xdr:colOff>
          <xdr:row>126</xdr:row>
          <xdr:rowOff>66675</xdr:rowOff>
        </xdr:to>
        <xdr:sp macro="" textlink="">
          <xdr:nvSpPr>
            <xdr:cNvPr id="3138" name="Object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4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124</xdr:row>
          <xdr:rowOff>85725</xdr:rowOff>
        </xdr:from>
        <xdr:to>
          <xdr:col>4</xdr:col>
          <xdr:colOff>1390650</xdr:colOff>
          <xdr:row>126</xdr:row>
          <xdr:rowOff>28575</xdr:rowOff>
        </xdr:to>
        <xdr:sp macro="" textlink="">
          <xdr:nvSpPr>
            <xdr:cNvPr id="3139" name="Object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4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137</xdr:row>
          <xdr:rowOff>152400</xdr:rowOff>
        </xdr:from>
        <xdr:to>
          <xdr:col>5</xdr:col>
          <xdr:colOff>638175</xdr:colOff>
          <xdr:row>140</xdr:row>
          <xdr:rowOff>9525</xdr:rowOff>
        </xdr:to>
        <xdr:sp macro="" textlink="">
          <xdr:nvSpPr>
            <xdr:cNvPr id="3140" name="Object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4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781050</xdr:colOff>
          <xdr:row>141</xdr:row>
          <xdr:rowOff>76200</xdr:rowOff>
        </xdr:from>
        <xdr:to>
          <xdr:col>5</xdr:col>
          <xdr:colOff>676275</xdr:colOff>
          <xdr:row>143</xdr:row>
          <xdr:rowOff>28575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923925</xdr:colOff>
          <xdr:row>145</xdr:row>
          <xdr:rowOff>57150</xdr:rowOff>
        </xdr:from>
        <xdr:to>
          <xdr:col>7</xdr:col>
          <xdr:colOff>476250</xdr:colOff>
          <xdr:row>149</xdr:row>
          <xdr:rowOff>123825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187</xdr:row>
          <xdr:rowOff>152400</xdr:rowOff>
        </xdr:from>
        <xdr:to>
          <xdr:col>4</xdr:col>
          <xdr:colOff>1152525</xdr:colOff>
          <xdr:row>192</xdr:row>
          <xdr:rowOff>0</xdr:rowOff>
        </xdr:to>
        <xdr:sp macro="" textlink="">
          <xdr:nvSpPr>
            <xdr:cNvPr id="3145" name="Object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4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306</xdr:row>
          <xdr:rowOff>190500</xdr:rowOff>
        </xdr:from>
        <xdr:to>
          <xdr:col>4</xdr:col>
          <xdr:colOff>276225</xdr:colOff>
          <xdr:row>309</xdr:row>
          <xdr:rowOff>152400</xdr:rowOff>
        </xdr:to>
        <xdr:sp macro="" textlink="">
          <xdr:nvSpPr>
            <xdr:cNvPr id="3148" name="Object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4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297</xdr:row>
          <xdr:rowOff>85725</xdr:rowOff>
        </xdr:from>
        <xdr:to>
          <xdr:col>5</xdr:col>
          <xdr:colOff>1428750</xdr:colOff>
          <xdr:row>300</xdr:row>
          <xdr:rowOff>104775</xdr:rowOff>
        </xdr:to>
        <xdr:sp macro="" textlink="">
          <xdr:nvSpPr>
            <xdr:cNvPr id="3150" name="Object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4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297</xdr:row>
          <xdr:rowOff>95250</xdr:rowOff>
        </xdr:from>
        <xdr:to>
          <xdr:col>4</xdr:col>
          <xdr:colOff>847725</xdr:colOff>
          <xdr:row>300</xdr:row>
          <xdr:rowOff>152400</xdr:rowOff>
        </xdr:to>
        <xdr:sp macro="" textlink="">
          <xdr:nvSpPr>
            <xdr:cNvPr id="3151" name="Object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4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466725</xdr:colOff>
          <xdr:row>297</xdr:row>
          <xdr:rowOff>38100</xdr:rowOff>
        </xdr:from>
        <xdr:to>
          <xdr:col>6</xdr:col>
          <xdr:colOff>1171575</xdr:colOff>
          <xdr:row>300</xdr:row>
          <xdr:rowOff>95250</xdr:rowOff>
        </xdr:to>
        <xdr:sp macro="" textlink="">
          <xdr:nvSpPr>
            <xdr:cNvPr id="3152" name="Object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4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762000</xdr:colOff>
          <xdr:row>69</xdr:row>
          <xdr:rowOff>57150</xdr:rowOff>
        </xdr:from>
        <xdr:to>
          <xdr:col>8</xdr:col>
          <xdr:colOff>19050</xdr:colOff>
          <xdr:row>72</xdr:row>
          <xdr:rowOff>104775</xdr:rowOff>
        </xdr:to>
        <xdr:sp macro="" textlink="">
          <xdr:nvSpPr>
            <xdr:cNvPr id="3153" name="Object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4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69</xdr:row>
          <xdr:rowOff>57150</xdr:rowOff>
        </xdr:from>
        <xdr:to>
          <xdr:col>5</xdr:col>
          <xdr:colOff>9525</xdr:colOff>
          <xdr:row>72</xdr:row>
          <xdr:rowOff>152400</xdr:rowOff>
        </xdr:to>
        <xdr:sp macro="" textlink="">
          <xdr:nvSpPr>
            <xdr:cNvPr id="3154" name="Object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4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1552575</xdr:colOff>
          <xdr:row>212</xdr:row>
          <xdr:rowOff>142875</xdr:rowOff>
        </xdr:from>
        <xdr:to>
          <xdr:col>7</xdr:col>
          <xdr:colOff>800100</xdr:colOff>
          <xdr:row>217</xdr:row>
          <xdr:rowOff>142875</xdr:rowOff>
        </xdr:to>
        <xdr:sp macro="" textlink="">
          <xdr:nvSpPr>
            <xdr:cNvPr id="3156" name="Object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4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347</xdr:row>
          <xdr:rowOff>142875</xdr:rowOff>
        </xdr:from>
        <xdr:to>
          <xdr:col>7</xdr:col>
          <xdr:colOff>133350</xdr:colOff>
          <xdr:row>351</xdr:row>
          <xdr:rowOff>76200</xdr:rowOff>
        </xdr:to>
        <xdr:sp macro="" textlink="">
          <xdr:nvSpPr>
            <xdr:cNvPr id="3157" name="Object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teau\e\COURS\D&#233;riv&#233;s\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50" Type="http://schemas.openxmlformats.org/officeDocument/2006/relationships/oleObject" Target="../embeddings/oleObject24.bin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52" Type="http://schemas.openxmlformats.org/officeDocument/2006/relationships/oleObject" Target="../embeddings/oleObject2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H169"/>
  <sheetViews>
    <sheetView topLeftCell="A34" zoomScale="110" zoomScaleNormal="110" workbookViewId="0">
      <selection activeCell="C42" sqref="C42"/>
    </sheetView>
  </sheetViews>
  <sheetFormatPr baseColWidth="10" defaultColWidth="9.85546875" defaultRowHeight="12.75"/>
  <cols>
    <col min="1" max="1" width="13" style="33" customWidth="1"/>
    <col min="2" max="2" width="14.140625" style="33" customWidth="1"/>
    <col min="3" max="3" width="13" style="33" customWidth="1"/>
    <col min="4" max="4" width="16" style="33" customWidth="1"/>
    <col min="5" max="5" width="16.42578125" style="33" customWidth="1"/>
    <col min="6" max="6" width="13" style="33" customWidth="1"/>
    <col min="7" max="7" width="14.28515625" style="33" customWidth="1"/>
    <col min="8" max="8" width="16.42578125" style="33" customWidth="1"/>
    <col min="9" max="16384" width="9.85546875" style="33"/>
  </cols>
  <sheetData>
    <row r="2" spans="1:8" ht="13.5" thickBot="1"/>
    <row r="3" spans="1:8">
      <c r="D3" s="271" t="s">
        <v>53</v>
      </c>
      <c r="E3" s="272"/>
      <c r="F3" s="272"/>
      <c r="G3" s="273"/>
    </row>
    <row r="4" spans="1:8">
      <c r="D4" s="274"/>
      <c r="E4" s="275"/>
      <c r="F4" s="275"/>
      <c r="G4" s="276"/>
    </row>
    <row r="5" spans="1:8" ht="13.5" thickBot="1">
      <c r="D5" s="277"/>
      <c r="E5" s="278"/>
      <c r="F5" s="278"/>
      <c r="G5" s="279"/>
    </row>
    <row r="6" spans="1:8" ht="15.75">
      <c r="D6" s="32"/>
    </row>
    <row r="7" spans="1:8" ht="15.75">
      <c r="D7" s="32"/>
    </row>
    <row r="8" spans="1:8" ht="15.75">
      <c r="B8" s="33" t="s">
        <v>322</v>
      </c>
      <c r="D8" s="32"/>
    </row>
    <row r="9" spans="1:8" ht="15.75">
      <c r="B9" s="33" t="s">
        <v>323</v>
      </c>
      <c r="D9" s="32"/>
    </row>
    <row r="10" spans="1:8" ht="15.75">
      <c r="B10" s="33" t="s">
        <v>54</v>
      </c>
      <c r="D10" s="32"/>
    </row>
    <row r="11" spans="1:8" ht="15.75">
      <c r="B11" s="33" t="s">
        <v>55</v>
      </c>
      <c r="D11" s="32"/>
    </row>
    <row r="12" spans="1:8" ht="15.75">
      <c r="B12" s="33" t="s">
        <v>56</v>
      </c>
      <c r="D12" s="32"/>
    </row>
    <row r="13" spans="1:8" ht="15.75">
      <c r="B13" s="33" t="s">
        <v>325</v>
      </c>
      <c r="D13" s="32"/>
    </row>
    <row r="14" spans="1:8" ht="15.75">
      <c r="D14" s="32"/>
    </row>
    <row r="15" spans="1:8">
      <c r="A15" s="40" t="s">
        <v>12</v>
      </c>
      <c r="B15" s="46"/>
      <c r="C15" s="46"/>
      <c r="D15" s="46"/>
      <c r="E15" s="46"/>
      <c r="F15" s="46"/>
      <c r="G15" s="46"/>
      <c r="H15" s="47"/>
    </row>
    <row r="16" spans="1:8">
      <c r="A16" s="48"/>
      <c r="B16" s="49"/>
      <c r="C16" s="49"/>
      <c r="D16" s="49"/>
      <c r="E16" s="49"/>
      <c r="F16" s="49"/>
      <c r="G16" s="49"/>
      <c r="H16" s="50"/>
    </row>
    <row r="17" spans="1:8">
      <c r="A17" s="51" t="s">
        <v>205</v>
      </c>
      <c r="B17" s="49"/>
      <c r="C17" s="49"/>
      <c r="D17" s="49"/>
      <c r="E17" s="49"/>
      <c r="F17" s="173">
        <v>5.2499999999999998E-2</v>
      </c>
      <c r="G17" s="49" t="s">
        <v>206</v>
      </c>
      <c r="H17" s="50"/>
    </row>
    <row r="18" spans="1:8">
      <c r="A18" s="51" t="s">
        <v>207</v>
      </c>
      <c r="B18" s="49"/>
      <c r="C18" s="49"/>
      <c r="D18" s="49"/>
      <c r="E18" s="49"/>
      <c r="F18" s="49"/>
      <c r="G18" s="191">
        <v>4.1500000000000004</v>
      </c>
      <c r="H18" s="50" t="s">
        <v>208</v>
      </c>
    </row>
    <row r="19" spans="1:8">
      <c r="A19" s="51" t="s">
        <v>209</v>
      </c>
      <c r="B19" s="49"/>
      <c r="C19" s="49"/>
      <c r="D19" s="170">
        <v>1.8</v>
      </c>
      <c r="E19" s="49" t="s">
        <v>216</v>
      </c>
      <c r="F19" s="49"/>
      <c r="G19" s="49"/>
      <c r="H19" s="50"/>
    </row>
    <row r="20" spans="1:8">
      <c r="A20" s="51" t="s">
        <v>215</v>
      </c>
      <c r="B20" s="49"/>
      <c r="C20" s="49"/>
      <c r="D20" s="49"/>
      <c r="E20" s="49"/>
      <c r="F20" s="173">
        <v>0.03</v>
      </c>
      <c r="G20" s="49" t="s">
        <v>210</v>
      </c>
      <c r="H20" s="50"/>
    </row>
    <row r="21" spans="1:8">
      <c r="A21" s="51" t="s">
        <v>211</v>
      </c>
      <c r="B21" s="49"/>
      <c r="C21" s="173">
        <v>0.05</v>
      </c>
      <c r="D21" s="49"/>
      <c r="E21" s="49"/>
      <c r="F21" s="49"/>
      <c r="G21" s="49"/>
      <c r="H21" s="50"/>
    </row>
    <row r="22" spans="1:8">
      <c r="A22" s="51"/>
      <c r="B22" s="49"/>
      <c r="C22" s="49"/>
      <c r="D22" s="49"/>
      <c r="E22" s="49"/>
      <c r="F22" s="49"/>
      <c r="G22" s="49"/>
      <c r="H22" s="50"/>
    </row>
    <row r="23" spans="1:8">
      <c r="A23" s="51" t="s">
        <v>212</v>
      </c>
      <c r="B23" s="49"/>
      <c r="C23" s="172">
        <v>78</v>
      </c>
      <c r="D23" s="49" t="s">
        <v>213</v>
      </c>
      <c r="E23" s="49"/>
      <c r="F23" s="49"/>
      <c r="G23" s="49"/>
      <c r="H23" s="50"/>
    </row>
    <row r="24" spans="1:8">
      <c r="A24" s="51" t="s">
        <v>214</v>
      </c>
      <c r="B24" s="49"/>
      <c r="C24" s="49"/>
      <c r="D24" s="49"/>
      <c r="E24" s="49"/>
      <c r="F24" s="49"/>
      <c r="G24" s="49"/>
      <c r="H24" s="50"/>
    </row>
    <row r="25" spans="1:8">
      <c r="A25" s="51"/>
      <c r="B25" s="49"/>
      <c r="C25" s="49"/>
      <c r="D25" s="49"/>
      <c r="E25" s="49"/>
      <c r="F25" s="49"/>
      <c r="G25" s="49"/>
      <c r="H25" s="50"/>
    </row>
    <row r="26" spans="1:8">
      <c r="A26" s="40" t="s">
        <v>14</v>
      </c>
      <c r="B26" s="46"/>
      <c r="C26" s="46"/>
      <c r="D26" s="46"/>
      <c r="E26" s="46"/>
      <c r="F26" s="46"/>
      <c r="G26" s="46"/>
      <c r="H26" s="47"/>
    </row>
    <row r="27" spans="1:8">
      <c r="A27" s="51"/>
      <c r="B27" s="49"/>
      <c r="C27" s="49"/>
      <c r="D27" s="49"/>
      <c r="E27" s="49"/>
      <c r="F27" s="49"/>
      <c r="G27" s="49"/>
      <c r="H27" s="50"/>
    </row>
    <row r="28" spans="1:8">
      <c r="A28" s="51" t="s">
        <v>217</v>
      </c>
      <c r="B28" s="49"/>
      <c r="C28" s="49"/>
      <c r="D28" s="49"/>
      <c r="E28" s="196"/>
      <c r="F28" s="173">
        <v>0.14599999999999999</v>
      </c>
      <c r="G28" s="49" t="s">
        <v>263</v>
      </c>
      <c r="H28" s="176">
        <v>5</v>
      </c>
    </row>
    <row r="29" spans="1:8">
      <c r="A29" s="51" t="s">
        <v>262</v>
      </c>
      <c r="B29" s="49"/>
      <c r="C29" s="49"/>
      <c r="D29" s="49"/>
      <c r="E29" s="49"/>
      <c r="F29" s="49"/>
      <c r="G29" s="49"/>
      <c r="H29" s="50"/>
    </row>
    <row r="30" spans="1:8">
      <c r="A30" s="51" t="s">
        <v>218</v>
      </c>
      <c r="B30" s="171">
        <v>0.5</v>
      </c>
      <c r="C30" s="49" t="s">
        <v>219</v>
      </c>
      <c r="D30" s="49"/>
      <c r="E30" s="49"/>
      <c r="F30" s="170">
        <v>1.3</v>
      </c>
      <c r="G30" s="49" t="s">
        <v>220</v>
      </c>
      <c r="H30" s="50"/>
    </row>
    <row r="31" spans="1:8">
      <c r="A31" s="51" t="s">
        <v>221</v>
      </c>
      <c r="B31" s="49"/>
      <c r="C31" s="49"/>
      <c r="D31" s="173">
        <v>0.05</v>
      </c>
      <c r="E31" s="49" t="s">
        <v>222</v>
      </c>
      <c r="F31" s="49"/>
      <c r="G31" s="49"/>
      <c r="H31" s="50"/>
    </row>
    <row r="32" spans="1:8">
      <c r="A32" s="51" t="s">
        <v>223</v>
      </c>
      <c r="B32" s="239">
        <v>7.4999999999999997E-2</v>
      </c>
      <c r="C32" s="49"/>
      <c r="D32" s="49"/>
      <c r="E32" s="49"/>
      <c r="F32" s="49"/>
      <c r="G32" s="49"/>
      <c r="H32" s="50"/>
    </row>
    <row r="33" spans="1:8">
      <c r="A33" s="51"/>
      <c r="B33" s="49"/>
      <c r="C33" s="49"/>
      <c r="D33" s="49"/>
      <c r="E33" s="49"/>
      <c r="F33" s="49"/>
      <c r="G33" s="49"/>
      <c r="H33" s="50"/>
    </row>
    <row r="34" spans="1:8">
      <c r="A34" s="51" t="s">
        <v>15</v>
      </c>
      <c r="B34" s="49"/>
      <c r="C34" s="49"/>
      <c r="D34" s="49"/>
      <c r="E34" s="49"/>
      <c r="F34" s="49"/>
      <c r="G34" s="49"/>
      <c r="H34" s="50"/>
    </row>
    <row r="35" spans="1:8">
      <c r="A35" s="51"/>
      <c r="B35" s="49"/>
      <c r="C35" s="49"/>
      <c r="D35" s="49"/>
      <c r="E35" s="49"/>
      <c r="F35" s="49"/>
      <c r="G35" s="49"/>
      <c r="H35" s="50"/>
    </row>
    <row r="36" spans="1:8">
      <c r="A36" s="40" t="s">
        <v>16</v>
      </c>
      <c r="B36" s="46"/>
      <c r="C36" s="46"/>
      <c r="D36" s="46"/>
      <c r="E36" s="46"/>
      <c r="F36" s="46"/>
      <c r="G36" s="46"/>
      <c r="H36" s="47"/>
    </row>
    <row r="37" spans="1:8">
      <c r="A37" s="48"/>
      <c r="B37" s="49"/>
      <c r="C37" s="49"/>
      <c r="D37" s="49"/>
      <c r="E37" s="49"/>
      <c r="F37" s="49"/>
      <c r="G37" s="49"/>
      <c r="H37" s="50"/>
    </row>
    <row r="38" spans="1:8">
      <c r="A38" s="51" t="s">
        <v>17</v>
      </c>
      <c r="B38" s="49"/>
      <c r="C38" s="49"/>
      <c r="D38" s="49"/>
      <c r="E38" s="49"/>
      <c r="F38" s="49"/>
      <c r="G38" s="49"/>
      <c r="H38" s="50"/>
    </row>
    <row r="39" spans="1:8">
      <c r="A39" s="51"/>
      <c r="B39" s="49"/>
      <c r="C39" s="49"/>
      <c r="D39" s="49"/>
      <c r="E39" s="49"/>
      <c r="F39" s="49"/>
      <c r="G39" s="49"/>
      <c r="H39" s="50"/>
    </row>
    <row r="40" spans="1:8">
      <c r="A40" s="62" t="s">
        <v>18</v>
      </c>
      <c r="B40" s="46"/>
      <c r="C40" s="46" t="s">
        <v>19</v>
      </c>
      <c r="D40" s="46"/>
      <c r="E40" s="46"/>
      <c r="F40" s="46" t="s">
        <v>20</v>
      </c>
      <c r="G40" s="46"/>
      <c r="H40" s="50"/>
    </row>
    <row r="41" spans="1:8">
      <c r="A41" s="51"/>
      <c r="B41" s="49"/>
      <c r="C41" s="49"/>
      <c r="D41" s="49"/>
      <c r="E41" s="49"/>
      <c r="F41" s="49"/>
      <c r="G41" s="49"/>
      <c r="H41" s="50"/>
    </row>
    <row r="42" spans="1:8">
      <c r="A42" s="51" t="s">
        <v>21</v>
      </c>
      <c r="B42" s="49"/>
      <c r="C42" s="240">
        <v>4.4999999999999998E-2</v>
      </c>
      <c r="D42" s="49"/>
      <c r="E42" s="49"/>
      <c r="F42" s="240">
        <v>0.13500000000000001</v>
      </c>
      <c r="G42" s="49"/>
      <c r="H42" s="50"/>
    </row>
    <row r="43" spans="1:8">
      <c r="A43" s="51" t="s">
        <v>22</v>
      </c>
      <c r="B43" s="49"/>
      <c r="C43" s="240">
        <v>-0.01</v>
      </c>
      <c r="D43" s="49"/>
      <c r="E43" s="49"/>
      <c r="F43" s="240">
        <v>-0.105</v>
      </c>
      <c r="G43" s="49"/>
      <c r="H43" s="50"/>
    </row>
    <row r="44" spans="1:8">
      <c r="A44" s="51" t="s">
        <v>23</v>
      </c>
      <c r="B44" s="49"/>
      <c r="C44" s="240">
        <v>7.6999999999999999E-2</v>
      </c>
      <c r="D44" s="49"/>
      <c r="E44" s="49"/>
      <c r="F44" s="240">
        <v>0.155</v>
      </c>
      <c r="G44" s="49"/>
      <c r="H44" s="50"/>
    </row>
    <row r="45" spans="1:8">
      <c r="A45" s="51" t="s">
        <v>24</v>
      </c>
      <c r="B45" s="49"/>
      <c r="C45" s="240">
        <v>-0.02</v>
      </c>
      <c r="D45" s="49"/>
      <c r="E45" s="49"/>
      <c r="F45" s="240">
        <v>-0.1</v>
      </c>
      <c r="G45" s="49"/>
      <c r="H45" s="50"/>
    </row>
    <row r="46" spans="1:8">
      <c r="A46" s="51" t="s">
        <v>25</v>
      </c>
      <c r="B46" s="49"/>
      <c r="C46" s="240">
        <v>0.08</v>
      </c>
      <c r="D46" s="49"/>
      <c r="E46" s="49"/>
      <c r="F46" s="240">
        <v>0.1</v>
      </c>
      <c r="G46" s="49"/>
      <c r="H46" s="50"/>
    </row>
    <row r="47" spans="1:8">
      <c r="A47" s="52" t="s">
        <v>26</v>
      </c>
      <c r="B47" s="53"/>
      <c r="C47" s="241">
        <v>0.09</v>
      </c>
      <c r="D47" s="53"/>
      <c r="E47" s="53"/>
      <c r="F47" s="241">
        <v>0.112</v>
      </c>
      <c r="G47" s="53"/>
      <c r="H47" s="50"/>
    </row>
    <row r="48" spans="1:8">
      <c r="A48" s="51"/>
      <c r="B48" s="49"/>
      <c r="C48" s="49"/>
      <c r="D48" s="49"/>
      <c r="E48" s="49"/>
      <c r="F48" s="49"/>
      <c r="G48" s="49"/>
      <c r="H48" s="50"/>
    </row>
    <row r="49" spans="1:8">
      <c r="A49" s="51" t="s">
        <v>224</v>
      </c>
      <c r="B49" s="49"/>
      <c r="C49" s="49"/>
      <c r="D49" s="49"/>
      <c r="E49" s="49"/>
      <c r="F49" s="49"/>
      <c r="G49" s="173">
        <v>0.03</v>
      </c>
      <c r="H49" s="50"/>
    </row>
    <row r="50" spans="1:8">
      <c r="A50" s="51" t="s">
        <v>225</v>
      </c>
      <c r="B50" s="49"/>
      <c r="C50" s="173">
        <v>0.04</v>
      </c>
      <c r="D50" s="49" t="s">
        <v>226</v>
      </c>
      <c r="E50" s="49"/>
      <c r="F50" s="49"/>
      <c r="G50" s="49"/>
      <c r="H50" s="50"/>
    </row>
    <row r="51" spans="1:8">
      <c r="A51" s="51"/>
      <c r="B51" s="49"/>
      <c r="C51" s="49"/>
      <c r="D51" s="49"/>
      <c r="E51" s="49"/>
      <c r="F51" s="49"/>
      <c r="G51" s="49"/>
      <c r="H51" s="50"/>
    </row>
    <row r="52" spans="1:8">
      <c r="A52" s="51"/>
      <c r="B52" s="49" t="s">
        <v>27</v>
      </c>
      <c r="C52" s="49"/>
      <c r="D52" s="49"/>
      <c r="E52" s="49"/>
      <c r="F52" s="49"/>
      <c r="G52" s="49"/>
      <c r="H52" s="50"/>
    </row>
    <row r="53" spans="1:8">
      <c r="A53" s="51"/>
      <c r="B53" s="49"/>
      <c r="C53" s="49"/>
      <c r="D53" s="49"/>
      <c r="E53" s="49"/>
      <c r="F53" s="49"/>
      <c r="G53" s="49"/>
      <c r="H53" s="50"/>
    </row>
    <row r="54" spans="1:8">
      <c r="A54" s="51"/>
      <c r="B54" s="49"/>
      <c r="C54" s="63" t="s">
        <v>28</v>
      </c>
      <c r="D54" s="49"/>
      <c r="E54" s="49"/>
      <c r="F54" s="49"/>
      <c r="G54" s="49"/>
      <c r="H54" s="50"/>
    </row>
    <row r="55" spans="1:8">
      <c r="A55" s="51"/>
      <c r="B55" s="49"/>
      <c r="C55" s="63" t="s">
        <v>29</v>
      </c>
      <c r="D55" s="49"/>
      <c r="E55" s="49"/>
      <c r="F55" s="49"/>
      <c r="G55" s="49"/>
      <c r="H55" s="50"/>
    </row>
    <row r="56" spans="1:8">
      <c r="A56" s="51"/>
      <c r="B56" s="49"/>
      <c r="C56" s="63" t="s">
        <v>30</v>
      </c>
      <c r="D56" s="49"/>
      <c r="E56" s="49"/>
      <c r="F56" s="49"/>
      <c r="G56" s="49"/>
      <c r="H56" s="50"/>
    </row>
    <row r="57" spans="1:8">
      <c r="A57" s="51"/>
      <c r="B57" s="49"/>
      <c r="C57" s="49"/>
      <c r="D57" s="49"/>
      <c r="E57" s="49"/>
      <c r="F57" s="49"/>
      <c r="G57" s="49"/>
      <c r="H57" s="50"/>
    </row>
    <row r="58" spans="1:8">
      <c r="A58" s="51"/>
      <c r="B58" s="49" t="s">
        <v>31</v>
      </c>
      <c r="C58" s="49"/>
      <c r="D58" s="49"/>
      <c r="E58" s="49"/>
      <c r="F58" s="49"/>
      <c r="G58" s="49"/>
      <c r="H58" s="50"/>
    </row>
    <row r="59" spans="1:8">
      <c r="A59" s="51"/>
      <c r="B59" s="49" t="s">
        <v>32</v>
      </c>
      <c r="C59" s="49"/>
      <c r="D59" s="49"/>
      <c r="E59" s="49"/>
      <c r="F59" s="49"/>
      <c r="G59" s="49"/>
      <c r="H59" s="50"/>
    </row>
    <row r="60" spans="1:8">
      <c r="A60" s="51"/>
      <c r="B60" s="49" t="s">
        <v>33</v>
      </c>
      <c r="C60" s="49"/>
      <c r="D60" s="49"/>
      <c r="E60" s="49"/>
      <c r="F60" s="49"/>
      <c r="G60" s="49"/>
      <c r="H60" s="50"/>
    </row>
    <row r="61" spans="1:8">
      <c r="A61" s="51"/>
      <c r="B61" s="49"/>
      <c r="C61" s="49"/>
      <c r="D61" s="49"/>
      <c r="E61" s="49"/>
      <c r="F61" s="49"/>
      <c r="G61" s="49"/>
      <c r="H61" s="50"/>
    </row>
    <row r="62" spans="1:8">
      <c r="A62" s="40" t="s">
        <v>34</v>
      </c>
      <c r="B62" s="46"/>
      <c r="C62" s="46"/>
      <c r="D62" s="46"/>
      <c r="E62" s="46"/>
      <c r="F62" s="46"/>
      <c r="G62" s="46"/>
      <c r="H62" s="47"/>
    </row>
    <row r="63" spans="1:8">
      <c r="A63" s="51"/>
      <c r="B63" s="49"/>
      <c r="C63" s="49"/>
      <c r="D63" s="49"/>
      <c r="E63" s="49"/>
      <c r="F63" s="49"/>
      <c r="G63" s="49"/>
      <c r="H63" s="50"/>
    </row>
    <row r="64" spans="1:8">
      <c r="A64" s="51" t="s">
        <v>57</v>
      </c>
      <c r="B64" s="49"/>
      <c r="C64" s="49"/>
      <c r="D64" s="126"/>
      <c r="E64" s="49"/>
      <c r="F64" s="49"/>
      <c r="G64" s="49"/>
      <c r="H64" s="50"/>
    </row>
    <row r="65" spans="1:8">
      <c r="A65" s="51"/>
      <c r="B65" s="49"/>
      <c r="C65" s="49"/>
      <c r="D65" s="49"/>
      <c r="E65" s="49"/>
      <c r="F65" s="49"/>
      <c r="G65" s="49"/>
      <c r="H65" s="50"/>
    </row>
    <row r="66" spans="1:8">
      <c r="A66" s="51"/>
      <c r="B66" s="49"/>
      <c r="C66" s="127">
        <v>24</v>
      </c>
      <c r="D66" s="127">
        <v>-15</v>
      </c>
      <c r="E66" s="127">
        <v>28</v>
      </c>
      <c r="F66" s="49"/>
      <c r="G66" s="49"/>
      <c r="H66" s="50"/>
    </row>
    <row r="67" spans="1:8">
      <c r="A67" s="51"/>
      <c r="B67" s="49"/>
      <c r="C67" s="127">
        <v>-15</v>
      </c>
      <c r="D67" s="127">
        <v>48</v>
      </c>
      <c r="E67" s="127">
        <v>33</v>
      </c>
      <c r="F67" s="49"/>
      <c r="G67" s="49"/>
      <c r="H67" s="50"/>
    </row>
    <row r="68" spans="1:8">
      <c r="A68" s="51"/>
      <c r="B68" s="49"/>
      <c r="C68" s="127">
        <v>28</v>
      </c>
      <c r="D68" s="127">
        <v>33</v>
      </c>
      <c r="E68" s="127">
        <v>56</v>
      </c>
      <c r="F68" s="49"/>
      <c r="G68" s="49"/>
      <c r="H68" s="50"/>
    </row>
    <row r="69" spans="1:8">
      <c r="A69" s="51"/>
      <c r="B69" s="49"/>
      <c r="C69" s="125"/>
      <c r="D69" s="125"/>
      <c r="E69" s="125"/>
      <c r="F69" s="49"/>
      <c r="G69" s="49"/>
      <c r="H69" s="50"/>
    </row>
    <row r="70" spans="1:8">
      <c r="A70" s="51"/>
      <c r="B70" s="49"/>
      <c r="C70" s="49"/>
      <c r="D70" s="49"/>
      <c r="E70" s="49"/>
      <c r="F70" s="49"/>
      <c r="G70" s="49"/>
      <c r="H70" s="50"/>
    </row>
    <row r="71" spans="1:8">
      <c r="A71" s="51"/>
      <c r="B71" s="49" t="s">
        <v>35</v>
      </c>
      <c r="C71" s="49"/>
      <c r="D71" s="49"/>
      <c r="E71" s="49"/>
      <c r="F71" s="49"/>
      <c r="G71" s="49"/>
      <c r="H71" s="50"/>
    </row>
    <row r="72" spans="1:8">
      <c r="A72" s="51"/>
      <c r="B72" s="49"/>
      <c r="C72" s="49"/>
      <c r="D72" s="49"/>
      <c r="E72" s="49"/>
      <c r="F72" s="49"/>
      <c r="G72" s="49"/>
      <c r="H72" s="50"/>
    </row>
    <row r="73" spans="1:8">
      <c r="A73" s="51"/>
      <c r="B73" s="49" t="s">
        <v>241</v>
      </c>
      <c r="C73" s="49"/>
      <c r="D73" s="49"/>
      <c r="E73" s="49"/>
      <c r="F73" s="171">
        <v>0.25</v>
      </c>
      <c r="G73" s="49" t="s">
        <v>242</v>
      </c>
      <c r="H73" s="178">
        <v>0.6</v>
      </c>
    </row>
    <row r="74" spans="1:8">
      <c r="A74" s="51"/>
      <c r="B74" s="49" t="s">
        <v>243</v>
      </c>
      <c r="C74" s="171">
        <v>0.15</v>
      </c>
      <c r="D74" s="49" t="s">
        <v>244</v>
      </c>
      <c r="E74" s="49"/>
      <c r="F74" s="49"/>
      <c r="G74" s="171">
        <v>0.2</v>
      </c>
      <c r="H74" s="50" t="s">
        <v>246</v>
      </c>
    </row>
    <row r="75" spans="1:8">
      <c r="A75" s="51"/>
      <c r="B75" s="174">
        <v>0.45</v>
      </c>
      <c r="C75" s="33" t="s">
        <v>312</v>
      </c>
      <c r="D75" s="171">
        <v>0.35</v>
      </c>
      <c r="E75" s="49" t="s">
        <v>245</v>
      </c>
      <c r="F75" s="49"/>
      <c r="G75" s="49"/>
      <c r="H75" s="50"/>
    </row>
    <row r="76" spans="1:8">
      <c r="A76" s="51"/>
      <c r="B76" s="49"/>
      <c r="C76" s="49"/>
      <c r="D76" s="49"/>
      <c r="E76" s="49"/>
      <c r="F76" s="49"/>
      <c r="G76" s="49"/>
      <c r="H76" s="50"/>
    </row>
    <row r="77" spans="1:8">
      <c r="A77" s="40" t="s">
        <v>36</v>
      </c>
      <c r="B77" s="46"/>
      <c r="C77" s="46"/>
      <c r="D77" s="46"/>
      <c r="E77" s="46"/>
      <c r="F77" s="46"/>
      <c r="G77" s="46"/>
      <c r="H77" s="47"/>
    </row>
    <row r="78" spans="1:8">
      <c r="A78" s="51"/>
      <c r="B78" s="49"/>
      <c r="C78" s="49"/>
      <c r="D78" s="49"/>
      <c r="E78" s="49"/>
      <c r="F78" s="49"/>
      <c r="G78" s="49"/>
      <c r="H78" s="50"/>
    </row>
    <row r="79" spans="1:8">
      <c r="A79" s="51" t="s">
        <v>58</v>
      </c>
      <c r="B79" s="49"/>
      <c r="C79" s="49"/>
      <c r="D79" s="49"/>
      <c r="E79" s="49"/>
      <c r="F79" s="49"/>
      <c r="G79" s="49"/>
      <c r="H79" s="50"/>
    </row>
    <row r="80" spans="1:8">
      <c r="A80" s="51" t="s">
        <v>37</v>
      </c>
      <c r="B80" s="49"/>
      <c r="C80" s="49"/>
      <c r="D80" s="49"/>
      <c r="E80" s="49"/>
      <c r="F80" s="49"/>
      <c r="G80" s="49"/>
      <c r="H80" s="50"/>
    </row>
    <row r="81" spans="1:8">
      <c r="A81" s="51" t="s">
        <v>59</v>
      </c>
      <c r="B81" s="49"/>
      <c r="C81" s="49"/>
      <c r="D81" s="49"/>
      <c r="E81" s="49"/>
      <c r="F81" s="49"/>
      <c r="G81" s="49"/>
      <c r="H81" s="50"/>
    </row>
    <row r="82" spans="1:8">
      <c r="A82" s="51" t="s">
        <v>60</v>
      </c>
      <c r="B82" s="49"/>
      <c r="C82" s="49"/>
      <c r="D82" s="49"/>
      <c r="E82" s="49"/>
      <c r="F82" s="49"/>
      <c r="G82" s="49"/>
      <c r="H82" s="50"/>
    </row>
    <row r="83" spans="1:8">
      <c r="A83" s="51"/>
      <c r="B83" s="49"/>
      <c r="C83" s="49"/>
      <c r="D83" s="49"/>
      <c r="E83" s="49"/>
      <c r="F83" s="49"/>
      <c r="G83" s="49"/>
      <c r="H83" s="50"/>
    </row>
    <row r="84" spans="1:8">
      <c r="A84" s="40" t="s">
        <v>38</v>
      </c>
      <c r="B84" s="46"/>
      <c r="C84" s="46"/>
      <c r="D84" s="46"/>
      <c r="E84" s="46"/>
      <c r="F84" s="46"/>
      <c r="G84" s="46"/>
      <c r="H84" s="47"/>
    </row>
    <row r="85" spans="1:8">
      <c r="A85" s="51"/>
      <c r="B85" s="49"/>
      <c r="C85" s="49"/>
      <c r="D85" s="49"/>
      <c r="E85" s="49"/>
      <c r="F85" s="49"/>
      <c r="G85" s="49"/>
      <c r="H85" s="50"/>
    </row>
    <row r="86" spans="1:8">
      <c r="A86" s="51" t="s">
        <v>39</v>
      </c>
      <c r="B86" s="49"/>
      <c r="C86" s="49"/>
      <c r="D86" s="49"/>
      <c r="E86" s="49"/>
      <c r="F86" s="49"/>
      <c r="G86" s="49"/>
      <c r="H86" s="50"/>
    </row>
    <row r="87" spans="1:8" ht="13.5" thickBot="1">
      <c r="A87" s="51"/>
      <c r="B87" s="49"/>
      <c r="C87" s="49"/>
      <c r="D87" s="49"/>
      <c r="E87" s="49"/>
      <c r="F87" s="49"/>
      <c r="G87" s="49"/>
      <c r="H87" s="50"/>
    </row>
    <row r="88" spans="1:8">
      <c r="A88" s="51"/>
      <c r="B88" s="49"/>
      <c r="C88" s="197"/>
      <c r="D88" s="198" t="s">
        <v>40</v>
      </c>
      <c r="E88" s="199" t="s">
        <v>41</v>
      </c>
      <c r="F88" s="49"/>
      <c r="G88" s="49"/>
      <c r="H88" s="50"/>
    </row>
    <row r="89" spans="1:8" ht="13.5" thickBot="1">
      <c r="A89" s="51"/>
      <c r="B89" s="49"/>
      <c r="C89" s="203"/>
      <c r="D89" s="206"/>
      <c r="E89" s="207"/>
      <c r="F89" s="49"/>
      <c r="G89" s="49"/>
      <c r="H89" s="50"/>
    </row>
    <row r="90" spans="1:8">
      <c r="A90" s="51"/>
      <c r="C90" s="200" t="s">
        <v>42</v>
      </c>
      <c r="D90" s="171">
        <v>0.47</v>
      </c>
      <c r="E90" s="202">
        <v>0.42</v>
      </c>
      <c r="F90" s="49"/>
      <c r="G90" s="49"/>
      <c r="H90" s="50"/>
    </row>
    <row r="91" spans="1:8">
      <c r="A91" s="51"/>
      <c r="B91" s="49"/>
      <c r="C91" s="200"/>
      <c r="D91" s="169"/>
      <c r="E91" s="201"/>
      <c r="F91" s="49"/>
      <c r="G91" s="49"/>
      <c r="H91" s="50"/>
    </row>
    <row r="92" spans="1:8" ht="13.5" thickBot="1">
      <c r="A92" s="51"/>
      <c r="C92" s="203" t="s">
        <v>43</v>
      </c>
      <c r="D92" s="204">
        <v>7.0000000000000007E-2</v>
      </c>
      <c r="E92" s="205">
        <v>0.05</v>
      </c>
      <c r="F92" s="49"/>
      <c r="G92" s="49"/>
      <c r="H92" s="50"/>
    </row>
    <row r="93" spans="1:8">
      <c r="A93" s="51"/>
      <c r="B93" s="49"/>
      <c r="C93" s="49"/>
      <c r="D93" s="49"/>
      <c r="E93" s="49"/>
      <c r="F93" s="49"/>
      <c r="G93" s="49"/>
      <c r="H93" s="50"/>
    </row>
    <row r="94" spans="1:8">
      <c r="A94" s="51" t="s">
        <v>227</v>
      </c>
      <c r="B94" s="49"/>
      <c r="C94" s="49"/>
      <c r="D94" s="49"/>
      <c r="E94" s="49"/>
      <c r="F94" s="170">
        <v>0.5</v>
      </c>
      <c r="G94" s="49"/>
      <c r="H94" s="50"/>
    </row>
    <row r="95" spans="1:8">
      <c r="A95" s="51"/>
      <c r="B95" s="49"/>
      <c r="C95" s="49"/>
      <c r="D95" s="49"/>
      <c r="E95" s="49"/>
      <c r="F95" s="49"/>
      <c r="G95" s="49"/>
      <c r="H95" s="50"/>
    </row>
    <row r="96" spans="1:8">
      <c r="A96" s="51"/>
      <c r="B96" s="49" t="s">
        <v>228</v>
      </c>
      <c r="C96" s="49"/>
      <c r="D96" s="171">
        <v>0.45</v>
      </c>
      <c r="E96" s="49" t="s">
        <v>229</v>
      </c>
      <c r="F96" s="49"/>
      <c r="G96" s="171">
        <v>0.55000000000000004</v>
      </c>
      <c r="H96" s="50" t="s">
        <v>231</v>
      </c>
    </row>
    <row r="97" spans="1:8">
      <c r="A97" s="51"/>
      <c r="B97" s="49" t="s">
        <v>230</v>
      </c>
      <c r="C97" s="49"/>
      <c r="D97" s="49"/>
      <c r="E97" s="49"/>
      <c r="F97" s="49"/>
      <c r="G97" s="49"/>
      <c r="H97" s="50"/>
    </row>
    <row r="98" spans="1:8">
      <c r="A98" s="51"/>
      <c r="B98" s="49"/>
      <c r="C98" s="49"/>
      <c r="D98" s="49"/>
      <c r="E98" s="49"/>
      <c r="F98" s="49"/>
      <c r="G98" s="49"/>
      <c r="H98" s="50"/>
    </row>
    <row r="99" spans="1:8">
      <c r="A99" s="51"/>
      <c r="B99" s="49" t="s">
        <v>45</v>
      </c>
      <c r="C99" s="49"/>
      <c r="D99" s="49"/>
      <c r="E99" s="49"/>
      <c r="F99" s="49"/>
      <c r="G99" s="49"/>
      <c r="H99" s="50"/>
    </row>
    <row r="100" spans="1:8">
      <c r="A100" s="51"/>
      <c r="B100" s="49" t="s">
        <v>46</v>
      </c>
      <c r="C100" s="49"/>
      <c r="D100" s="49"/>
      <c r="E100" s="49"/>
      <c r="F100" s="49"/>
      <c r="G100" s="49"/>
      <c r="H100" s="50"/>
    </row>
    <row r="101" spans="1:8">
      <c r="A101" s="51"/>
      <c r="B101" s="49" t="s">
        <v>47</v>
      </c>
      <c r="C101" s="49"/>
      <c r="D101" s="49"/>
      <c r="E101" s="49"/>
      <c r="F101" s="49"/>
      <c r="G101" s="49"/>
      <c r="H101" s="50"/>
    </row>
    <row r="102" spans="1:8">
      <c r="A102" s="51"/>
      <c r="B102" s="49"/>
      <c r="C102" s="49"/>
      <c r="D102" s="49"/>
      <c r="E102" s="49"/>
      <c r="F102" s="49"/>
      <c r="G102" s="49"/>
      <c r="H102" s="50"/>
    </row>
    <row r="103" spans="1:8">
      <c r="A103" s="40" t="s">
        <v>48</v>
      </c>
      <c r="B103" s="46"/>
      <c r="C103" s="46"/>
      <c r="D103" s="46"/>
      <c r="E103" s="46"/>
      <c r="F103" s="46"/>
      <c r="G103" s="46"/>
      <c r="H103" s="47"/>
    </row>
    <row r="104" spans="1:8">
      <c r="A104" s="51"/>
      <c r="B104" s="49"/>
      <c r="C104" s="49"/>
      <c r="D104" s="49"/>
      <c r="E104" s="49"/>
      <c r="F104" s="49"/>
      <c r="G104" s="49"/>
      <c r="H104" s="50"/>
    </row>
    <row r="105" spans="1:8">
      <c r="A105" s="51" t="s">
        <v>49</v>
      </c>
      <c r="B105" s="49"/>
      <c r="C105" s="49"/>
      <c r="D105" s="49"/>
      <c r="E105" s="49"/>
      <c r="F105" s="49"/>
      <c r="G105" s="49"/>
      <c r="H105" s="50"/>
    </row>
    <row r="106" spans="1:8">
      <c r="A106" s="51"/>
      <c r="B106" s="49"/>
      <c r="C106" s="49"/>
      <c r="D106" s="49"/>
      <c r="E106" s="49"/>
      <c r="F106" s="49"/>
      <c r="G106" s="49"/>
      <c r="H106" s="50"/>
    </row>
    <row r="107" spans="1:8">
      <c r="A107" s="51"/>
      <c r="B107" s="49"/>
      <c r="C107" s="49"/>
      <c r="D107" s="169" t="s">
        <v>40</v>
      </c>
      <c r="E107" s="169" t="s">
        <v>41</v>
      </c>
      <c r="F107" s="49"/>
      <c r="G107" s="49"/>
      <c r="H107" s="50"/>
    </row>
    <row r="108" spans="1:8">
      <c r="A108" s="51"/>
      <c r="B108" s="49"/>
      <c r="C108" s="49"/>
      <c r="D108" s="169"/>
      <c r="E108" s="169"/>
      <c r="F108" s="49"/>
      <c r="G108" s="49"/>
      <c r="H108" s="50"/>
    </row>
    <row r="109" spans="1:8">
      <c r="A109" s="51"/>
      <c r="B109" s="49" t="s">
        <v>42</v>
      </c>
      <c r="C109" s="49"/>
      <c r="D109" s="173">
        <v>0.14000000000000001</v>
      </c>
      <c r="E109" s="171">
        <v>0.18</v>
      </c>
      <c r="F109" s="49"/>
      <c r="G109" s="49"/>
      <c r="H109" s="50"/>
    </row>
    <row r="110" spans="1:8">
      <c r="A110" s="51"/>
      <c r="B110" s="49"/>
      <c r="C110" s="49"/>
      <c r="D110" s="169"/>
      <c r="E110" s="169"/>
      <c r="F110" s="49"/>
      <c r="G110" s="49"/>
      <c r="H110" s="50"/>
    </row>
    <row r="111" spans="1:8">
      <c r="A111" s="51"/>
      <c r="B111" s="49" t="s">
        <v>43</v>
      </c>
      <c r="C111" s="49"/>
      <c r="D111" s="171">
        <v>0.05</v>
      </c>
      <c r="E111" s="171">
        <v>7.0000000000000007E-2</v>
      </c>
      <c r="F111" s="49"/>
      <c r="G111" s="49"/>
      <c r="H111" s="50"/>
    </row>
    <row r="112" spans="1:8">
      <c r="A112" s="51"/>
      <c r="B112" s="49"/>
      <c r="C112" s="49"/>
      <c r="D112" s="169"/>
      <c r="E112" s="169"/>
      <c r="F112" s="49"/>
      <c r="G112" s="49"/>
      <c r="H112" s="50"/>
    </row>
    <row r="113" spans="1:8">
      <c r="A113" s="61"/>
      <c r="B113" s="49" t="s">
        <v>50</v>
      </c>
      <c r="C113" s="49"/>
      <c r="D113" s="170">
        <v>-0.7</v>
      </c>
      <c r="E113" s="169"/>
      <c r="F113" s="49"/>
      <c r="G113" s="49"/>
      <c r="H113" s="50"/>
    </row>
    <row r="114" spans="1:8">
      <c r="A114" s="61"/>
      <c r="B114" s="49"/>
      <c r="C114" s="49"/>
      <c r="D114" s="49"/>
      <c r="E114" s="49"/>
      <c r="F114" s="49"/>
      <c r="G114" s="49"/>
      <c r="H114" s="50"/>
    </row>
    <row r="115" spans="1:8">
      <c r="A115" s="61"/>
      <c r="B115" s="49" t="s">
        <v>51</v>
      </c>
      <c r="C115" s="49"/>
      <c r="D115" s="49"/>
      <c r="E115" s="49"/>
      <c r="F115" s="49"/>
      <c r="G115" s="49"/>
      <c r="H115" s="50"/>
    </row>
    <row r="116" spans="1:8">
      <c r="A116" s="61"/>
      <c r="B116" s="49" t="s">
        <v>239</v>
      </c>
      <c r="C116" s="49"/>
      <c r="D116" s="49"/>
      <c r="E116" s="171">
        <v>0.15</v>
      </c>
      <c r="F116" s="49"/>
      <c r="G116" s="49"/>
      <c r="H116" s="50"/>
    </row>
    <row r="117" spans="1:8">
      <c r="A117" s="61"/>
      <c r="B117" s="49"/>
      <c r="C117" s="49"/>
      <c r="D117" s="49"/>
      <c r="E117" s="49"/>
      <c r="F117" s="49"/>
      <c r="G117" s="49"/>
      <c r="H117" s="50"/>
    </row>
    <row r="118" spans="1:8">
      <c r="A118" s="51"/>
      <c r="B118" s="49" t="s">
        <v>52</v>
      </c>
      <c r="C118" s="49"/>
      <c r="D118" s="49"/>
      <c r="E118" s="49"/>
      <c r="F118" s="49"/>
      <c r="G118" s="49"/>
      <c r="H118" s="50"/>
    </row>
    <row r="119" spans="1:8">
      <c r="A119" s="51"/>
      <c r="B119" s="49" t="s">
        <v>240</v>
      </c>
      <c r="C119" s="49"/>
      <c r="D119" s="49"/>
      <c r="E119" s="49"/>
      <c r="F119" s="171">
        <v>0.06</v>
      </c>
      <c r="G119" s="49"/>
      <c r="H119" s="50"/>
    </row>
    <row r="120" spans="1:8">
      <c r="A120" s="51"/>
      <c r="B120" s="49"/>
      <c r="C120" s="49"/>
      <c r="D120" s="49"/>
      <c r="E120" s="49"/>
      <c r="F120" s="49"/>
      <c r="G120" s="49"/>
      <c r="H120" s="50"/>
    </row>
    <row r="121" spans="1:8">
      <c r="A121" s="51"/>
      <c r="B121" s="49" t="s">
        <v>61</v>
      </c>
      <c r="C121" s="49"/>
      <c r="D121" s="49"/>
      <c r="E121" s="49"/>
      <c r="F121" s="49"/>
      <c r="G121" s="49"/>
      <c r="H121" s="50"/>
    </row>
    <row r="122" spans="1:8">
      <c r="A122" s="51"/>
      <c r="B122" s="49" t="s">
        <v>62</v>
      </c>
      <c r="C122" s="49"/>
      <c r="D122" s="49"/>
      <c r="E122" s="49"/>
      <c r="F122" s="49"/>
      <c r="G122" s="49"/>
      <c r="H122" s="50"/>
    </row>
    <row r="123" spans="1:8">
      <c r="A123" s="52"/>
      <c r="B123" s="53"/>
      <c r="C123" s="53"/>
      <c r="D123" s="53"/>
      <c r="E123" s="53"/>
      <c r="F123" s="53"/>
      <c r="G123" s="53"/>
      <c r="H123" s="54"/>
    </row>
    <row r="124" spans="1:8">
      <c r="A124" s="40" t="s">
        <v>108</v>
      </c>
      <c r="B124" s="46"/>
      <c r="C124" s="46"/>
      <c r="D124" s="46"/>
      <c r="E124" s="46"/>
      <c r="F124" s="46"/>
      <c r="G124" s="46"/>
      <c r="H124" s="47"/>
    </row>
    <row r="125" spans="1:8">
      <c r="A125" s="51"/>
      <c r="B125" s="49"/>
      <c r="C125" s="49"/>
      <c r="D125" s="49"/>
      <c r="E125" s="49"/>
      <c r="F125" s="49"/>
      <c r="G125" s="49"/>
      <c r="H125" s="50"/>
    </row>
    <row r="126" spans="1:8">
      <c r="A126" s="51" t="s">
        <v>133</v>
      </c>
      <c r="B126" s="49"/>
      <c r="C126" s="49"/>
      <c r="D126" s="49"/>
      <c r="E126" s="49"/>
      <c r="F126" s="49"/>
      <c r="G126" s="49"/>
      <c r="H126" s="50"/>
    </row>
    <row r="127" spans="1:8">
      <c r="A127" s="51" t="s">
        <v>109</v>
      </c>
      <c r="B127" s="49"/>
      <c r="C127" s="49"/>
      <c r="D127" s="49"/>
      <c r="E127" s="49"/>
      <c r="F127" s="49"/>
      <c r="G127" s="49"/>
      <c r="H127" s="50"/>
    </row>
    <row r="128" spans="1:8">
      <c r="A128" s="51" t="s">
        <v>110</v>
      </c>
      <c r="B128" s="49"/>
      <c r="C128" s="49"/>
      <c r="D128" s="49"/>
      <c r="E128" s="49"/>
      <c r="F128" s="49"/>
      <c r="G128" s="49"/>
      <c r="H128" s="50"/>
    </row>
    <row r="129" spans="1:8">
      <c r="A129" s="51"/>
      <c r="B129" s="49" t="s">
        <v>238</v>
      </c>
      <c r="D129" s="170">
        <v>0.28000000000000003</v>
      </c>
      <c r="E129" s="49"/>
      <c r="F129" s="49"/>
      <c r="G129" s="49"/>
      <c r="H129" s="50"/>
    </row>
    <row r="130" spans="1:8">
      <c r="A130" s="51"/>
      <c r="B130" s="49" t="s">
        <v>234</v>
      </c>
      <c r="D130" s="170">
        <v>0.1</v>
      </c>
      <c r="E130" s="49"/>
      <c r="F130" s="49"/>
      <c r="G130" s="49"/>
      <c r="H130" s="50"/>
    </row>
    <row r="131" spans="1:8">
      <c r="A131" s="51"/>
      <c r="B131" s="49" t="s">
        <v>236</v>
      </c>
      <c r="D131" s="171">
        <v>0.12</v>
      </c>
      <c r="E131" s="49"/>
      <c r="F131" s="49"/>
      <c r="G131" s="49"/>
      <c r="H131" s="50"/>
    </row>
    <row r="132" spans="1:8">
      <c r="A132" s="51"/>
      <c r="B132" s="49" t="s">
        <v>235</v>
      </c>
      <c r="D132" s="171">
        <v>0.15</v>
      </c>
      <c r="E132" s="49"/>
      <c r="F132" s="49"/>
      <c r="G132" s="49"/>
      <c r="H132" s="50"/>
    </row>
    <row r="133" spans="1:8">
      <c r="A133" s="51"/>
      <c r="B133" s="49" t="s">
        <v>237</v>
      </c>
      <c r="D133" s="171">
        <v>7.0000000000000007E-2</v>
      </c>
      <c r="F133" s="49"/>
      <c r="G133" s="49"/>
      <c r="H133" s="50"/>
    </row>
    <row r="134" spans="1:8">
      <c r="A134" s="51"/>
      <c r="B134" s="49"/>
      <c r="C134" s="49"/>
      <c r="D134" s="49"/>
      <c r="E134" s="49"/>
      <c r="F134" s="49"/>
      <c r="G134" s="49"/>
      <c r="H134" s="50"/>
    </row>
    <row r="135" spans="1:8">
      <c r="A135" s="51" t="s">
        <v>111</v>
      </c>
      <c r="B135" s="49"/>
      <c r="C135" s="49"/>
      <c r="D135" s="49"/>
      <c r="E135" s="49"/>
      <c r="F135" s="49"/>
      <c r="G135" s="49"/>
      <c r="H135" s="50"/>
    </row>
    <row r="136" spans="1:8">
      <c r="A136" s="51" t="s">
        <v>112</v>
      </c>
      <c r="B136" s="49"/>
      <c r="C136" s="49"/>
      <c r="D136" s="49"/>
      <c r="E136" s="49"/>
      <c r="F136" s="49"/>
      <c r="G136" s="49"/>
      <c r="H136" s="50"/>
    </row>
    <row r="137" spans="1:8">
      <c r="A137" s="51" t="s">
        <v>113</v>
      </c>
      <c r="B137" s="49"/>
      <c r="C137" s="49"/>
      <c r="D137" s="49"/>
      <c r="E137" s="49"/>
      <c r="F137" s="49"/>
      <c r="G137" s="49"/>
      <c r="H137" s="50"/>
    </row>
    <row r="138" spans="1:8">
      <c r="A138" s="51"/>
      <c r="B138" s="49"/>
      <c r="C138" s="49"/>
      <c r="D138" s="49"/>
      <c r="E138" s="49"/>
      <c r="F138" s="49"/>
      <c r="G138" s="49"/>
      <c r="H138" s="50"/>
    </row>
    <row r="139" spans="1:8">
      <c r="A139" s="51"/>
      <c r="B139" s="49"/>
      <c r="C139" s="49"/>
      <c r="D139" s="49"/>
      <c r="E139" s="49"/>
      <c r="F139" s="49"/>
      <c r="G139" s="49"/>
      <c r="H139" s="50"/>
    </row>
    <row r="140" spans="1:8">
      <c r="A140" s="51" t="s">
        <v>114</v>
      </c>
      <c r="B140" s="49"/>
      <c r="C140" s="49"/>
      <c r="D140" s="49"/>
      <c r="E140" s="49"/>
      <c r="F140" s="49"/>
      <c r="G140" s="49"/>
      <c r="H140" s="50"/>
    </row>
    <row r="141" spans="1:8">
      <c r="A141" s="51" t="s">
        <v>130</v>
      </c>
      <c r="B141" s="49"/>
      <c r="C141" s="49"/>
      <c r="D141" s="49"/>
      <c r="E141" s="49"/>
      <c r="F141" s="49"/>
      <c r="G141" s="49"/>
      <c r="H141" s="50"/>
    </row>
    <row r="142" spans="1:8">
      <c r="A142" s="51" t="s">
        <v>124</v>
      </c>
      <c r="B142" s="49"/>
      <c r="C142" s="49"/>
      <c r="D142" s="49"/>
      <c r="E142" s="49"/>
      <c r="F142" s="49"/>
      <c r="G142" s="49"/>
      <c r="H142" s="50"/>
    </row>
    <row r="143" spans="1:8">
      <c r="A143" s="51" t="s">
        <v>125</v>
      </c>
      <c r="B143" s="49"/>
      <c r="C143" s="49"/>
      <c r="D143" s="49"/>
      <c r="E143" s="49"/>
      <c r="F143" s="49"/>
      <c r="G143" s="49"/>
      <c r="H143" s="50"/>
    </row>
    <row r="144" spans="1:8">
      <c r="A144" s="51"/>
      <c r="B144" s="83" t="s">
        <v>115</v>
      </c>
      <c r="C144" s="49" t="s">
        <v>116</v>
      </c>
      <c r="D144" s="49"/>
      <c r="E144" s="49"/>
      <c r="F144" s="49"/>
      <c r="G144" s="49"/>
      <c r="H144" s="50"/>
    </row>
    <row r="145" spans="1:8">
      <c r="A145" s="51"/>
      <c r="B145" s="83" t="s">
        <v>117</v>
      </c>
      <c r="C145" s="49" t="s">
        <v>118</v>
      </c>
      <c r="D145" s="49"/>
      <c r="E145" s="49"/>
      <c r="F145" s="49"/>
      <c r="G145" s="49"/>
      <c r="H145" s="50"/>
    </row>
    <row r="146" spans="1:8">
      <c r="A146" s="51"/>
      <c r="B146" s="49"/>
      <c r="C146" s="49" t="s">
        <v>119</v>
      </c>
      <c r="D146" s="49"/>
      <c r="E146" s="49"/>
      <c r="F146" s="49"/>
      <c r="G146" s="49"/>
      <c r="H146" s="50"/>
    </row>
    <row r="147" spans="1:8">
      <c r="A147" s="51"/>
      <c r="B147" s="83" t="s">
        <v>120</v>
      </c>
      <c r="C147" s="49" t="s">
        <v>121</v>
      </c>
      <c r="D147" s="49"/>
      <c r="E147" s="49"/>
      <c r="F147" s="49"/>
      <c r="G147" s="49"/>
      <c r="H147" s="50"/>
    </row>
    <row r="148" spans="1:8">
      <c r="A148" s="51"/>
      <c r="B148" s="83" t="s">
        <v>122</v>
      </c>
      <c r="C148" s="49" t="s">
        <v>123</v>
      </c>
      <c r="D148" s="49"/>
      <c r="E148" s="49"/>
      <c r="F148" s="49"/>
      <c r="G148" s="49"/>
      <c r="H148" s="50"/>
    </row>
    <row r="149" spans="1:8">
      <c r="A149" s="51"/>
      <c r="B149" s="49"/>
      <c r="C149" s="49"/>
      <c r="D149" s="49"/>
      <c r="E149" s="49"/>
      <c r="F149" s="49"/>
      <c r="G149" s="49"/>
      <c r="H149" s="50"/>
    </row>
    <row r="150" spans="1:8">
      <c r="A150" s="51" t="s">
        <v>128</v>
      </c>
      <c r="B150" s="49"/>
      <c r="C150" s="49"/>
      <c r="D150" s="49"/>
      <c r="E150" s="49"/>
      <c r="F150" s="49"/>
      <c r="G150" s="49"/>
      <c r="H150" s="50"/>
    </row>
    <row r="151" spans="1:8">
      <c r="A151" s="51"/>
      <c r="B151" s="49"/>
      <c r="C151" s="49"/>
      <c r="D151" s="49"/>
      <c r="E151" s="49"/>
      <c r="F151" s="49"/>
      <c r="G151" s="49"/>
      <c r="H151" s="50"/>
    </row>
    <row r="152" spans="1:8">
      <c r="A152" s="51" t="s">
        <v>129</v>
      </c>
      <c r="B152" s="49"/>
      <c r="C152" s="49"/>
      <c r="D152" s="49"/>
      <c r="E152" s="49"/>
      <c r="F152" s="49"/>
      <c r="G152" s="49"/>
      <c r="H152" s="50"/>
    </row>
    <row r="153" spans="1:8">
      <c r="A153" s="51" t="s">
        <v>126</v>
      </c>
      <c r="B153" s="49"/>
      <c r="C153" s="49"/>
      <c r="D153" s="49"/>
      <c r="E153" s="49"/>
      <c r="F153" s="49"/>
      <c r="G153" s="49"/>
      <c r="H153" s="50"/>
    </row>
    <row r="154" spans="1:8">
      <c r="A154" s="51" t="s">
        <v>127</v>
      </c>
      <c r="B154" s="49"/>
      <c r="C154" s="49"/>
      <c r="D154" s="49"/>
      <c r="E154" s="49"/>
      <c r="F154" s="49"/>
      <c r="G154" s="49"/>
      <c r="H154" s="50"/>
    </row>
    <row r="155" spans="1:8">
      <c r="A155" s="51"/>
      <c r="B155" s="49"/>
      <c r="C155" s="49"/>
      <c r="D155" s="49"/>
      <c r="E155" s="49"/>
      <c r="F155" s="49"/>
      <c r="G155" s="49"/>
      <c r="H155" s="50"/>
    </row>
    <row r="156" spans="1:8">
      <c r="A156" s="51"/>
      <c r="B156" s="49"/>
      <c r="C156" s="49"/>
      <c r="D156" s="49"/>
      <c r="E156" s="49"/>
      <c r="F156" s="49"/>
      <c r="G156" s="49"/>
      <c r="H156" s="50"/>
    </row>
    <row r="157" spans="1:8">
      <c r="A157" s="51" t="s">
        <v>232</v>
      </c>
      <c r="B157" s="49"/>
      <c r="C157" s="49"/>
      <c r="D157" s="49"/>
      <c r="E157" s="49"/>
      <c r="F157" s="49"/>
      <c r="G157" s="170">
        <v>0.5</v>
      </c>
      <c r="H157" s="177" t="s">
        <v>233</v>
      </c>
    </row>
    <row r="158" spans="1:8">
      <c r="A158" s="51" t="s">
        <v>131</v>
      </c>
      <c r="B158" s="49"/>
      <c r="C158" s="49"/>
      <c r="D158" s="49"/>
      <c r="E158" s="49"/>
      <c r="F158" s="49"/>
      <c r="G158" s="49"/>
      <c r="H158" s="50"/>
    </row>
    <row r="159" spans="1:8">
      <c r="A159" s="51"/>
      <c r="B159" s="49"/>
      <c r="C159" s="49"/>
      <c r="D159" s="49"/>
      <c r="E159" s="49"/>
      <c r="F159" s="49"/>
      <c r="G159" s="49"/>
      <c r="H159" s="50"/>
    </row>
    <row r="160" spans="1:8">
      <c r="A160" s="51" t="s">
        <v>132</v>
      </c>
      <c r="B160" s="49"/>
      <c r="C160" s="49"/>
      <c r="D160" s="49"/>
      <c r="E160" s="49"/>
      <c r="F160" s="49"/>
      <c r="G160" s="49"/>
      <c r="H160" s="50"/>
    </row>
    <row r="161" spans="1:8">
      <c r="A161" s="51"/>
      <c r="B161" s="49"/>
      <c r="C161" s="49"/>
      <c r="D161" s="49"/>
      <c r="E161" s="49"/>
      <c r="F161" s="49"/>
      <c r="G161" s="49"/>
      <c r="H161" s="50"/>
    </row>
    <row r="162" spans="1:8" ht="17.25">
      <c r="A162" s="84"/>
      <c r="B162" s="87" t="s">
        <v>135</v>
      </c>
      <c r="C162" s="88" t="s">
        <v>137</v>
      </c>
      <c r="D162" s="49"/>
      <c r="E162" s="49"/>
      <c r="F162" s="49"/>
      <c r="G162" s="49"/>
      <c r="H162" s="50"/>
    </row>
    <row r="163" spans="1:8" ht="15.75">
      <c r="B163" s="89" t="s">
        <v>134</v>
      </c>
      <c r="C163" s="88"/>
      <c r="D163" s="49"/>
      <c r="E163" s="49"/>
      <c r="F163" s="49"/>
      <c r="G163" s="49"/>
      <c r="H163" s="50"/>
    </row>
    <row r="164" spans="1:8" ht="17.25">
      <c r="B164" s="87" t="s">
        <v>138</v>
      </c>
      <c r="C164" s="88" t="s">
        <v>136</v>
      </c>
      <c r="D164" s="49"/>
      <c r="E164" s="49"/>
      <c r="F164" s="49"/>
      <c r="G164" s="49"/>
      <c r="H164" s="50"/>
    </row>
    <row r="165" spans="1:8" ht="15">
      <c r="A165" s="84"/>
      <c r="B165" s="19"/>
      <c r="C165" s="19"/>
      <c r="D165" s="49"/>
      <c r="E165" s="49"/>
      <c r="F165" s="49"/>
      <c r="G165" s="49"/>
      <c r="H165" s="50"/>
    </row>
    <row r="166" spans="1:8" ht="17.25">
      <c r="A166" s="84"/>
      <c r="B166" s="269" t="s">
        <v>144</v>
      </c>
      <c r="C166" s="270"/>
      <c r="D166" s="88"/>
      <c r="E166" s="49"/>
      <c r="F166" s="49"/>
      <c r="G166" s="49"/>
      <c r="H166" s="50"/>
    </row>
    <row r="167" spans="1:8" ht="19.5">
      <c r="A167" s="85" t="s">
        <v>139</v>
      </c>
      <c r="B167" s="89" t="s">
        <v>140</v>
      </c>
      <c r="C167" s="86"/>
      <c r="D167" s="83" t="s">
        <v>141</v>
      </c>
      <c r="E167" s="88" t="s">
        <v>142</v>
      </c>
      <c r="F167" s="88"/>
      <c r="G167" s="49"/>
      <c r="H167" s="50"/>
    </row>
    <row r="168" spans="1:8" ht="17.25">
      <c r="A168" s="51"/>
      <c r="B168" s="269" t="s">
        <v>143</v>
      </c>
      <c r="C168" s="270"/>
      <c r="D168" s="49"/>
      <c r="E168" s="49"/>
      <c r="F168" s="49"/>
      <c r="G168" s="49"/>
      <c r="H168" s="50"/>
    </row>
    <row r="169" spans="1:8">
      <c r="A169" s="52"/>
      <c r="B169" s="53"/>
      <c r="C169" s="53"/>
      <c r="D169" s="53"/>
      <c r="E169" s="53"/>
      <c r="F169" s="53"/>
      <c r="G169" s="53"/>
      <c r="H169" s="54"/>
    </row>
  </sheetData>
  <sheetProtection password="F3F0" sheet="1" objects="1" scenarios="1"/>
  <mergeCells count="3">
    <mergeCell ref="B166:C166"/>
    <mergeCell ref="B168:C168"/>
    <mergeCell ref="D3:G5"/>
  </mergeCells>
  <phoneticPr fontId="0" type="noConversion"/>
  <printOptions gridLines="1" gridLinesSet="0"/>
  <pageMargins left="0.39370078740157483" right="0.39370078740157483" top="0.98425196850393704" bottom="0.98425196850393704" header="0.51181102362204722" footer="0.51181102362204722"/>
  <pageSetup paperSize="9" orientation="landscape" horizontalDpi="4294967295" verticalDpi="4294967295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C258"/>
  <sheetViews>
    <sheetView showGridLines="0" tabSelected="1" topLeftCell="A184" zoomScale="75" workbookViewId="0">
      <selection activeCell="F207" sqref="F207"/>
    </sheetView>
  </sheetViews>
  <sheetFormatPr baseColWidth="10" defaultColWidth="9.85546875" defaultRowHeight="12.75"/>
  <cols>
    <col min="1" max="1" width="5" style="1" customWidth="1"/>
    <col min="2" max="2" width="21.140625" style="1" customWidth="1"/>
    <col min="3" max="3" width="22.42578125" style="1" customWidth="1"/>
    <col min="4" max="4" width="21.85546875" style="1" customWidth="1"/>
    <col min="5" max="5" width="24.7109375" style="1" customWidth="1"/>
    <col min="6" max="6" width="27.140625" style="1" customWidth="1"/>
    <col min="7" max="8" width="17.42578125" style="1" customWidth="1"/>
    <col min="9" max="16384" width="9.85546875" style="1"/>
  </cols>
  <sheetData>
    <row r="1" spans="1:7" ht="27" customHeight="1" thickBot="1">
      <c r="A1" s="3" t="s">
        <v>324</v>
      </c>
    </row>
    <row r="2" spans="1:7" ht="21" customHeight="1">
      <c r="C2" s="179"/>
      <c r="D2" s="271" t="s">
        <v>63</v>
      </c>
      <c r="E2" s="272"/>
      <c r="F2" s="272"/>
      <c r="G2" s="273"/>
    </row>
    <row r="3" spans="1:7" ht="12.75" customHeight="1">
      <c r="C3" s="5"/>
      <c r="D3" s="274"/>
      <c r="E3" s="275"/>
      <c r="F3" s="275"/>
      <c r="G3" s="276"/>
    </row>
    <row r="4" spans="1:7" ht="16.5" customHeight="1" thickBot="1">
      <c r="C4" s="5"/>
      <c r="D4" s="277"/>
      <c r="E4" s="278"/>
      <c r="F4" s="278"/>
      <c r="G4" s="279"/>
    </row>
    <row r="5" spans="1:7" ht="55.5" customHeight="1" thickBot="1"/>
    <row r="6" spans="1:7" ht="13.5" thickBot="1">
      <c r="B6" s="20" t="s">
        <v>0</v>
      </c>
      <c r="C6" s="20" t="s">
        <v>167</v>
      </c>
      <c r="D6" s="20" t="s">
        <v>1</v>
      </c>
      <c r="F6" s="41" t="s">
        <v>2</v>
      </c>
    </row>
    <row r="7" spans="1:7" ht="13.5" thickBot="1">
      <c r="B7" s="181"/>
      <c r="C7" s="181"/>
      <c r="D7" s="181"/>
      <c r="F7" s="102">
        <f>(note_ex1+note2+note3+note4+note5+note6+note7+note8)</f>
        <v>19.5</v>
      </c>
    </row>
    <row r="8" spans="1:7">
      <c r="B8" s="181"/>
      <c r="C8" s="182"/>
      <c r="D8" s="182"/>
    </row>
    <row r="9" spans="1:7">
      <c r="B9" s="181"/>
      <c r="C9" s="182"/>
      <c r="D9" s="182"/>
      <c r="F9" s="21" t="s">
        <v>3</v>
      </c>
    </row>
    <row r="11" spans="1:7">
      <c r="B11" s="4"/>
      <c r="C11" s="6"/>
    </row>
    <row r="12" spans="1:7">
      <c r="B12" s="4"/>
      <c r="C12" s="6"/>
    </row>
    <row r="13" spans="1:7">
      <c r="B13" s="4"/>
      <c r="C13" s="6"/>
    </row>
    <row r="14" spans="1:7">
      <c r="B14" s="4"/>
      <c r="C14" s="6"/>
    </row>
    <row r="15" spans="1:7" ht="23.25" customHeight="1">
      <c r="B15" s="4"/>
      <c r="C15" s="6"/>
    </row>
    <row r="16" spans="1:7">
      <c r="B16" s="4"/>
      <c r="C16" s="6"/>
    </row>
    <row r="18" spans="2:55" ht="15">
      <c r="B18" s="29" t="s">
        <v>4</v>
      </c>
      <c r="C18" s="30"/>
      <c r="D18" s="31"/>
    </row>
    <row r="19" spans="2:55" s="2" customFormat="1" ht="15">
      <c r="B19" s="8"/>
      <c r="C19" s="9"/>
      <c r="D19" s="9"/>
    </row>
    <row r="20" spans="2:55" ht="15.75">
      <c r="B20" s="23"/>
      <c r="C20" s="23"/>
      <c r="D20" s="23"/>
      <c r="E20" s="24"/>
      <c r="F20" s="23"/>
      <c r="G20" s="23"/>
      <c r="I20" s="23"/>
    </row>
    <row r="21" spans="2:55" ht="24" customHeight="1">
      <c r="B21" s="23"/>
      <c r="C21" s="25"/>
      <c r="D21" s="27" t="s">
        <v>5</v>
      </c>
      <c r="E21" s="26"/>
      <c r="F21" s="23"/>
      <c r="G21" s="23"/>
      <c r="I21" s="23"/>
    </row>
    <row r="24" spans="2:55" ht="15.75">
      <c r="B24" s="7" t="s">
        <v>8</v>
      </c>
      <c r="C24" s="32"/>
    </row>
    <row r="25" spans="2:55" ht="15.75">
      <c r="B25" s="10"/>
      <c r="C25" s="32"/>
      <c r="D25" s="19"/>
      <c r="E25" s="28"/>
      <c r="F25" s="11"/>
      <c r="G25" s="14" t="s">
        <v>11</v>
      </c>
      <c r="H25" s="13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2:55" ht="18.75" customHeight="1">
      <c r="C26" s="55" t="s">
        <v>64</v>
      </c>
      <c r="D26" s="56"/>
      <c r="E26" s="56"/>
      <c r="F26" s="69">
        <v>80.58</v>
      </c>
      <c r="G26" s="34" t="s">
        <v>13</v>
      </c>
      <c r="H26" s="11" t="str">
        <f>IF(F26=0,"",IF(ABS((F26-correction!F32))&gt;2,"faux!","juste!"))</f>
        <v>juste!</v>
      </c>
      <c r="I26" s="14">
        <f>IF(H26="juste!",0.5,0)</f>
        <v>0.5</v>
      </c>
    </row>
    <row r="29" spans="2:55" ht="15.75">
      <c r="C29" s="55" t="s">
        <v>65</v>
      </c>
      <c r="D29" s="56"/>
      <c r="E29" s="56"/>
      <c r="F29" s="69" t="s">
        <v>336</v>
      </c>
      <c r="G29" s="11" t="str">
        <f>IF(F29=0,"",IF(F29=correction!F35,"juste!","faux!"))</f>
        <v>juste!</v>
      </c>
      <c r="H29" s="14">
        <f>IF(G29="juste!",0.25,0)</f>
        <v>0.25</v>
      </c>
    </row>
    <row r="31" spans="2:55" ht="15.75">
      <c r="B31" s="10"/>
      <c r="C31" s="18"/>
      <c r="D31" s="14"/>
      <c r="E31" s="14"/>
      <c r="F31" s="14"/>
      <c r="G31" s="14"/>
      <c r="H31" s="14"/>
      <c r="K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2:55" ht="15.75">
      <c r="B32" s="35" t="s">
        <v>9</v>
      </c>
    </row>
    <row r="33" spans="2:9" ht="15.75">
      <c r="B33" s="34"/>
    </row>
    <row r="34" spans="2:9" ht="18.75" customHeight="1">
      <c r="C34" s="55" t="s">
        <v>66</v>
      </c>
      <c r="D34" s="56"/>
      <c r="E34" s="56"/>
      <c r="F34" s="64">
        <v>0.1057</v>
      </c>
      <c r="G34" s="11" t="str">
        <f>IF(F34=0,"",IF(ABS((F34-correction!G44))&gt;0.002,"faux!","juste!"))</f>
        <v>juste!</v>
      </c>
      <c r="H34" s="14">
        <f>IF(G34="juste!",0.5,0)</f>
        <v>0.5</v>
      </c>
    </row>
    <row r="35" spans="2:9" ht="15.75">
      <c r="B35" s="34"/>
      <c r="E35" s="11" t="str">
        <f>IF(E34=0,"",IF(ABS((E34-98))&gt;1,"faux!","juste!"))</f>
        <v/>
      </c>
      <c r="G35" s="11"/>
    </row>
    <row r="36" spans="2:9" ht="15.75">
      <c r="B36" s="34"/>
      <c r="E36" s="14">
        <f>IF(E35="juste!",1,0)</f>
        <v>0</v>
      </c>
      <c r="G36" s="14">
        <f>IF(G35="juste!",1,0)</f>
        <v>0</v>
      </c>
    </row>
    <row r="37" spans="2:9" ht="15.75">
      <c r="B37" s="34"/>
    </row>
    <row r="38" spans="2:9" ht="15.75">
      <c r="B38" s="42" t="s">
        <v>318</v>
      </c>
      <c r="C38" s="43">
        <f>I26+H29+H34</f>
        <v>1.25</v>
      </c>
    </row>
    <row r="42" spans="2:9" ht="24" customHeight="1">
      <c r="B42" s="23"/>
      <c r="C42" s="25"/>
      <c r="D42" s="27" t="s">
        <v>6</v>
      </c>
      <c r="E42" s="26"/>
      <c r="F42" s="23"/>
      <c r="G42" s="23"/>
      <c r="I42" s="23"/>
    </row>
    <row r="43" spans="2:9" ht="24" customHeight="1">
      <c r="B43" s="23"/>
      <c r="C43" s="65"/>
      <c r="D43" s="66"/>
      <c r="E43" s="67"/>
      <c r="F43" s="23"/>
      <c r="G43" s="23"/>
      <c r="I43" s="23"/>
    </row>
    <row r="45" spans="2:9" ht="18.75" customHeight="1">
      <c r="C45" s="55" t="s">
        <v>68</v>
      </c>
      <c r="D45" s="56"/>
      <c r="E45" s="68"/>
      <c r="F45" s="56"/>
      <c r="G45" s="64">
        <v>0.14000000000000001</v>
      </c>
      <c r="H45" s="11" t="str">
        <f>IF(G45=0,"",IF(ABS((G45-correction!G62))&gt;0.005,"faux!","juste!"))</f>
        <v>juste!</v>
      </c>
      <c r="I45" s="14">
        <f>IF(H45="juste!",0.5,0)</f>
        <v>0.5</v>
      </c>
    </row>
    <row r="48" spans="2:9" ht="15.75">
      <c r="F48" s="55" t="s">
        <v>69</v>
      </c>
      <c r="G48" s="69">
        <v>6.07</v>
      </c>
      <c r="H48" s="11" t="str">
        <f>IF(G48=0,"",IF(ABS((G48-correction!G76))&gt;0.3,"faux!","juste!"))</f>
        <v>juste!</v>
      </c>
      <c r="I48" s="14">
        <f>IF(H48="juste!",1,0)</f>
        <v>1</v>
      </c>
    </row>
    <row r="49" spans="2:10" ht="13.5" customHeight="1"/>
    <row r="50" spans="2:10" ht="13.5" customHeight="1"/>
    <row r="52" spans="2:10" ht="15.75">
      <c r="B52" s="42" t="s">
        <v>319</v>
      </c>
      <c r="C52" s="43">
        <f>I45+I48</f>
        <v>1.5</v>
      </c>
    </row>
    <row r="55" spans="2:10" ht="24" customHeight="1">
      <c r="B55" s="23"/>
      <c r="C55" s="25"/>
      <c r="D55" s="27" t="s">
        <v>10</v>
      </c>
      <c r="E55" s="26"/>
      <c r="F55" s="23"/>
      <c r="G55" s="23"/>
      <c r="I55" s="23"/>
    </row>
    <row r="57" spans="2:10">
      <c r="C57" s="262" t="s">
        <v>257</v>
      </c>
      <c r="D57" s="261">
        <f>AVERAGE('Enoncés Gest_port'!F42:F47)</f>
        <v>4.9499999999999995E-2</v>
      </c>
      <c r="E57" s="263" t="s">
        <v>256</v>
      </c>
      <c r="F57" s="260">
        <f>AVERAGE('Enoncés Gest_port'!C42:C47)</f>
        <v>4.3666666666666666E-2</v>
      </c>
    </row>
    <row r="58" spans="2:10">
      <c r="G58" s="230"/>
      <c r="H58" s="230"/>
      <c r="I58" s="230"/>
      <c r="J58" s="230"/>
    </row>
    <row r="59" spans="2:10" ht="15.75">
      <c r="B59" s="57" t="s">
        <v>8</v>
      </c>
      <c r="D59" s="36"/>
      <c r="E59" s="37"/>
      <c r="G59" s="230"/>
      <c r="H59" s="230"/>
      <c r="I59" s="230"/>
      <c r="J59" s="230"/>
    </row>
    <row r="60" spans="2:10" ht="33.75" customHeight="1">
      <c r="B60" s="57"/>
      <c r="C60" s="166" t="s">
        <v>304</v>
      </c>
      <c r="D60" s="167" t="s">
        <v>305</v>
      </c>
      <c r="E60" s="168" t="s">
        <v>306</v>
      </c>
      <c r="G60" s="230"/>
      <c r="H60" s="230"/>
      <c r="I60" s="230"/>
      <c r="J60" s="230"/>
    </row>
    <row r="61" spans="2:10" ht="15.75">
      <c r="B61" s="248"/>
      <c r="C61" s="257">
        <f>'Enoncés Gest_port'!C42-'exercice '!D$57</f>
        <v>-4.4999999999999971E-3</v>
      </c>
      <c r="D61" s="258">
        <f>'Enoncés Gest_port'!F42-D$57</f>
        <v>8.550000000000002E-2</v>
      </c>
      <c r="E61" s="259">
        <f>C61*D61</f>
        <v>-3.8474999999999984E-4</v>
      </c>
      <c r="F61" s="254"/>
      <c r="G61" s="230"/>
      <c r="H61" s="230"/>
      <c r="I61" s="230"/>
      <c r="J61" s="230"/>
    </row>
    <row r="62" spans="2:10" ht="15.75">
      <c r="B62" s="248"/>
      <c r="C62" s="257">
        <f>'Enoncés Gest_port'!C43-'exercice '!D$57</f>
        <v>-5.9499999999999997E-2</v>
      </c>
      <c r="D62" s="258">
        <f>'Enoncés Gest_port'!F43-D$57</f>
        <v>-0.1545</v>
      </c>
      <c r="E62" s="259">
        <f t="shared" ref="E62:E66" si="0">C62*D62</f>
        <v>9.1927499999999995E-3</v>
      </c>
      <c r="F62" s="254"/>
      <c r="G62" s="230"/>
      <c r="H62" s="230"/>
      <c r="I62" s="230"/>
      <c r="J62" s="230"/>
    </row>
    <row r="63" spans="2:10" ht="15.75">
      <c r="B63" s="248"/>
      <c r="C63" s="257">
        <f>'Enoncés Gest_port'!C44-'exercice '!D$57</f>
        <v>2.7500000000000004E-2</v>
      </c>
      <c r="D63" s="258">
        <f>'Enoncés Gest_port'!F44-D$57</f>
        <v>0.10550000000000001</v>
      </c>
      <c r="E63" s="259">
        <f t="shared" si="0"/>
        <v>2.9012500000000006E-3</v>
      </c>
      <c r="F63" s="254"/>
      <c r="G63" s="230"/>
      <c r="H63" s="230"/>
      <c r="I63" s="230"/>
      <c r="J63" s="230"/>
    </row>
    <row r="64" spans="2:10" ht="15.75">
      <c r="B64" s="248"/>
      <c r="C64" s="257">
        <f>'Enoncés Gest_port'!C45-'exercice '!D$57</f>
        <v>-6.9499999999999992E-2</v>
      </c>
      <c r="D64" s="258">
        <f>'Enoncés Gest_port'!F45-D$57</f>
        <v>-0.14949999999999999</v>
      </c>
      <c r="E64" s="259">
        <f t="shared" si="0"/>
        <v>1.0390249999999998E-2</v>
      </c>
      <c r="F64" s="254"/>
      <c r="G64" s="230"/>
      <c r="H64" s="230"/>
      <c r="I64" s="230"/>
      <c r="J64" s="230"/>
    </row>
    <row r="65" spans="2:10" ht="15.75">
      <c r="B65" s="248"/>
      <c r="C65" s="257">
        <f>'Enoncés Gest_port'!C46-'exercice '!D$57</f>
        <v>3.0500000000000006E-2</v>
      </c>
      <c r="D65" s="258">
        <f>'Enoncés Gest_port'!F46-D$57</f>
        <v>5.050000000000001E-2</v>
      </c>
      <c r="E65" s="259">
        <f t="shared" si="0"/>
        <v>1.5402500000000006E-3</v>
      </c>
      <c r="F65" s="254"/>
      <c r="G65" s="230"/>
      <c r="H65" s="230"/>
      <c r="I65" s="230"/>
      <c r="J65" s="230"/>
    </row>
    <row r="66" spans="2:10" ht="15.75">
      <c r="B66" s="248"/>
      <c r="C66" s="257">
        <f>'Enoncés Gest_port'!C47-'exercice '!D$57</f>
        <v>4.0500000000000001E-2</v>
      </c>
      <c r="D66" s="258">
        <f>'Enoncés Gest_port'!F47-D$57</f>
        <v>6.25E-2</v>
      </c>
      <c r="E66" s="259">
        <f t="shared" si="0"/>
        <v>2.5312500000000001E-3</v>
      </c>
      <c r="F66" s="254"/>
      <c r="G66" s="230"/>
      <c r="H66" s="230"/>
      <c r="I66" s="230"/>
      <c r="J66" s="230"/>
    </row>
    <row r="67" spans="2:10" ht="15.75">
      <c r="B67" s="248"/>
      <c r="C67" s="254"/>
      <c r="D67" s="255"/>
      <c r="E67" s="256"/>
      <c r="F67" s="254"/>
      <c r="G67" s="230"/>
      <c r="H67" s="230"/>
      <c r="I67" s="230"/>
      <c r="J67" s="230"/>
    </row>
    <row r="68" spans="2:10" ht="15.75">
      <c r="B68" s="248"/>
      <c r="C68" s="254"/>
      <c r="D68" s="255"/>
      <c r="E68" s="256"/>
      <c r="F68" s="254"/>
      <c r="G68" s="230"/>
      <c r="H68" s="230"/>
      <c r="I68" s="230"/>
      <c r="J68" s="230"/>
    </row>
    <row r="69" spans="2:10" ht="15.75">
      <c r="B69" s="34"/>
      <c r="D69" s="36"/>
      <c r="E69" s="37"/>
      <c r="G69" s="228"/>
      <c r="H69" s="228"/>
      <c r="I69" s="228"/>
      <c r="J69" s="230"/>
    </row>
    <row r="70" spans="2:10" ht="18.75" customHeight="1">
      <c r="C70" s="55" t="s">
        <v>70</v>
      </c>
      <c r="D70" s="56"/>
      <c r="E70" s="233">
        <v>2.27</v>
      </c>
      <c r="F70" s="231" t="str">
        <f>IF(E70=0,"",IF(ABS((E70-correction!G105))&gt;0.1,"faux!","juste!"))</f>
        <v>juste!</v>
      </c>
      <c r="G70" s="229">
        <f>IF(F70="juste!",1,0)</f>
        <v>1</v>
      </c>
      <c r="H70" s="228"/>
      <c r="I70" s="228"/>
    </row>
    <row r="71" spans="2:10" ht="15.75">
      <c r="B71" s="34"/>
      <c r="C71" s="36"/>
      <c r="D71" s="37"/>
      <c r="E71" s="11"/>
      <c r="F71" s="230"/>
      <c r="G71" s="228"/>
      <c r="H71" s="228"/>
      <c r="I71" s="228"/>
    </row>
    <row r="72" spans="2:10" ht="15.75">
      <c r="B72" s="34"/>
      <c r="C72" s="55" t="s">
        <v>71</v>
      </c>
      <c r="D72" s="56"/>
      <c r="E72" s="64">
        <v>0.2848</v>
      </c>
      <c r="F72" s="231" t="str">
        <f>IF(E72=0,"",IF(ABS((E72-correction!G107))&gt;0.002,"faux!","juste!"))</f>
        <v>juste!</v>
      </c>
      <c r="G72" s="229">
        <f>IF(F72="juste!",1,0)</f>
        <v>1</v>
      </c>
      <c r="H72" s="228"/>
      <c r="I72" s="228"/>
    </row>
    <row r="73" spans="2:10" ht="15.75">
      <c r="B73" s="34"/>
      <c r="D73" s="36"/>
      <c r="E73" s="37"/>
      <c r="F73" s="11"/>
      <c r="G73" s="230"/>
      <c r="H73" s="228"/>
      <c r="I73" s="230"/>
      <c r="J73" s="230"/>
    </row>
    <row r="74" spans="2:10" ht="15.75">
      <c r="B74" s="34"/>
      <c r="C74" s="55" t="s">
        <v>72</v>
      </c>
      <c r="D74" s="56"/>
      <c r="E74" s="56"/>
      <c r="F74" s="64">
        <f>D57</f>
        <v>4.9499999999999995E-2</v>
      </c>
      <c r="G74" s="231" t="str">
        <f>IF(F74=0,"",IF(ABS((F74-correction!G109))&gt;0.005,"faux!","juste!"))</f>
        <v>juste!</v>
      </c>
      <c r="H74" s="229">
        <f>IF(G74="juste!",1,0)</f>
        <v>1</v>
      </c>
      <c r="I74" s="230"/>
      <c r="J74" s="230"/>
    </row>
    <row r="75" spans="2:10">
      <c r="G75" s="230"/>
      <c r="H75" s="228"/>
      <c r="I75" s="230"/>
      <c r="J75" s="230"/>
    </row>
    <row r="76" spans="2:10" ht="15.75">
      <c r="D76" s="38"/>
      <c r="E76" s="39"/>
      <c r="G76" s="230"/>
      <c r="H76" s="228"/>
      <c r="I76" s="230"/>
      <c r="J76" s="230"/>
    </row>
    <row r="77" spans="2:10" ht="15.75">
      <c r="B77" s="57" t="s">
        <v>9</v>
      </c>
      <c r="D77" s="36"/>
      <c r="E77" s="37"/>
      <c r="G77" s="230"/>
      <c r="H77" s="228"/>
      <c r="I77" s="230"/>
      <c r="J77" s="230"/>
    </row>
    <row r="78" spans="2:10" ht="15.75">
      <c r="B78" s="34"/>
      <c r="D78" s="36"/>
      <c r="E78" s="37"/>
      <c r="F78" s="11"/>
      <c r="G78" s="230"/>
      <c r="H78" s="228"/>
      <c r="I78" s="230"/>
      <c r="J78" s="230"/>
    </row>
    <row r="79" spans="2:10" ht="15.75">
      <c r="C79" s="55" t="s">
        <v>73</v>
      </c>
      <c r="D79" s="56"/>
      <c r="E79" s="56"/>
      <c r="F79" s="208">
        <v>4.3700000000000003E-2</v>
      </c>
      <c r="G79" s="231" t="str">
        <f>IF(F79=0,"",IF(ABS((F79-correction!G120))&gt;0.005,"faux!","juste!"))</f>
        <v>juste!</v>
      </c>
      <c r="H79" s="229">
        <f>IF(G79="juste!",1,0)</f>
        <v>1</v>
      </c>
      <c r="I79" s="230"/>
      <c r="J79" s="230"/>
    </row>
    <row r="80" spans="2:10">
      <c r="G80" s="230"/>
      <c r="H80" s="228"/>
      <c r="I80" s="230"/>
      <c r="J80" s="230"/>
    </row>
    <row r="81" spans="2:14" ht="15.75">
      <c r="B81" s="57"/>
      <c r="D81" s="36"/>
      <c r="E81" s="37"/>
      <c r="G81" s="230"/>
      <c r="H81" s="228"/>
      <c r="I81" s="230"/>
      <c r="J81" s="230"/>
    </row>
    <row r="82" spans="2:14">
      <c r="G82" s="230"/>
      <c r="H82" s="230"/>
      <c r="I82" s="232"/>
      <c r="J82" s="232"/>
    </row>
    <row r="83" spans="2:14" ht="15.75">
      <c r="D83" s="38"/>
      <c r="E83" s="39"/>
      <c r="G83" s="230"/>
      <c r="H83" s="230"/>
      <c r="I83" s="230"/>
      <c r="J83" s="230"/>
    </row>
    <row r="84" spans="2:14" ht="15.75">
      <c r="B84" s="42" t="s">
        <v>67</v>
      </c>
      <c r="C84" s="43">
        <f>G70+G72+H74+H79</f>
        <v>4</v>
      </c>
      <c r="D84" s="38"/>
      <c r="E84" s="39"/>
      <c r="G84" s="230"/>
      <c r="H84" s="230"/>
      <c r="I84" s="230"/>
      <c r="J84" s="230"/>
    </row>
    <row r="85" spans="2:14" ht="15.75">
      <c r="D85" s="38"/>
      <c r="E85" s="39"/>
      <c r="G85" s="230"/>
      <c r="H85" s="230"/>
      <c r="I85" s="230"/>
      <c r="J85" s="230"/>
    </row>
    <row r="86" spans="2:14" ht="15.75">
      <c r="D86" s="38"/>
      <c r="E86" s="39"/>
      <c r="G86" s="230"/>
      <c r="H86" s="230"/>
      <c r="I86" s="230"/>
      <c r="J86" s="230"/>
    </row>
    <row r="87" spans="2:14" ht="24" customHeight="1">
      <c r="B87" s="23"/>
      <c r="C87" s="25"/>
      <c r="D87" s="27" t="s">
        <v>74</v>
      </c>
      <c r="E87" s="26"/>
      <c r="F87" s="219"/>
      <c r="G87" s="23"/>
      <c r="I87" s="23"/>
    </row>
    <row r="90" spans="2:14" ht="15.75">
      <c r="B90" s="248" t="s">
        <v>8</v>
      </c>
      <c r="C90" s="249" t="s">
        <v>261</v>
      </c>
      <c r="D90" s="250">
        <v>0.33333333333333331</v>
      </c>
      <c r="E90" s="250">
        <v>0.33333333333333331</v>
      </c>
      <c r="F90" s="250">
        <v>0.33333333333333331</v>
      </c>
      <c r="G90" s="251"/>
      <c r="H90" s="15"/>
    </row>
    <row r="91" spans="2:14" ht="15.75">
      <c r="B91" s="248"/>
      <c r="C91" s="252"/>
      <c r="D91" s="253"/>
      <c r="E91" s="253"/>
      <c r="F91" s="253"/>
      <c r="G91" s="251"/>
      <c r="H91" s="15"/>
    </row>
    <row r="92" spans="2:14">
      <c r="B92" s="251"/>
      <c r="C92" s="250"/>
      <c r="D92" s="250"/>
      <c r="E92" s="250"/>
      <c r="F92" s="251"/>
      <c r="G92" s="250"/>
    </row>
    <row r="93" spans="2:14" ht="15.75">
      <c r="B93" s="249" t="s">
        <v>266</v>
      </c>
      <c r="C93" s="250"/>
      <c r="D93" s="250"/>
      <c r="E93" s="250"/>
      <c r="F93" s="249" t="s">
        <v>260</v>
      </c>
      <c r="G93" s="250"/>
    </row>
    <row r="94" spans="2:14">
      <c r="B94" s="252"/>
      <c r="C94" s="250"/>
      <c r="D94" s="250"/>
      <c r="E94" s="250"/>
      <c r="F94" s="252"/>
      <c r="G94" s="250"/>
    </row>
    <row r="95" spans="2:14" ht="15.75">
      <c r="B95" s="254"/>
      <c r="C95" s="254"/>
      <c r="D95" s="254"/>
      <c r="E95" s="254"/>
      <c r="F95" s="254"/>
      <c r="G95" s="254"/>
      <c r="H95" s="220"/>
      <c r="I95" s="209"/>
      <c r="J95" s="209"/>
      <c r="K95" s="209"/>
      <c r="L95" s="209"/>
      <c r="M95" s="164"/>
      <c r="N95" s="209"/>
    </row>
    <row r="96" spans="2:14" ht="15.75">
      <c r="C96" s="55" t="s">
        <v>75</v>
      </c>
      <c r="D96" s="56"/>
      <c r="E96" s="56"/>
      <c r="F96" s="69">
        <v>24.5</v>
      </c>
      <c r="G96" s="11" t="str">
        <f>IF(F96=0,"",IF(ABS((F96-correction!G136))&gt;0.5,"faux!","juste!"))</f>
        <v>juste!</v>
      </c>
      <c r="H96" s="221">
        <f>IF(G96="juste!",1,0)</f>
        <v>1</v>
      </c>
      <c r="I96" s="210"/>
      <c r="J96" s="210"/>
      <c r="K96" s="210"/>
      <c r="L96" s="164"/>
      <c r="M96" s="164"/>
      <c r="N96" s="209"/>
    </row>
    <row r="97" spans="2:16">
      <c r="H97" s="222"/>
      <c r="I97" s="211"/>
      <c r="J97" s="211"/>
      <c r="K97" s="211"/>
      <c r="L97" s="164"/>
      <c r="M97" s="164"/>
      <c r="N97" s="209"/>
    </row>
    <row r="98" spans="2:16">
      <c r="H98" s="223"/>
      <c r="I98" s="212"/>
      <c r="J98" s="212"/>
      <c r="K98" s="212"/>
      <c r="L98" s="209"/>
      <c r="M98" s="210"/>
      <c r="N98" s="209"/>
    </row>
    <row r="99" spans="2:16" ht="15.75">
      <c r="B99" s="57" t="s">
        <v>9</v>
      </c>
      <c r="C99" s="130" t="s">
        <v>328</v>
      </c>
      <c r="D99" s="244"/>
      <c r="E99" s="244"/>
      <c r="F99" s="244"/>
      <c r="H99" s="224"/>
      <c r="I99" s="212"/>
      <c r="J99" s="212"/>
      <c r="K99" s="212"/>
      <c r="L99" s="213"/>
      <c r="M99" s="210"/>
      <c r="N99" s="209"/>
    </row>
    <row r="100" spans="2:16" ht="16.5" thickBot="1">
      <c r="B100" s="57"/>
      <c r="C100" s="130"/>
      <c r="D100" s="245"/>
      <c r="E100" s="245"/>
      <c r="F100" s="245"/>
      <c r="H100" s="224"/>
      <c r="I100" s="212"/>
      <c r="J100" s="212"/>
      <c r="K100" s="212"/>
      <c r="L100" s="213"/>
      <c r="M100" s="210"/>
      <c r="N100" s="209"/>
    </row>
    <row r="101" spans="2:16" ht="15.75">
      <c r="B101" s="57"/>
      <c r="C101" s="130" t="s">
        <v>329</v>
      </c>
      <c r="D101" s="246"/>
      <c r="E101" s="247"/>
      <c r="F101" s="247"/>
      <c r="H101" s="224"/>
      <c r="I101" s="212"/>
      <c r="J101" s="212"/>
      <c r="K101" s="212"/>
      <c r="L101" s="213"/>
      <c r="M101" s="210"/>
      <c r="N101" s="209"/>
    </row>
    <row r="102" spans="2:16" ht="15.75">
      <c r="B102" s="57"/>
      <c r="C102" s="130"/>
      <c r="D102" s="244"/>
      <c r="E102" s="245"/>
      <c r="F102" s="245"/>
      <c r="H102" s="224"/>
      <c r="I102" s="212"/>
      <c r="J102" s="212"/>
      <c r="K102" s="212"/>
      <c r="L102" s="213"/>
      <c r="M102" s="210"/>
      <c r="N102" s="209"/>
    </row>
    <row r="103" spans="2:16" ht="15.75">
      <c r="B103" s="57"/>
      <c r="C103" s="130"/>
      <c r="D103" s="244"/>
      <c r="E103" s="245"/>
      <c r="F103" s="245"/>
      <c r="H103" s="224"/>
      <c r="I103" s="212"/>
      <c r="J103" s="212"/>
      <c r="K103" s="212"/>
      <c r="L103" s="213"/>
      <c r="M103" s="210"/>
      <c r="N103" s="209"/>
    </row>
    <row r="104" spans="2:16" ht="15.75">
      <c r="B104" s="57"/>
      <c r="C104" s="130"/>
      <c r="D104" s="210"/>
      <c r="E104" s="210"/>
      <c r="F104" s="210"/>
      <c r="H104" s="225"/>
      <c r="I104" s="212"/>
      <c r="J104" s="212"/>
      <c r="K104" s="212"/>
      <c r="L104" s="213"/>
      <c r="M104" s="210"/>
      <c r="N104" s="209"/>
      <c r="O104" s="209"/>
      <c r="P104" s="209"/>
    </row>
    <row r="105" spans="2:16" ht="15.75">
      <c r="H105" s="226"/>
      <c r="I105" s="216"/>
      <c r="J105" s="209"/>
      <c r="K105" s="209"/>
      <c r="L105" s="209"/>
      <c r="M105" s="209"/>
      <c r="N105" s="164"/>
      <c r="O105" s="209"/>
      <c r="P105" s="209"/>
    </row>
    <row r="106" spans="2:16" ht="15.75">
      <c r="D106" s="55" t="s">
        <v>76</v>
      </c>
      <c r="E106" s="56"/>
      <c r="F106" s="44">
        <v>26</v>
      </c>
      <c r="G106" s="11" t="str">
        <f>IF(F106=0,"",IF(ABS((F106-correction!G159))&gt;0.5,"faux!","juste!"))</f>
        <v>juste!</v>
      </c>
      <c r="H106" s="227">
        <f>IF(G106="juste!",1,0)</f>
        <v>1</v>
      </c>
      <c r="I106" s="216"/>
      <c r="J106" s="209"/>
      <c r="K106" s="209"/>
      <c r="L106" s="209"/>
      <c r="M106" s="209"/>
      <c r="N106" s="164"/>
      <c r="O106" s="209"/>
      <c r="P106" s="209"/>
    </row>
    <row r="107" spans="2:16" ht="15.75">
      <c r="H107" s="227"/>
      <c r="I107" s="216"/>
      <c r="J107" s="209"/>
      <c r="K107" s="209"/>
      <c r="L107" s="209"/>
      <c r="M107" s="209"/>
      <c r="N107" s="164"/>
      <c r="O107" s="209"/>
      <c r="P107" s="209"/>
    </row>
    <row r="108" spans="2:16" ht="15.75">
      <c r="H108" s="227"/>
      <c r="I108" s="216"/>
      <c r="J108" s="209"/>
      <c r="K108" s="209"/>
      <c r="L108" s="164"/>
      <c r="M108" s="164"/>
      <c r="N108" s="214"/>
      <c r="O108" s="209"/>
      <c r="P108" s="209"/>
    </row>
    <row r="109" spans="2:16" ht="15.75">
      <c r="B109" s="42" t="s">
        <v>96</v>
      </c>
      <c r="C109" s="43">
        <f>H96+H106</f>
        <v>2</v>
      </c>
      <c r="D109" s="38"/>
      <c r="E109" s="39"/>
      <c r="H109" s="227"/>
      <c r="I109" s="213"/>
      <c r="J109" s="217"/>
      <c r="K109" s="218"/>
      <c r="L109" s="217"/>
      <c r="M109" s="215"/>
      <c r="N109" s="214"/>
      <c r="O109" s="209"/>
      <c r="P109" s="209"/>
    </row>
    <row r="110" spans="2:16" ht="15.75">
      <c r="H110" s="227"/>
      <c r="I110" s="216"/>
      <c r="J110" s="209"/>
      <c r="K110" s="209"/>
      <c r="L110" s="164"/>
      <c r="M110" s="164"/>
      <c r="N110" s="214"/>
      <c r="O110" s="209"/>
      <c r="P110" s="209"/>
    </row>
    <row r="111" spans="2:16">
      <c r="H111" s="227"/>
      <c r="I111" s="209"/>
      <c r="J111" s="209"/>
      <c r="K111" s="209"/>
      <c r="L111" s="209"/>
      <c r="M111" s="209"/>
      <c r="N111" s="164"/>
      <c r="O111" s="209"/>
      <c r="P111" s="209"/>
    </row>
    <row r="112" spans="2:16" ht="24" customHeight="1">
      <c r="B112" s="23"/>
      <c r="C112" s="25"/>
      <c r="D112" s="27" t="s">
        <v>77</v>
      </c>
      <c r="E112" s="26"/>
      <c r="F112" s="23"/>
      <c r="G112" s="23"/>
      <c r="H112" s="227"/>
      <c r="I112" s="219"/>
      <c r="J112" s="209"/>
      <c r="K112" s="209"/>
      <c r="L112" s="209"/>
      <c r="M112" s="209"/>
      <c r="N112" s="209"/>
      <c r="O112" s="209"/>
      <c r="P112" s="209"/>
    </row>
    <row r="113" spans="2:16">
      <c r="H113" s="227"/>
      <c r="I113" s="209"/>
      <c r="J113" s="209"/>
      <c r="K113" s="209"/>
      <c r="L113" s="209"/>
      <c r="M113" s="209"/>
      <c r="N113" s="209"/>
      <c r="O113" s="209"/>
      <c r="P113" s="209"/>
    </row>
    <row r="114" spans="2:16">
      <c r="H114" s="228"/>
    </row>
    <row r="115" spans="2:16" ht="15.75">
      <c r="B115" s="57" t="s">
        <v>78</v>
      </c>
      <c r="H115" s="228"/>
    </row>
    <row r="116" spans="2:16">
      <c r="H116" s="228"/>
    </row>
    <row r="117" spans="2:16" ht="15.75">
      <c r="C117" s="55" t="s">
        <v>79</v>
      </c>
      <c r="D117" s="56"/>
      <c r="E117" s="56"/>
      <c r="F117" s="45" t="s">
        <v>80</v>
      </c>
      <c r="G117" s="11" t="str">
        <f>IF(F117=0,"",IF(F117=correction!G167,"juste!","faux!"))</f>
        <v>juste!</v>
      </c>
      <c r="H117" s="229">
        <f>IF(G117="juste!",1,0)</f>
        <v>1</v>
      </c>
    </row>
    <row r="120" spans="2:16" ht="15.75">
      <c r="B120" s="57" t="s">
        <v>81</v>
      </c>
    </row>
    <row r="131" spans="2:9" ht="15.75">
      <c r="B131" s="42" t="s">
        <v>320</v>
      </c>
      <c r="C131" s="43">
        <f>H117</f>
        <v>1</v>
      </c>
      <c r="D131" s="38"/>
      <c r="E131" s="39"/>
    </row>
    <row r="134" spans="2:9" ht="24" customHeight="1">
      <c r="B134" s="23"/>
      <c r="C134" s="25"/>
      <c r="D134" s="27" t="s">
        <v>82</v>
      </c>
      <c r="E134" s="26"/>
      <c r="F134" s="23"/>
      <c r="G134" s="23"/>
      <c r="I134" s="23"/>
    </row>
    <row r="136" spans="2:9" ht="15.75">
      <c r="B136" s="57" t="s">
        <v>83</v>
      </c>
    </row>
    <row r="138" spans="2:9" ht="15.75">
      <c r="C138" s="55" t="s">
        <v>84</v>
      </c>
      <c r="D138" s="56"/>
      <c r="E138" s="56"/>
      <c r="F138" s="280">
        <v>0.4425</v>
      </c>
      <c r="G138" s="11" t="str">
        <f>IF(F138=0,"",IF(ABS((F138-correction!G206))&gt;0.005,"faux!","juste!"))</f>
        <v>juste!</v>
      </c>
      <c r="H138" s="14">
        <f>IF(G138="juste!",0.5,0)</f>
        <v>0.5</v>
      </c>
    </row>
    <row r="141" spans="2:9" ht="15.75">
      <c r="C141" s="55" t="s">
        <v>85</v>
      </c>
      <c r="D141" s="56"/>
      <c r="E141" s="56"/>
      <c r="F141" s="64">
        <v>5.11E-2</v>
      </c>
      <c r="G141" s="11" t="str">
        <f>IF(F141=0,"",IF(ABS((F141-correction!G209))&gt;0.005,"faux!","juste!"))</f>
        <v>juste!</v>
      </c>
      <c r="H141" s="14">
        <f>IF(G141="juste!",0.5,0)</f>
        <v>0.5</v>
      </c>
    </row>
    <row r="143" spans="2:9" ht="15.75">
      <c r="B143" s="57" t="s">
        <v>44</v>
      </c>
    </row>
    <row r="145" spans="2:9" ht="15.75">
      <c r="C145" s="55" t="s">
        <v>88</v>
      </c>
      <c r="D145" s="68"/>
      <c r="E145" s="56"/>
      <c r="F145" s="64">
        <v>0.1923</v>
      </c>
      <c r="G145" s="11" t="str">
        <f>IF(F145=0,"",IF(ABS((F145-correction!G220))&gt;0.005,"faux!","juste!"))</f>
        <v>juste!</v>
      </c>
      <c r="H145" s="14">
        <f>IF(G145="juste!",0.5,0)</f>
        <v>0.5</v>
      </c>
    </row>
    <row r="147" spans="2:9" ht="15.75">
      <c r="C147" s="55" t="s">
        <v>89</v>
      </c>
      <c r="D147" s="68"/>
      <c r="E147" s="56"/>
      <c r="F147" s="64">
        <v>0.80769999999999997</v>
      </c>
      <c r="G147" s="11" t="str">
        <f>IF(F147=0,"",IF(ABS((F147-correction!G222))&gt;0.005,"faux!","juste!"))</f>
        <v>juste!</v>
      </c>
      <c r="H147" s="14">
        <f>IF(G147="juste!",0.5,0)</f>
        <v>0.5</v>
      </c>
    </row>
    <row r="150" spans="2:9" ht="15.75">
      <c r="C150" s="55" t="s">
        <v>84</v>
      </c>
      <c r="D150" s="56"/>
      <c r="E150" s="56"/>
      <c r="F150" s="64">
        <v>0.42899999999999999</v>
      </c>
      <c r="G150" s="11" t="str">
        <f>IF(F150=0,"",IF(ABS((F150-correction!G225))&gt;0.005,"faux!","juste!"))</f>
        <v>juste!</v>
      </c>
      <c r="H150" s="14">
        <f>IF(G150="juste!",0.25,0)</f>
        <v>0.25</v>
      </c>
    </row>
    <row r="152" spans="2:9" ht="15.75">
      <c r="C152" s="55" t="s">
        <v>85</v>
      </c>
      <c r="D152" s="56"/>
      <c r="E152" s="56"/>
      <c r="F152" s="64">
        <v>4.8500000000000001E-2</v>
      </c>
      <c r="G152" s="11" t="str">
        <f>IF(F152=0,"",IF(ABS((F152-correction!G227))&gt;0.005,"faux!","juste!"))</f>
        <v>juste!</v>
      </c>
      <c r="H152" s="14">
        <f>IF(G152="juste!",0.25,0)</f>
        <v>0.25</v>
      </c>
    </row>
    <row r="155" spans="2:9" ht="15.75">
      <c r="B155" s="42" t="s">
        <v>96</v>
      </c>
      <c r="C155" s="43">
        <f>H138+H141+H145+H147+H150+H152</f>
        <v>2.5</v>
      </c>
      <c r="D155" s="38"/>
      <c r="E155" s="39"/>
    </row>
    <row r="156" spans="2:9">
      <c r="C156" s="70"/>
    </row>
    <row r="159" spans="2:9" ht="24" customHeight="1">
      <c r="B159" s="23"/>
      <c r="C159" s="25"/>
      <c r="D159" s="27" t="s">
        <v>86</v>
      </c>
      <c r="E159" s="26"/>
      <c r="F159" s="23"/>
      <c r="G159" s="23"/>
      <c r="I159" s="23"/>
    </row>
    <row r="162" spans="2:8" ht="15.75">
      <c r="B162" s="57" t="s">
        <v>83</v>
      </c>
      <c r="C162" s="90" t="s">
        <v>334</v>
      </c>
    </row>
    <row r="163" spans="2:8" ht="21.75" customHeight="1">
      <c r="B163" s="57"/>
      <c r="C163" s="90"/>
      <c r="E163" s="242"/>
      <c r="F163" s="243"/>
    </row>
    <row r="165" spans="2:8" ht="15.75">
      <c r="C165" s="55" t="s">
        <v>94</v>
      </c>
      <c r="D165" s="68"/>
      <c r="E165" s="56"/>
      <c r="F165" s="64">
        <v>0.75</v>
      </c>
      <c r="G165" s="11" t="str">
        <f>IF(F165=0,"",IF(ABS((F165-correction!G243))&gt;0.01,"faux!","juste!"))</f>
        <v>juste!</v>
      </c>
      <c r="H165" s="14">
        <f>IF(G165="juste!",0.5,0)</f>
        <v>0.5</v>
      </c>
    </row>
    <row r="167" spans="2:8" ht="15.75">
      <c r="C167" s="55" t="s">
        <v>95</v>
      </c>
      <c r="D167" s="68"/>
      <c r="E167" s="56"/>
      <c r="F167" s="64">
        <v>0.25</v>
      </c>
      <c r="G167" s="11" t="str">
        <f>IF(F167=0,"",IF(ABS((F167-correction!G245))&gt;0.01,"faux!","juste!"))</f>
        <v>juste!</v>
      </c>
      <c r="H167" s="14">
        <f>IF(G167="juste!",0.5,0)</f>
        <v>0.5</v>
      </c>
    </row>
    <row r="169" spans="2:8" ht="15.75">
      <c r="B169" s="57" t="s">
        <v>44</v>
      </c>
      <c r="C169" s="90" t="s">
        <v>335</v>
      </c>
    </row>
    <row r="172" spans="2:8" ht="15.75">
      <c r="C172" s="55" t="s">
        <v>90</v>
      </c>
      <c r="D172" s="68"/>
      <c r="E172" s="56"/>
      <c r="F172" s="64">
        <v>9.6199999999999994E-2</v>
      </c>
      <c r="G172" s="71" t="s">
        <v>87</v>
      </c>
      <c r="H172" s="64">
        <v>1</v>
      </c>
    </row>
    <row r="173" spans="2:8" ht="15.75">
      <c r="F173" s="11" t="str">
        <f>IF(F172="","",IF(ABS((F172-correction!G261))&gt;0.01,"faux!","juste!"))</f>
        <v>juste!</v>
      </c>
      <c r="H173" s="11" t="str">
        <f>IF(H172="","",IF(ABS((H172-correction!I261))&gt;0.005,"faux!","juste!"))</f>
        <v>juste!</v>
      </c>
    </row>
    <row r="174" spans="2:8">
      <c r="F174" s="14">
        <f>IF(F173="juste!",0.5,0)</f>
        <v>0.5</v>
      </c>
      <c r="H174" s="14">
        <f>IF(H173="juste!",0.5,0)</f>
        <v>0.5</v>
      </c>
    </row>
    <row r="176" spans="2:8" ht="15.75">
      <c r="C176" s="55" t="s">
        <v>91</v>
      </c>
      <c r="D176" s="68"/>
      <c r="E176" s="56"/>
      <c r="F176" s="64">
        <v>0</v>
      </c>
      <c r="G176" s="71" t="s">
        <v>87</v>
      </c>
      <c r="H176" s="64">
        <v>0.90300000000000002</v>
      </c>
    </row>
    <row r="177" spans="2:11" ht="15.75">
      <c r="F177" s="11" t="str">
        <f>IF(F176="","",IF(ABS((F176-correction!G265))&gt;0.005,"faux!","juste!"))</f>
        <v>juste!</v>
      </c>
      <c r="H177" s="11" t="str">
        <f>IF(H176=0,"",IF(ABS((H176-correction!I265))&gt;0.01,"faux!","juste!"))</f>
        <v>juste!</v>
      </c>
    </row>
    <row r="178" spans="2:11">
      <c r="F178" s="14">
        <f>IF(F177="juste!",0.25,0)</f>
        <v>0.25</v>
      </c>
      <c r="H178" s="14">
        <f>IF(H177="juste!",0.5,0)</f>
        <v>0.5</v>
      </c>
    </row>
    <row r="179" spans="2:11" ht="15.75">
      <c r="B179" s="57" t="s">
        <v>92</v>
      </c>
      <c r="C179" s="90" t="s">
        <v>93</v>
      </c>
    </row>
    <row r="181" spans="2:11" ht="15.75">
      <c r="C181" s="55" t="s">
        <v>90</v>
      </c>
      <c r="D181" s="68"/>
      <c r="E181" s="56"/>
      <c r="F181" s="64">
        <v>9.6000000000000002E-2</v>
      </c>
      <c r="G181" s="71" t="s">
        <v>87</v>
      </c>
      <c r="H181" s="64">
        <v>0.75</v>
      </c>
    </row>
    <row r="182" spans="2:11" ht="15.75">
      <c r="F182" s="11" t="str">
        <f>IF(F181=0,"",IF(ABS((F181-correction!G271))&gt;0.015,"faux!","juste!"))</f>
        <v>juste!</v>
      </c>
      <c r="H182" s="11" t="str">
        <f>IF(H181=0,"",IF(ABS((H181-correction!I271))&gt;0.01,"faux!","juste!"))</f>
        <v>juste!</v>
      </c>
    </row>
    <row r="183" spans="2:11">
      <c r="F183" s="14">
        <f>IF(F182="juste!",0.25,0)</f>
        <v>0.25</v>
      </c>
      <c r="H183" s="14">
        <f>IF(H182="juste!",0.25,0)</f>
        <v>0.25</v>
      </c>
    </row>
    <row r="185" spans="2:11" ht="15.75">
      <c r="B185" s="42" t="s">
        <v>321</v>
      </c>
      <c r="C185" s="43">
        <f>H165+H167+F174+H174+F178+H178+F183+H183</f>
        <v>3.25</v>
      </c>
    </row>
    <row r="188" spans="2:11" ht="24" customHeight="1">
      <c r="B188" s="23"/>
      <c r="C188" s="25"/>
      <c r="D188" s="27" t="s">
        <v>145</v>
      </c>
      <c r="E188" s="26"/>
      <c r="F188" s="23"/>
      <c r="G188" s="234"/>
      <c r="H188" s="230"/>
      <c r="I188" s="234"/>
      <c r="J188" s="230"/>
      <c r="K188" s="230"/>
    </row>
    <row r="189" spans="2:11">
      <c r="G189" s="230"/>
      <c r="H189" s="230"/>
      <c r="I189" s="230"/>
      <c r="J189" s="230"/>
      <c r="K189" s="230"/>
    </row>
    <row r="190" spans="2:11">
      <c r="G190" s="230"/>
      <c r="H190" s="230"/>
      <c r="I190" s="230"/>
      <c r="J190" s="230"/>
      <c r="K190" s="230"/>
    </row>
    <row r="191" spans="2:11" ht="15.75">
      <c r="B191" s="57" t="s">
        <v>150</v>
      </c>
      <c r="C191" s="90" t="s">
        <v>149</v>
      </c>
      <c r="G191" s="230"/>
      <c r="H191" s="228"/>
      <c r="I191" s="228"/>
      <c r="J191" s="228"/>
      <c r="K191" s="230"/>
    </row>
    <row r="192" spans="2:11">
      <c r="G192" s="230"/>
      <c r="H192" s="228"/>
      <c r="I192" s="228"/>
      <c r="J192" s="228"/>
      <c r="K192" s="230"/>
    </row>
    <row r="193" spans="1:11" ht="15.75">
      <c r="C193" s="55" t="s">
        <v>148</v>
      </c>
      <c r="D193" s="68"/>
      <c r="E193" s="56"/>
      <c r="F193" s="64">
        <v>0</v>
      </c>
      <c r="G193" s="231" t="str">
        <f>IF(F193="","",IF(ABS((F193-correction!G289))&gt;0,"faux!","juste!"))</f>
        <v>juste!</v>
      </c>
      <c r="H193" s="229">
        <f>IF(G193="juste!",1/3,0)</f>
        <v>0.33333333333333331</v>
      </c>
      <c r="I193" s="228"/>
      <c r="J193" s="228"/>
      <c r="K193" s="230"/>
    </row>
    <row r="194" spans="1:11">
      <c r="G194" s="230"/>
      <c r="H194" s="228"/>
      <c r="I194" s="228"/>
      <c r="J194" s="228"/>
      <c r="K194" s="230"/>
    </row>
    <row r="195" spans="1:11" ht="15.75">
      <c r="C195" s="55" t="s">
        <v>146</v>
      </c>
      <c r="D195" s="68"/>
      <c r="E195" s="56"/>
      <c r="F195" s="64">
        <v>0.25600000000000001</v>
      </c>
      <c r="G195" s="231" t="str">
        <f>IF(F195="","",IF(ABS((F195-correction!G290))&gt;0.005,"faux!","juste!"))</f>
        <v>juste!</v>
      </c>
      <c r="H195" s="229">
        <f>IF(G195="juste!",1/3,0)</f>
        <v>0.33333333333333331</v>
      </c>
      <c r="I195" s="228"/>
      <c r="J195" s="228"/>
      <c r="K195" s="230"/>
    </row>
    <row r="196" spans="1:11">
      <c r="G196" s="230"/>
      <c r="H196" s="228"/>
      <c r="I196" s="228"/>
      <c r="J196" s="228"/>
      <c r="K196" s="230"/>
    </row>
    <row r="197" spans="1:11" ht="15.75">
      <c r="C197" s="55" t="s">
        <v>147</v>
      </c>
      <c r="D197" s="68"/>
      <c r="E197" s="56"/>
      <c r="F197" s="64">
        <v>0.74360000000000004</v>
      </c>
      <c r="G197" s="231" t="str">
        <f>IF(F197="","",IF(ABS((F197-correction!G291))&gt;0.005,"faux!","juste!"))</f>
        <v>juste!</v>
      </c>
      <c r="H197" s="229">
        <f>IF(G197="juste!",1/3,0)</f>
        <v>0.33333333333333331</v>
      </c>
      <c r="I197" s="228"/>
      <c r="J197" s="228"/>
      <c r="K197" s="230"/>
    </row>
    <row r="198" spans="1:11">
      <c r="G198" s="230"/>
      <c r="H198" s="228"/>
      <c r="I198" s="228"/>
      <c r="J198" s="228"/>
      <c r="K198" s="230"/>
    </row>
    <row r="199" spans="1:11" ht="15.75">
      <c r="B199" s="57" t="s">
        <v>151</v>
      </c>
      <c r="C199" s="90"/>
      <c r="G199" s="230"/>
      <c r="H199" s="228"/>
      <c r="I199" s="228"/>
      <c r="J199" s="228"/>
      <c r="K199" s="230"/>
    </row>
    <row r="200" spans="1:11" ht="15.75">
      <c r="B200" s="11" t="s">
        <v>8</v>
      </c>
      <c r="C200" s="90" t="s">
        <v>152</v>
      </c>
      <c r="G200" s="230"/>
      <c r="H200" s="228"/>
      <c r="I200" s="228"/>
      <c r="J200" s="228"/>
      <c r="K200" s="230"/>
    </row>
    <row r="201" spans="1:11">
      <c r="G201" s="230"/>
      <c r="H201" s="228"/>
      <c r="I201" s="228"/>
      <c r="J201" s="228"/>
      <c r="K201" s="230"/>
    </row>
    <row r="202" spans="1:11" s="94" customFormat="1" ht="15.75">
      <c r="A202" s="93"/>
      <c r="B202" s="93"/>
      <c r="C202" s="55" t="s">
        <v>146</v>
      </c>
      <c r="D202" s="68"/>
      <c r="E202" s="56"/>
      <c r="F202" s="64">
        <v>0.5</v>
      </c>
      <c r="G202" s="231" t="str">
        <f>IF(F202="","",IF(ABS((F202-correction!G323))&gt;0.5%,"faux!","juste!"))</f>
        <v>juste!</v>
      </c>
      <c r="H202" s="229">
        <f>IF(G202="juste!",0.25,0)</f>
        <v>0.25</v>
      </c>
      <c r="I202" s="236"/>
      <c r="J202" s="236"/>
      <c r="K202" s="235"/>
    </row>
    <row r="203" spans="1:11" s="94" customFormat="1" ht="15.75">
      <c r="C203" s="55" t="s">
        <v>147</v>
      </c>
      <c r="D203" s="68"/>
      <c r="E203" s="56"/>
      <c r="F203" s="64">
        <v>0.5</v>
      </c>
      <c r="G203" s="231" t="str">
        <f>IF(F203="","",IF(ABS((F203-correction!G324))&gt;0.5%,"faux!","juste!"))</f>
        <v>juste!</v>
      </c>
      <c r="H203" s="229">
        <f>IF(G203="juste!",0.25,0)</f>
        <v>0.25</v>
      </c>
      <c r="I203" s="236"/>
      <c r="J203" s="236"/>
      <c r="K203" s="235"/>
    </row>
    <row r="204" spans="1:11" s="94" customFormat="1">
      <c r="F204" s="95"/>
      <c r="G204" s="235"/>
      <c r="H204" s="237"/>
      <c r="I204" s="236"/>
      <c r="J204" s="236"/>
      <c r="K204" s="235"/>
    </row>
    <row r="205" spans="1:11" s="94" customFormat="1" ht="15.75">
      <c r="C205" s="55" t="s">
        <v>153</v>
      </c>
      <c r="D205" s="68"/>
      <c r="E205" s="56"/>
      <c r="F205" s="64">
        <v>0.13500000000000001</v>
      </c>
      <c r="G205" s="231" t="str">
        <f>IF(F205="","",IF(ABS((F205-correction!G325))&gt;0.005,"faux!","juste!"))</f>
        <v>juste!</v>
      </c>
      <c r="H205" s="229">
        <f>IF(G205="juste!",0.5,0)</f>
        <v>0.5</v>
      </c>
      <c r="I205" s="236"/>
      <c r="J205" s="236"/>
      <c r="K205" s="235"/>
    </row>
    <row r="206" spans="1:11" s="94" customFormat="1" ht="15.75">
      <c r="C206" s="55" t="s">
        <v>154</v>
      </c>
      <c r="D206" s="68"/>
      <c r="E206" s="56"/>
      <c r="F206" s="64">
        <v>0.436</v>
      </c>
      <c r="G206" s="231" t="str">
        <f>IF(F206="","",IF(ABS((F206-correction!G326))&gt;0.005,"faux!","juste!"))</f>
        <v>juste!</v>
      </c>
      <c r="H206" s="229">
        <f>IF(G206="juste!",0.5,0)</f>
        <v>0.5</v>
      </c>
      <c r="I206" s="236"/>
      <c r="J206" s="236"/>
      <c r="K206" s="235"/>
    </row>
    <row r="207" spans="1:11" ht="15.75">
      <c r="F207" s="100"/>
      <c r="G207" s="230"/>
      <c r="H207" s="238"/>
      <c r="I207" s="228"/>
      <c r="J207" s="228"/>
      <c r="K207" s="230"/>
    </row>
    <row r="208" spans="1:11">
      <c r="F208" s="14"/>
      <c r="G208" s="230"/>
      <c r="H208" s="229"/>
      <c r="I208" s="228"/>
      <c r="J208" s="228"/>
      <c r="K208" s="230"/>
    </row>
    <row r="209" spans="2:14" ht="15.75">
      <c r="B209" s="11" t="s">
        <v>9</v>
      </c>
      <c r="C209" s="92" t="s">
        <v>158</v>
      </c>
      <c r="F209" s="14"/>
      <c r="G209" s="230"/>
      <c r="H209" s="229"/>
      <c r="I209" s="228"/>
      <c r="J209" s="228"/>
      <c r="K209" s="230"/>
    </row>
    <row r="210" spans="2:14" ht="15.75">
      <c r="C210" s="148" t="s">
        <v>159</v>
      </c>
      <c r="D210" s="149"/>
      <c r="E210" s="149"/>
      <c r="F210" s="14"/>
      <c r="G210" s="230"/>
      <c r="H210" s="229"/>
      <c r="I210" s="228"/>
      <c r="J210" s="228"/>
      <c r="K210" s="230"/>
    </row>
    <row r="211" spans="2:14" ht="15.75">
      <c r="C211" s="92"/>
      <c r="F211" s="14"/>
      <c r="G211" s="230"/>
      <c r="H211" s="229"/>
      <c r="I211" s="228"/>
      <c r="J211" s="228"/>
      <c r="K211" s="230"/>
    </row>
    <row r="212" spans="2:14" ht="15">
      <c r="C212" s="90" t="s">
        <v>155</v>
      </c>
      <c r="G212" s="230"/>
      <c r="H212" s="228"/>
      <c r="I212" s="228"/>
      <c r="J212" s="228"/>
      <c r="K212" s="230"/>
    </row>
    <row r="213" spans="2:14">
      <c r="G213" s="230"/>
      <c r="H213" s="228"/>
      <c r="I213" s="228"/>
      <c r="J213" s="228"/>
      <c r="K213" s="230"/>
    </row>
    <row r="214" spans="2:14" s="91" customFormat="1" ht="15.75">
      <c r="C214" s="55" t="s">
        <v>289</v>
      </c>
      <c r="D214" s="68"/>
      <c r="E214" s="147" t="s">
        <v>281</v>
      </c>
      <c r="F214" s="64">
        <v>0.25640000000000002</v>
      </c>
      <c r="G214" s="11" t="str">
        <f>IF(F214="","",IF(ABS(F214-correction!G331)&lt;0.005,"juste!","faux"))</f>
        <v>juste!</v>
      </c>
      <c r="H214" s="229">
        <f>IF(G214="juste!",0.25,0)</f>
        <v>0.25</v>
      </c>
      <c r="I214" s="236"/>
      <c r="J214" s="236"/>
    </row>
    <row r="215" spans="2:14" s="91" customFormat="1" ht="15.75">
      <c r="C215" s="55" t="s">
        <v>288</v>
      </c>
      <c r="D215" s="68"/>
      <c r="E215" s="147" t="s">
        <v>283</v>
      </c>
      <c r="F215" s="64">
        <v>0.74360000000000004</v>
      </c>
      <c r="G215" s="11" t="str">
        <f>IF(F215="","",IF(ABS(F215-correction!G332)&lt;0.005,"juste!","faux"))</f>
        <v>juste!</v>
      </c>
      <c r="H215" s="229">
        <f>IF(G215="juste!",0.25,0)</f>
        <v>0.25</v>
      </c>
      <c r="I215" s="236"/>
      <c r="J215" s="236"/>
    </row>
    <row r="216" spans="2:14" s="91" customFormat="1">
      <c r="H216" s="236"/>
      <c r="I216" s="236"/>
      <c r="J216" s="236"/>
    </row>
    <row r="217" spans="2:14" s="91" customFormat="1" ht="15">
      <c r="C217" s="90" t="s">
        <v>157</v>
      </c>
      <c r="D217" s="1"/>
      <c r="E217" s="1"/>
      <c r="F217" s="1"/>
      <c r="G217" s="1"/>
      <c r="H217" s="228"/>
      <c r="I217" s="236"/>
      <c r="J217" s="236"/>
      <c r="K217" s="235"/>
      <c r="L217" s="235"/>
      <c r="M217" s="235"/>
      <c r="N217" s="235"/>
    </row>
    <row r="218" spans="2:14" s="91" customFormat="1" ht="15.75">
      <c r="C218" s="1"/>
      <c r="D218" s="1"/>
      <c r="E218" s="1"/>
      <c r="F218" s="11" t="str">
        <f>IF(F219="","",IF(ABS(F219-correction!G336)&lt;0.005,"juste!","faux"))</f>
        <v>juste!</v>
      </c>
      <c r="G218" s="1"/>
      <c r="H218" s="1"/>
      <c r="I218" s="236"/>
      <c r="J218" s="236"/>
      <c r="K218" s="235"/>
      <c r="L218" s="235"/>
      <c r="M218" s="235"/>
      <c r="N218" s="235"/>
    </row>
    <row r="219" spans="2:14" s="91" customFormat="1" ht="15.75">
      <c r="C219" s="55" t="s">
        <v>289</v>
      </c>
      <c r="D219" s="68"/>
      <c r="E219" s="147" t="s">
        <v>285</v>
      </c>
      <c r="F219" s="64">
        <v>0.25640000000000002</v>
      </c>
      <c r="G219" s="151" t="s">
        <v>284</v>
      </c>
      <c r="H219" s="64">
        <v>0.5</v>
      </c>
      <c r="I219" s="238" t="str">
        <f>IF(H219="","",IF(H219=correction!I336,"juste!","faux"))</f>
        <v>juste!</v>
      </c>
      <c r="J219" s="229">
        <f>IF(I219="juste!",0.25,0)</f>
        <v>0.25</v>
      </c>
      <c r="K219" s="235"/>
      <c r="L219" s="235"/>
      <c r="M219" s="235"/>
      <c r="N219" s="235"/>
    </row>
    <row r="220" spans="2:14" s="91" customFormat="1" ht="15.75">
      <c r="C220" s="55" t="s">
        <v>288</v>
      </c>
      <c r="D220" s="68"/>
      <c r="E220" s="147" t="s">
        <v>286</v>
      </c>
      <c r="F220" s="64">
        <v>0.5</v>
      </c>
      <c r="G220" s="151" t="s">
        <v>284</v>
      </c>
      <c r="H220" s="64">
        <v>0.74360000000000004</v>
      </c>
      <c r="I220" s="238" t="str">
        <f>IF(H220="","",IF(ABS(H220-correction!I337)&lt;0.005,"juste!","faux"))</f>
        <v>juste!</v>
      </c>
      <c r="J220" s="229">
        <f>IF(I220="juste!",0.25,0)</f>
        <v>0.25</v>
      </c>
      <c r="K220" s="235"/>
      <c r="L220" s="235"/>
      <c r="M220" s="235"/>
      <c r="N220" s="235"/>
    </row>
    <row r="221" spans="2:14" s="91" customFormat="1" ht="15.75">
      <c r="F221" s="11" t="str">
        <f>IF(F220="","",IF(F220=correction!G337,"juste!","faux"))</f>
        <v>juste!</v>
      </c>
      <c r="I221" s="236"/>
      <c r="J221" s="236"/>
      <c r="K221" s="235"/>
      <c r="L221" s="235"/>
      <c r="M221" s="235"/>
      <c r="N221" s="235"/>
    </row>
    <row r="222" spans="2:14" s="91" customFormat="1">
      <c r="I222" s="236"/>
      <c r="J222" s="236"/>
      <c r="K222" s="235"/>
      <c r="L222" s="235"/>
      <c r="M222" s="235"/>
      <c r="N222" s="235"/>
    </row>
    <row r="223" spans="2:14" s="91" customFormat="1" ht="15.75">
      <c r="B223" s="57" t="s">
        <v>160</v>
      </c>
      <c r="C223" s="96" t="s">
        <v>161</v>
      </c>
      <c r="I223" s="236"/>
      <c r="J223" s="236"/>
    </row>
    <row r="224" spans="2:14" s="91" customFormat="1">
      <c r="G224" s="235"/>
      <c r="H224" s="236"/>
      <c r="I224" s="236"/>
      <c r="J224" s="236"/>
      <c r="K224" s="235"/>
      <c r="L224" s="235"/>
      <c r="M224" s="235"/>
    </row>
    <row r="225" spans="2:13" s="91" customFormat="1" ht="15.75">
      <c r="C225" s="55" t="s">
        <v>331</v>
      </c>
      <c r="D225" s="68"/>
      <c r="E225" s="56"/>
      <c r="F225" s="64">
        <v>0.34200000000000003</v>
      </c>
      <c r="G225" s="231" t="str">
        <f>IF(F225="","",IF(ABS((F225-correction!G355))&gt;0.005,"faux!","juste!"))</f>
        <v>juste!</v>
      </c>
      <c r="H225" s="229">
        <f>IF(G225="juste!",0.25,0)</f>
        <v>0.25</v>
      </c>
      <c r="I225" s="236"/>
      <c r="J225" s="236"/>
      <c r="K225" s="235"/>
      <c r="L225" s="235"/>
      <c r="M225" s="235"/>
    </row>
    <row r="226" spans="2:13" s="91" customFormat="1" ht="15.75">
      <c r="C226" s="55" t="s">
        <v>162</v>
      </c>
      <c r="D226" s="68"/>
      <c r="E226" s="56"/>
      <c r="F226" s="64">
        <v>0.65800000000000003</v>
      </c>
      <c r="G226" s="231" t="str">
        <f>IF(F226="","",IF(ABS((F226-correction!G356))&gt;0.005,"faux!","juste!"))</f>
        <v>juste!</v>
      </c>
      <c r="H226" s="229">
        <f>IF(G226="juste!",0.25,0)</f>
        <v>0.25</v>
      </c>
      <c r="I226" s="236"/>
      <c r="J226" s="236"/>
      <c r="K226" s="235"/>
      <c r="L226" s="235"/>
      <c r="M226" s="235"/>
    </row>
    <row r="227" spans="2:13" s="91" customFormat="1">
      <c r="G227" s="235"/>
      <c r="H227" s="236"/>
      <c r="I227" s="236"/>
      <c r="J227" s="236"/>
      <c r="K227" s="235"/>
      <c r="L227" s="235"/>
      <c r="M227" s="235"/>
    </row>
    <row r="228" spans="2:13" s="91" customFormat="1">
      <c r="G228" s="235"/>
      <c r="H228" s="236"/>
      <c r="I228" s="235"/>
      <c r="J228" s="235"/>
      <c r="K228" s="235"/>
      <c r="L228" s="235"/>
      <c r="M228" s="235"/>
    </row>
    <row r="229" spans="2:13" s="91" customFormat="1">
      <c r="H229" s="236"/>
    </row>
    <row r="230" spans="2:13" s="91" customFormat="1" ht="15.75">
      <c r="B230" s="97" t="s">
        <v>163</v>
      </c>
      <c r="C230" s="101">
        <f>H226+H225+J220+J219+H215+H214+H206+H205+H203+H202+H193+H195+H197</f>
        <v>4</v>
      </c>
    </row>
    <row r="231" spans="2:13" s="91" customFormat="1"/>
    <row r="232" spans="2:13" s="91" customFormat="1"/>
    <row r="233" spans="2:13" s="91" customFormat="1"/>
    <row r="234" spans="2:13" s="91" customFormat="1"/>
    <row r="235" spans="2:13" s="91" customFormat="1"/>
    <row r="236" spans="2:13" s="91" customFormat="1"/>
    <row r="237" spans="2:13" s="91" customFormat="1"/>
    <row r="238" spans="2:13" s="91" customFormat="1"/>
    <row r="239" spans="2:13" s="91" customFormat="1"/>
    <row r="240" spans="2:13" s="91" customFormat="1"/>
    <row r="241" s="91" customFormat="1"/>
    <row r="242" s="91" customFormat="1"/>
    <row r="243" s="91" customFormat="1"/>
    <row r="244" s="91" customFormat="1"/>
    <row r="245" s="91" customFormat="1"/>
    <row r="246" s="91" customFormat="1"/>
    <row r="247" s="91" customFormat="1"/>
    <row r="248" s="91" customFormat="1"/>
    <row r="249" s="91" customFormat="1"/>
    <row r="250" s="91" customFormat="1"/>
    <row r="251" s="91" customFormat="1"/>
    <row r="252" s="91" customFormat="1"/>
    <row r="253" s="91" customFormat="1"/>
    <row r="254" s="91" customFormat="1"/>
    <row r="255" s="91" customFormat="1"/>
    <row r="256" s="91" customFormat="1"/>
    <row r="257" s="91" customFormat="1"/>
    <row r="258" s="91" customFormat="1"/>
  </sheetData>
  <sheetProtection password="F3F0" sheet="1" objects="1" scenarios="1"/>
  <mergeCells count="1">
    <mergeCell ref="D2:G4"/>
  </mergeCells>
  <phoneticPr fontId="0" type="noConversion"/>
  <printOptions gridLinesSet="0"/>
  <pageMargins left="0.78740157499999996" right="0.78740157499999996" top="0.98425196900000012" bottom="0.98425196900000012" header="0.49212598450000006" footer="0.49212598450000006"/>
  <pageSetup paperSize="9" scale="80" orientation="portrait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Line="0" autoPict="0" macro="[0]!affichage_de_la_correction">
                <anchor moveWithCells="1" sizeWithCells="1">
                  <from>
                    <xdr:col>1</xdr:col>
                    <xdr:colOff>76200</xdr:colOff>
                    <xdr:row>13</xdr:row>
                    <xdr:rowOff>95250</xdr:rowOff>
                  </from>
                  <to>
                    <xdr:col>2</xdr:col>
                    <xdr:colOff>533400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"/>
  <sheetViews>
    <sheetView workbookViewId="0"/>
  </sheetViews>
  <sheetFormatPr baseColWidth="10" defaultColWidth="11.42578125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"/>
  <sheetViews>
    <sheetView workbookViewId="0">
      <selection activeCell="A2" sqref="A2"/>
    </sheetView>
  </sheetViews>
  <sheetFormatPr baseColWidth="10" defaultColWidth="11.42578125" defaultRowHeight="12.75"/>
  <sheetData>
    <row r="1" spans="1:1">
      <c r="A1" s="3" t="s">
        <v>317</v>
      </c>
    </row>
  </sheetData>
  <sheetProtection password="F3F0" sheet="1" objects="1" scenarios="1"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2:K356"/>
  <sheetViews>
    <sheetView showGridLines="0" topLeftCell="A329" zoomScale="80" zoomScaleNormal="80" workbookViewId="0">
      <selection activeCell="L321" sqref="L321"/>
    </sheetView>
  </sheetViews>
  <sheetFormatPr baseColWidth="10" defaultColWidth="9.85546875" defaultRowHeight="12.75"/>
  <cols>
    <col min="1" max="1" width="4.42578125" style="15" customWidth="1"/>
    <col min="2" max="2" width="7.85546875" style="15" customWidth="1"/>
    <col min="3" max="3" width="14.7109375" style="15" customWidth="1"/>
    <col min="4" max="4" width="18.7109375" style="15" customWidth="1"/>
    <col min="5" max="5" width="21.85546875" style="15" customWidth="1"/>
    <col min="6" max="6" width="29.28515625" style="15" customWidth="1"/>
    <col min="7" max="7" width="18.28515625" style="15" customWidth="1"/>
    <col min="8" max="8" width="13" style="15" customWidth="1"/>
    <col min="9" max="9" width="18.28515625" style="15" customWidth="1"/>
    <col min="10" max="10" width="15.42578125" style="15" customWidth="1"/>
    <col min="11" max="16384" width="9.85546875" style="15"/>
  </cols>
  <sheetData>
    <row r="2" spans="2:8" ht="20.25">
      <c r="C2" s="58"/>
      <c r="D2" s="59"/>
      <c r="E2" s="16" t="s">
        <v>107</v>
      </c>
      <c r="F2" s="59"/>
      <c r="G2" s="60"/>
    </row>
    <row r="4" spans="2:8" ht="15.75">
      <c r="B4" s="22" t="s">
        <v>7</v>
      </c>
      <c r="C4" s="17"/>
    </row>
    <row r="7" spans="2:8" ht="15.75">
      <c r="C7" s="72" t="s">
        <v>8</v>
      </c>
      <c r="E7" s="2"/>
      <c r="F7" s="2"/>
      <c r="G7" s="2"/>
      <c r="H7" s="2"/>
    </row>
    <row r="8" spans="2:8" ht="15.75">
      <c r="C8" s="32" t="s">
        <v>175</v>
      </c>
      <c r="D8" s="32"/>
      <c r="E8" s="2"/>
      <c r="F8" s="2"/>
      <c r="G8" s="2"/>
      <c r="H8" s="2"/>
    </row>
    <row r="9" spans="2:8">
      <c r="H9" s="2"/>
    </row>
    <row r="10" spans="2:8" ht="15">
      <c r="C10" s="19" t="s">
        <v>174</v>
      </c>
      <c r="H10" s="2"/>
    </row>
    <row r="11" spans="2:8" ht="15">
      <c r="C11" s="19"/>
      <c r="H11" s="2"/>
    </row>
    <row r="12" spans="2:8" ht="15">
      <c r="D12" s="99" t="s">
        <v>176</v>
      </c>
      <c r="H12" s="2"/>
    </row>
    <row r="13" spans="2:8">
      <c r="H13" s="2"/>
    </row>
    <row r="14" spans="2:8" ht="15">
      <c r="D14" s="99" t="s">
        <v>172</v>
      </c>
      <c r="H14" s="2"/>
    </row>
    <row r="15" spans="2:8">
      <c r="H15" s="2"/>
    </row>
    <row r="16" spans="2:8">
      <c r="H16" s="2"/>
    </row>
    <row r="17" spans="3:8" ht="15.75">
      <c r="D17" s="99" t="s">
        <v>170</v>
      </c>
      <c r="E17" s="99" t="s">
        <v>247</v>
      </c>
      <c r="F17" s="99"/>
      <c r="G17" s="192">
        <f>'Enoncés Gest_port'!C21</f>
        <v>0.05</v>
      </c>
      <c r="H17" s="137"/>
    </row>
    <row r="18" spans="3:8" ht="15">
      <c r="D18" s="99"/>
      <c r="E18" s="99" t="s">
        <v>248</v>
      </c>
      <c r="F18" s="99"/>
      <c r="G18" s="195"/>
      <c r="H18" s="152">
        <f>'Enoncés Gest_port'!F20</f>
        <v>0.03</v>
      </c>
    </row>
    <row r="19" spans="3:8" ht="15.75">
      <c r="D19" s="99"/>
      <c r="E19" s="99" t="s">
        <v>249</v>
      </c>
      <c r="F19" s="99"/>
      <c r="G19" s="192">
        <f>'Enoncés Gest_port'!D19</f>
        <v>1.8</v>
      </c>
      <c r="H19" s="137"/>
    </row>
    <row r="20" spans="3:8" ht="19.5">
      <c r="D20" s="99"/>
      <c r="E20" s="99" t="s">
        <v>250</v>
      </c>
      <c r="F20" s="99"/>
      <c r="G20" s="192">
        <f>G17+G19*H18</f>
        <v>0.10400000000000001</v>
      </c>
      <c r="H20" s="137"/>
    </row>
    <row r="21" spans="3:8" ht="15.75">
      <c r="C21" s="32" t="s">
        <v>180</v>
      </c>
      <c r="D21" s="99"/>
      <c r="F21" s="99"/>
      <c r="G21" s="99"/>
      <c r="H21" s="2"/>
    </row>
    <row r="22" spans="3:8" ht="15.75">
      <c r="C22" s="32"/>
      <c r="D22" s="99"/>
      <c r="F22" s="99"/>
      <c r="G22" s="99"/>
      <c r="H22" s="2"/>
    </row>
    <row r="23" spans="3:8" ht="15">
      <c r="C23" s="99" t="s">
        <v>178</v>
      </c>
      <c r="D23" s="99"/>
      <c r="F23" s="99"/>
      <c r="G23" s="99"/>
      <c r="H23" s="2"/>
    </row>
    <row r="24" spans="3:8" ht="15.75">
      <c r="C24" s="32"/>
      <c r="D24" s="99"/>
      <c r="F24" s="99"/>
      <c r="G24" s="99"/>
      <c r="H24" s="2"/>
    </row>
    <row r="25" spans="3:8" ht="15.75">
      <c r="C25" s="32"/>
      <c r="D25" s="99"/>
      <c r="F25" s="99"/>
      <c r="G25" s="99"/>
      <c r="H25" s="2"/>
    </row>
    <row r="26" spans="3:8" ht="15.75">
      <c r="C26" s="32"/>
      <c r="D26" s="99"/>
      <c r="F26" s="99"/>
      <c r="G26" s="99"/>
      <c r="H26" s="2"/>
    </row>
    <row r="27" spans="3:8" ht="15.75">
      <c r="C27" s="32"/>
      <c r="D27" s="99" t="s">
        <v>170</v>
      </c>
      <c r="E27" s="99" t="s">
        <v>251</v>
      </c>
      <c r="F27" s="99"/>
      <c r="G27" s="193">
        <f>'Enoncés Gest_port'!F17</f>
        <v>5.2499999999999998E-2</v>
      </c>
      <c r="H27" s="2"/>
    </row>
    <row r="28" spans="3:8" ht="15.75">
      <c r="C28" s="32"/>
      <c r="D28" s="99"/>
      <c r="E28" s="99" t="s">
        <v>252</v>
      </c>
      <c r="F28" s="99"/>
      <c r="G28" s="193">
        <f>'Enoncés Gest_port'!G18</f>
        <v>4.1500000000000004</v>
      </c>
      <c r="H28" s="2"/>
    </row>
    <row r="29" spans="3:8" ht="19.5">
      <c r="C29" s="32"/>
      <c r="D29" s="99"/>
      <c r="E29" s="99" t="s">
        <v>253</v>
      </c>
      <c r="F29" s="99"/>
      <c r="G29" s="194">
        <f>G20</f>
        <v>0.10400000000000001</v>
      </c>
    </row>
    <row r="30" spans="3:8" ht="15.75">
      <c r="C30" s="32"/>
      <c r="D30" s="99"/>
      <c r="F30" s="99"/>
      <c r="G30" s="99"/>
      <c r="H30" s="2"/>
    </row>
    <row r="31" spans="3:8" ht="15.75">
      <c r="C31" s="73"/>
      <c r="D31" s="32"/>
      <c r="E31" s="19"/>
      <c r="F31" s="28"/>
      <c r="G31" s="74"/>
      <c r="H31" s="75" t="s">
        <v>11</v>
      </c>
    </row>
    <row r="32" spans="3:8" ht="15.75">
      <c r="C32" s="55" t="s">
        <v>64</v>
      </c>
      <c r="D32" s="56"/>
      <c r="E32" s="56"/>
      <c r="F32" s="183">
        <f>G28/(G29-G27)</f>
        <v>80.582524271844648</v>
      </c>
      <c r="G32" s="77"/>
    </row>
    <row r="33" spans="3:8">
      <c r="C33" s="2"/>
      <c r="D33" s="2"/>
      <c r="E33" s="2"/>
      <c r="F33" s="2"/>
      <c r="G33" s="2"/>
    </row>
    <row r="34" spans="3:8">
      <c r="C34" s="2"/>
      <c r="D34" s="2"/>
      <c r="E34" s="2"/>
      <c r="F34" s="2"/>
      <c r="G34" s="2"/>
    </row>
    <row r="35" spans="3:8" ht="15.75">
      <c r="C35" s="55" t="s">
        <v>65</v>
      </c>
      <c r="D35" s="56"/>
      <c r="E35" s="56"/>
      <c r="F35" s="183" t="str">
        <f>IF(F32&lt;'Enoncés Gest_port'!C23,"surcotée","souscotée")</f>
        <v>souscotée</v>
      </c>
      <c r="H35" s="11"/>
    </row>
    <row r="36" spans="3:8">
      <c r="C36" s="2"/>
      <c r="D36" s="2"/>
      <c r="E36" s="2"/>
      <c r="F36" s="2"/>
      <c r="G36" s="2"/>
      <c r="H36" s="2"/>
    </row>
    <row r="37" spans="3:8" ht="15.75">
      <c r="C37" s="73"/>
      <c r="D37" s="18"/>
      <c r="E37" s="75"/>
      <c r="F37" s="75"/>
      <c r="G37" s="75"/>
      <c r="H37" s="75"/>
    </row>
    <row r="38" spans="3:8" ht="15.75">
      <c r="C38" s="35" t="s">
        <v>9</v>
      </c>
      <c r="D38" s="2"/>
      <c r="E38" s="2"/>
      <c r="F38" s="2"/>
      <c r="G38" s="2"/>
      <c r="H38" s="2"/>
    </row>
    <row r="39" spans="3:8" ht="15.75">
      <c r="C39" s="76" t="s">
        <v>179</v>
      </c>
      <c r="D39" s="2"/>
      <c r="E39" s="2"/>
      <c r="F39" s="2"/>
      <c r="G39" s="2"/>
      <c r="H39" s="2"/>
    </row>
    <row r="40" spans="3:8" ht="15.75">
      <c r="C40" s="35"/>
      <c r="D40" s="2"/>
      <c r="E40" s="2"/>
      <c r="F40" s="2"/>
      <c r="G40" s="2"/>
      <c r="H40" s="2"/>
    </row>
    <row r="41" spans="3:8" ht="15.75">
      <c r="C41" s="35"/>
      <c r="D41" s="2"/>
      <c r="E41" s="2"/>
      <c r="F41" s="2"/>
      <c r="G41" s="2"/>
      <c r="H41" s="2"/>
    </row>
    <row r="42" spans="3:8" ht="15.75">
      <c r="C42" s="35"/>
      <c r="D42" s="105" t="s">
        <v>170</v>
      </c>
      <c r="E42" s="105" t="s">
        <v>254</v>
      </c>
      <c r="F42" s="105"/>
      <c r="G42" s="155">
        <f>'Enoncés Gest_port'!C23</f>
        <v>78</v>
      </c>
      <c r="H42" s="2"/>
    </row>
    <row r="43" spans="3:8" ht="15.75">
      <c r="C43" s="34"/>
      <c r="D43" s="2"/>
      <c r="E43" s="2"/>
      <c r="F43" s="2"/>
      <c r="G43" s="2"/>
      <c r="H43" s="2"/>
    </row>
    <row r="44" spans="3:8" ht="15.75">
      <c r="C44" s="2"/>
      <c r="D44" s="55" t="s">
        <v>66</v>
      </c>
      <c r="E44" s="56"/>
      <c r="F44" s="56"/>
      <c r="G44" s="184">
        <f>(G28/G42)+G27</f>
        <v>0.1057051282051282</v>
      </c>
      <c r="H44" s="78"/>
    </row>
    <row r="46" spans="3:8" ht="15">
      <c r="C46" s="106" t="s">
        <v>181</v>
      </c>
      <c r="D46" s="105" t="s">
        <v>182</v>
      </c>
    </row>
    <row r="47" spans="3:8" ht="15">
      <c r="D47" s="105" t="s">
        <v>326</v>
      </c>
    </row>
    <row r="48" spans="3:8">
      <c r="C48" s="2"/>
    </row>
    <row r="49" spans="2:8" ht="15.75">
      <c r="B49" s="22" t="s">
        <v>97</v>
      </c>
      <c r="C49" s="17"/>
    </row>
    <row r="50" spans="2:8" ht="15.75">
      <c r="B50" s="104"/>
    </row>
    <row r="51" spans="2:8" ht="15.75">
      <c r="B51" s="104"/>
      <c r="C51" s="18" t="s">
        <v>174</v>
      </c>
    </row>
    <row r="52" spans="2:8" ht="15.75">
      <c r="B52" s="104"/>
      <c r="C52" s="18"/>
    </row>
    <row r="53" spans="2:8" ht="19.5">
      <c r="D53" s="99" t="s">
        <v>177</v>
      </c>
    </row>
    <row r="55" spans="2:8" ht="15">
      <c r="D55" s="99" t="s">
        <v>172</v>
      </c>
    </row>
    <row r="58" spans="2:8" ht="15.75">
      <c r="D58" s="99" t="s">
        <v>170</v>
      </c>
      <c r="E58" s="99" t="s">
        <v>247</v>
      </c>
      <c r="F58" s="99"/>
      <c r="G58" s="267">
        <f>'Enoncés Gest_port'!B32</f>
        <v>7.4999999999999997E-2</v>
      </c>
    </row>
    <row r="59" spans="2:8" ht="15">
      <c r="D59" s="99"/>
      <c r="E59" s="99" t="s">
        <v>248</v>
      </c>
      <c r="F59" s="99"/>
      <c r="G59" s="99"/>
      <c r="H59" s="156">
        <f>'Enoncés Gest_port'!D31</f>
        <v>0.05</v>
      </c>
    </row>
    <row r="60" spans="2:8" ht="15.75">
      <c r="D60" s="99"/>
      <c r="E60" s="99" t="s">
        <v>255</v>
      </c>
      <c r="F60" s="153">
        <f>'Enoncés Gest_port'!F30</f>
        <v>1.3</v>
      </c>
      <c r="G60" s="99"/>
    </row>
    <row r="62" spans="2:8" ht="15.75">
      <c r="C62" s="55" t="s">
        <v>171</v>
      </c>
      <c r="D62" s="56"/>
      <c r="E62" s="68"/>
      <c r="F62" s="56"/>
      <c r="G62" s="184">
        <f>G58+F60*H59</f>
        <v>0.14000000000000001</v>
      </c>
      <c r="H62" s="77"/>
    </row>
    <row r="63" spans="2:8">
      <c r="C63" s="2"/>
      <c r="D63" s="2"/>
      <c r="E63" s="2"/>
      <c r="F63" s="2"/>
      <c r="G63" s="2"/>
    </row>
    <row r="64" spans="2:8">
      <c r="D64" s="2"/>
      <c r="E64" s="2"/>
      <c r="F64" s="2"/>
      <c r="G64" s="2"/>
    </row>
    <row r="65" spans="2:7" ht="18.75">
      <c r="C65" s="76" t="s">
        <v>173</v>
      </c>
      <c r="D65" s="2"/>
      <c r="E65" s="2"/>
      <c r="F65" s="2"/>
      <c r="G65" s="2"/>
    </row>
    <row r="66" spans="2:7">
      <c r="C66" s="2"/>
      <c r="D66" s="2"/>
      <c r="E66" s="2"/>
      <c r="F66" s="2"/>
      <c r="G66" s="2"/>
    </row>
    <row r="67" spans="2:7">
      <c r="C67" s="2"/>
      <c r="D67" s="2"/>
      <c r="E67" s="2"/>
      <c r="F67" s="2"/>
      <c r="G67" s="2"/>
    </row>
    <row r="68" spans="2:7">
      <c r="C68" s="2" t="s">
        <v>264</v>
      </c>
      <c r="D68" s="2"/>
      <c r="E68" s="2"/>
      <c r="F68" s="2"/>
      <c r="G68" s="2"/>
    </row>
    <row r="69" spans="2:7">
      <c r="C69" s="2"/>
      <c r="D69" s="2"/>
      <c r="E69" s="2"/>
      <c r="F69" s="2"/>
      <c r="G69" s="2"/>
    </row>
    <row r="70" spans="2:7">
      <c r="C70" s="2"/>
      <c r="D70" s="2"/>
      <c r="E70" s="2"/>
      <c r="F70" s="2"/>
      <c r="G70" s="2"/>
    </row>
    <row r="71" spans="2:7">
      <c r="C71" s="2"/>
      <c r="D71" s="2"/>
      <c r="E71" s="2"/>
      <c r="F71" s="2"/>
      <c r="G71" s="2"/>
    </row>
    <row r="72" spans="2:7">
      <c r="C72" s="2"/>
      <c r="D72" s="2"/>
      <c r="E72" s="2"/>
      <c r="F72" s="2"/>
      <c r="G72" s="2"/>
    </row>
    <row r="73" spans="2:7">
      <c r="C73" s="2"/>
      <c r="D73" s="2"/>
      <c r="E73" s="2"/>
      <c r="F73" s="2"/>
      <c r="G73" s="2"/>
    </row>
    <row r="74" spans="2:7">
      <c r="C74" s="2"/>
      <c r="D74" s="2"/>
      <c r="E74" s="2"/>
      <c r="F74" s="2"/>
      <c r="G74" s="2"/>
    </row>
    <row r="75" spans="2:7">
      <c r="C75" s="2"/>
      <c r="D75" s="2"/>
      <c r="E75" s="2"/>
      <c r="F75" s="2"/>
      <c r="G75" s="2"/>
    </row>
    <row r="76" spans="2:7" ht="15.75">
      <c r="C76" s="2"/>
      <c r="D76" s="2"/>
      <c r="E76" s="2"/>
      <c r="F76" s="55" t="s">
        <v>69</v>
      </c>
      <c r="G76" s="183">
        <f>'Enoncés Gest_port'!H28*'Enoncés Gest_port'!B30+('Enoncés Gest_port'!B30/G62)</f>
        <v>6.0714285714285712</v>
      </c>
    </row>
    <row r="80" spans="2:7" ht="15.75">
      <c r="B80" s="22" t="s">
        <v>98</v>
      </c>
      <c r="C80" s="17"/>
    </row>
    <row r="82" spans="3:8" ht="15.75">
      <c r="C82" s="35" t="s">
        <v>8</v>
      </c>
      <c r="D82" s="2"/>
      <c r="E82" s="79"/>
      <c r="F82" s="80"/>
      <c r="G82" s="2"/>
    </row>
    <row r="83" spans="3:8" ht="15.75">
      <c r="C83" s="35"/>
      <c r="D83" s="81" t="s">
        <v>99</v>
      </c>
      <c r="E83" s="79"/>
      <c r="F83" s="80"/>
      <c r="G83" s="2"/>
    </row>
    <row r="84" spans="3:8" ht="15.75">
      <c r="C84" s="35"/>
      <c r="D84" s="2"/>
      <c r="E84" s="79"/>
      <c r="F84" s="80"/>
      <c r="G84" s="2"/>
    </row>
    <row r="85" spans="3:8" ht="15.75">
      <c r="C85" s="35"/>
      <c r="D85" s="113" t="s">
        <v>257</v>
      </c>
      <c r="E85" s="156">
        <f>AVERAGE('Enoncés Gest_port'!F42:F47)</f>
        <v>4.9499999999999995E-2</v>
      </c>
      <c r="F85" s="165" t="s">
        <v>256</v>
      </c>
      <c r="G85" s="154">
        <f>AVERAGE('Enoncés Gest_port'!C42:C47)</f>
        <v>4.3666666666666666E-2</v>
      </c>
    </row>
    <row r="86" spans="3:8" ht="15.75">
      <c r="C86" s="35"/>
      <c r="D86" s="2"/>
      <c r="E86" s="79"/>
      <c r="F86" s="80"/>
      <c r="G86" s="2"/>
    </row>
    <row r="87" spans="3:8" ht="15.75">
      <c r="C87" s="35"/>
      <c r="D87" s="2"/>
      <c r="E87" s="79"/>
      <c r="F87" s="80"/>
      <c r="G87" s="2"/>
    </row>
    <row r="88" spans="3:8" ht="15.75">
      <c r="C88" s="35"/>
      <c r="D88" s="2"/>
      <c r="E88" s="79"/>
      <c r="F88" s="80"/>
      <c r="G88" s="2"/>
    </row>
    <row r="89" spans="3:8" ht="15.75">
      <c r="C89" s="35"/>
      <c r="D89" s="2"/>
      <c r="E89" s="79"/>
      <c r="F89" s="185">
        <f>SUM(F95:F100)/SUMSQ(D95:D100)</f>
        <v>2.2731036479444127</v>
      </c>
      <c r="G89" s="2"/>
    </row>
    <row r="90" spans="3:8" ht="15.75">
      <c r="C90" s="35"/>
      <c r="D90" s="2"/>
      <c r="E90" s="79"/>
      <c r="F90" s="80"/>
      <c r="G90" s="2"/>
      <c r="H90" s="268"/>
    </row>
    <row r="91" spans="3:8" ht="15.75">
      <c r="C91" s="35"/>
      <c r="D91" s="2"/>
      <c r="E91" s="79"/>
      <c r="F91" s="80"/>
      <c r="G91" s="2"/>
      <c r="H91" s="115"/>
    </row>
    <row r="92" spans="3:8" ht="15.75">
      <c r="C92" s="35"/>
      <c r="D92" s="2"/>
      <c r="E92" s="79"/>
      <c r="F92" s="80"/>
      <c r="G92" s="2"/>
      <c r="H92" s="115"/>
    </row>
    <row r="93" spans="3:8" ht="15.75">
      <c r="C93" s="35"/>
      <c r="D93" s="2"/>
      <c r="E93" s="79"/>
      <c r="F93" s="80"/>
      <c r="G93" s="2"/>
      <c r="H93" s="115"/>
    </row>
    <row r="94" spans="3:8" ht="18.75">
      <c r="C94" s="35"/>
      <c r="D94" s="166" t="s">
        <v>304</v>
      </c>
      <c r="E94" s="167" t="s">
        <v>305</v>
      </c>
      <c r="F94" s="168" t="s">
        <v>306</v>
      </c>
      <c r="G94" s="2"/>
      <c r="H94" s="115"/>
    </row>
    <row r="95" spans="3:8" ht="15.75">
      <c r="C95" s="35"/>
      <c r="D95" s="116">
        <f>'Enoncés Gest_port'!C42-correction!G$85</f>
        <v>1.3333333333333322E-3</v>
      </c>
      <c r="E95" s="117">
        <f>'Enoncés Gest_port'!F42-correction!E$85</f>
        <v>8.550000000000002E-2</v>
      </c>
      <c r="F95" s="122">
        <f>D95*E95</f>
        <v>1.1399999999999992E-4</v>
      </c>
      <c r="G95" s="2"/>
      <c r="H95" s="115"/>
    </row>
    <row r="96" spans="3:8" ht="15.75">
      <c r="C96" s="35"/>
      <c r="D96" s="118">
        <f>'Enoncés Gest_port'!C43-correction!G$85</f>
        <v>-5.3666666666666668E-2</v>
      </c>
      <c r="E96" s="119">
        <f>'Enoncés Gest_port'!F43-correction!E$85</f>
        <v>-0.1545</v>
      </c>
      <c r="F96" s="123">
        <f t="shared" ref="F96:F100" si="0">D96*E96</f>
        <v>8.2915000000000003E-3</v>
      </c>
      <c r="G96" s="2"/>
      <c r="H96" s="115"/>
    </row>
    <row r="97" spans="3:8" ht="15.75">
      <c r="C97" s="35"/>
      <c r="D97" s="118">
        <f>'Enoncés Gest_port'!C44-correction!G$85</f>
        <v>3.3333333333333333E-2</v>
      </c>
      <c r="E97" s="119">
        <f>'Enoncés Gest_port'!F44-correction!E$85</f>
        <v>0.10550000000000001</v>
      </c>
      <c r="F97" s="123">
        <f t="shared" si="0"/>
        <v>3.5166666666666671E-3</v>
      </c>
      <c r="G97" s="2"/>
      <c r="H97" s="115"/>
    </row>
    <row r="98" spans="3:8" ht="15.75" customHeight="1">
      <c r="C98" s="35"/>
      <c r="D98" s="118">
        <f>'Enoncés Gest_port'!C45-correction!G$85</f>
        <v>-6.3666666666666663E-2</v>
      </c>
      <c r="E98" s="119">
        <f>'Enoncés Gest_port'!F45-correction!E$85</f>
        <v>-0.14949999999999999</v>
      </c>
      <c r="F98" s="123">
        <f t="shared" si="0"/>
        <v>9.5181666666666661E-3</v>
      </c>
      <c r="G98" s="2"/>
      <c r="H98" s="115"/>
    </row>
    <row r="99" spans="3:8" ht="15.75">
      <c r="C99" s="35"/>
      <c r="D99" s="118">
        <f>'Enoncés Gest_port'!C46-correction!G$85</f>
        <v>3.6333333333333336E-2</v>
      </c>
      <c r="E99" s="119">
        <f>'Enoncés Gest_port'!F46-correction!E$85</f>
        <v>5.050000000000001E-2</v>
      </c>
      <c r="F99" s="123">
        <f t="shared" si="0"/>
        <v>1.8348333333333337E-3</v>
      </c>
      <c r="G99" s="2"/>
      <c r="H99" s="115"/>
    </row>
    <row r="100" spans="3:8" ht="15.75">
      <c r="C100" s="35"/>
      <c r="D100" s="120">
        <f>'Enoncés Gest_port'!C47-correction!G$85</f>
        <v>4.6333333333333331E-2</v>
      </c>
      <c r="E100" s="121">
        <f>'Enoncés Gest_port'!F47-correction!E$85</f>
        <v>6.25E-2</v>
      </c>
      <c r="F100" s="124">
        <f t="shared" si="0"/>
        <v>2.8958333333333332E-3</v>
      </c>
      <c r="G100" s="2"/>
      <c r="H100" s="115"/>
    </row>
    <row r="101" spans="3:8" ht="15.75">
      <c r="C101" s="265" t="s">
        <v>333</v>
      </c>
      <c r="D101" s="266">
        <f>SUMSQ(D95:D100)/5</f>
        <v>2.3026666666666664E-3</v>
      </c>
      <c r="E101" s="79"/>
      <c r="F101" s="80"/>
      <c r="G101" s="2"/>
    </row>
    <row r="102" spans="3:8" ht="15.75">
      <c r="C102" s="79" t="s">
        <v>307</v>
      </c>
      <c r="D102" s="81" t="s">
        <v>290</v>
      </c>
      <c r="E102" s="79"/>
      <c r="F102" s="80"/>
      <c r="G102" s="2"/>
    </row>
    <row r="103" spans="3:8" ht="15.75">
      <c r="C103" s="35"/>
      <c r="D103" s="2"/>
      <c r="E103" s="79"/>
      <c r="F103" s="80"/>
      <c r="G103" s="2"/>
    </row>
    <row r="104" spans="3:8" ht="15.75">
      <c r="C104" s="76"/>
      <c r="D104" s="2"/>
      <c r="E104" s="79"/>
      <c r="F104" s="80"/>
      <c r="G104" s="2"/>
    </row>
    <row r="105" spans="3:8" ht="15.75">
      <c r="C105" s="2"/>
      <c r="D105" s="2"/>
      <c r="E105" s="55" t="s">
        <v>70</v>
      </c>
      <c r="F105" s="56"/>
      <c r="G105" s="183">
        <f>F89</f>
        <v>2.2731036479444127</v>
      </c>
    </row>
    <row r="106" spans="3:8" ht="15.75">
      <c r="C106" s="76"/>
      <c r="D106" s="2"/>
      <c r="E106" s="79"/>
      <c r="F106" s="80"/>
      <c r="G106" s="74"/>
    </row>
    <row r="107" spans="3:8" ht="15.75">
      <c r="C107" s="76"/>
      <c r="D107" s="76"/>
      <c r="E107" s="55" t="s">
        <v>71</v>
      </c>
      <c r="F107" s="56"/>
      <c r="G107" s="184">
        <f>(G85-'Enoncés Gest_port'!G49)/SQRT(D101)</f>
        <v>0.28480464289907453</v>
      </c>
      <c r="H107" s="77"/>
    </row>
    <row r="108" spans="3:8" ht="15.75">
      <c r="C108" s="76"/>
      <c r="D108" s="2"/>
      <c r="E108" s="79"/>
      <c r="F108" s="80"/>
      <c r="G108" s="74"/>
    </row>
    <row r="109" spans="3:8" ht="15.75">
      <c r="C109" s="34"/>
      <c r="D109" s="55" t="s">
        <v>72</v>
      </c>
      <c r="E109" s="56"/>
      <c r="F109" s="56"/>
      <c r="G109" s="184">
        <f>E85</f>
        <v>4.9499999999999995E-2</v>
      </c>
    </row>
    <row r="110" spans="3:8">
      <c r="C110" s="2"/>
      <c r="D110" s="2"/>
      <c r="E110" s="2"/>
      <c r="F110" s="2"/>
      <c r="G110" s="2"/>
    </row>
    <row r="111" spans="3:8" ht="15.75">
      <c r="C111" s="2"/>
      <c r="D111" s="2"/>
      <c r="E111" s="38"/>
      <c r="F111" s="39"/>
      <c r="G111" s="2"/>
    </row>
    <row r="112" spans="3:8" ht="15.75">
      <c r="C112" s="35" t="s">
        <v>9</v>
      </c>
      <c r="D112" s="81" t="s">
        <v>168</v>
      </c>
      <c r="E112" s="79"/>
      <c r="F112" s="80"/>
      <c r="G112" s="2"/>
    </row>
    <row r="113" spans="2:7" ht="15.75">
      <c r="C113" s="35"/>
      <c r="D113" s="81"/>
      <c r="E113" s="79"/>
      <c r="F113" s="80"/>
      <c r="G113" s="2"/>
    </row>
    <row r="114" spans="2:7" ht="15.75">
      <c r="C114" s="35"/>
      <c r="D114" s="2" t="s">
        <v>169</v>
      </c>
      <c r="E114" s="79"/>
      <c r="F114" s="80"/>
      <c r="G114" s="2"/>
    </row>
    <row r="115" spans="2:7" ht="15.75">
      <c r="C115" s="35"/>
      <c r="D115" s="2"/>
      <c r="E115" s="79"/>
      <c r="F115" s="80"/>
      <c r="G115" s="2"/>
    </row>
    <row r="116" spans="2:7" ht="19.5">
      <c r="C116" s="35"/>
      <c r="D116" s="2" t="s">
        <v>170</v>
      </c>
      <c r="E116" s="103" t="s">
        <v>258</v>
      </c>
      <c r="F116" s="80"/>
      <c r="G116" s="154">
        <f>'Enoncés Gest_port'!C50</f>
        <v>0.04</v>
      </c>
    </row>
    <row r="117" spans="2:7" ht="15.75">
      <c r="C117" s="35"/>
      <c r="D117" s="82"/>
      <c r="E117" s="103" t="s">
        <v>259</v>
      </c>
      <c r="F117" s="80"/>
      <c r="G117" s="157">
        <f>G105</f>
        <v>2.2731036479444127</v>
      </c>
    </row>
    <row r="118" spans="2:7" ht="15.75">
      <c r="C118" s="35"/>
      <c r="D118" s="2"/>
      <c r="E118" s="79"/>
      <c r="F118" s="80"/>
      <c r="G118" s="2"/>
    </row>
    <row r="119" spans="2:7" ht="15.75">
      <c r="C119" s="76"/>
      <c r="D119" s="2"/>
      <c r="E119" s="79"/>
      <c r="F119" s="80"/>
      <c r="G119" s="74"/>
    </row>
    <row r="120" spans="2:7" ht="15.75">
      <c r="C120" s="1"/>
      <c r="D120" s="55" t="s">
        <v>73</v>
      </c>
      <c r="E120" s="56"/>
      <c r="F120" s="56"/>
      <c r="G120" s="184">
        <f>G116+G117*(G85-G116)</f>
        <v>4.8334713375796173E-2</v>
      </c>
    </row>
    <row r="123" spans="2:7" ht="15.75">
      <c r="B123" s="22" t="s">
        <v>100</v>
      </c>
      <c r="C123" s="17"/>
    </row>
    <row r="126" spans="2:7" ht="15.75">
      <c r="C126" s="35" t="s">
        <v>8</v>
      </c>
      <c r="D126" s="2" t="s">
        <v>183</v>
      </c>
      <c r="E126" s="2"/>
      <c r="F126" s="2"/>
      <c r="G126" s="2"/>
    </row>
    <row r="127" spans="2:7" ht="15.75">
      <c r="C127" s="35"/>
      <c r="D127" s="2"/>
      <c r="E127" s="2"/>
      <c r="F127" s="2"/>
      <c r="G127" s="2"/>
    </row>
    <row r="128" spans="2:7" ht="15.75">
      <c r="C128" s="35"/>
      <c r="D128" s="2" t="s">
        <v>184</v>
      </c>
      <c r="E128" s="2"/>
      <c r="F128" s="2"/>
      <c r="G128" s="2"/>
    </row>
    <row r="129" spans="3:8" ht="15.75">
      <c r="C129" s="35"/>
      <c r="D129" s="2"/>
      <c r="E129" s="2"/>
      <c r="F129" s="2"/>
      <c r="G129" s="2"/>
    </row>
    <row r="130" spans="3:8" ht="15.75">
      <c r="C130" s="130" t="s">
        <v>261</v>
      </c>
      <c r="D130" s="129">
        <v>0.33333333333333331</v>
      </c>
      <c r="E130" s="129">
        <v>0.33333333333333331</v>
      </c>
      <c r="F130" s="129">
        <v>0.33333333333333331</v>
      </c>
    </row>
    <row r="131" spans="3:8">
      <c r="C131" s="113"/>
      <c r="D131" s="114"/>
      <c r="E131" s="114"/>
      <c r="F131" s="114"/>
    </row>
    <row r="132" spans="3:8">
      <c r="D132" s="128">
        <f>'Enoncés Gest_port'!C66</f>
        <v>24</v>
      </c>
      <c r="E132" s="128">
        <f>'Enoncés Gest_port'!D66</f>
        <v>-15</v>
      </c>
      <c r="F132" s="128">
        <f>'Enoncés Gest_port'!E66</f>
        <v>28</v>
      </c>
      <c r="G132" s="2"/>
      <c r="H132" s="129">
        <v>0.33333333333333331</v>
      </c>
    </row>
    <row r="133" spans="3:8" ht="15.75">
      <c r="C133" s="131" t="s">
        <v>266</v>
      </c>
      <c r="D133" s="128">
        <f>'Enoncés Gest_port'!C67</f>
        <v>-15</v>
      </c>
      <c r="E133" s="128">
        <f>'Enoncés Gest_port'!D67</f>
        <v>48</v>
      </c>
      <c r="F133" s="128">
        <f>'Enoncés Gest_port'!E67</f>
        <v>33</v>
      </c>
      <c r="G133" s="130" t="s">
        <v>260</v>
      </c>
      <c r="H133" s="129">
        <v>0.33333333333333331</v>
      </c>
    </row>
    <row r="134" spans="3:8">
      <c r="C134" s="113"/>
      <c r="D134" s="128">
        <f>'Enoncés Gest_port'!C68</f>
        <v>28</v>
      </c>
      <c r="E134" s="128">
        <f>'Enoncés Gest_port'!D68</f>
        <v>33</v>
      </c>
      <c r="F134" s="128">
        <f>'Enoncés Gest_port'!E68</f>
        <v>56</v>
      </c>
      <c r="G134" s="113"/>
      <c r="H134" s="129">
        <v>0.33333333333333331</v>
      </c>
    </row>
    <row r="135" spans="3:8">
      <c r="C135" s="2"/>
      <c r="D135" s="2"/>
      <c r="E135" s="2"/>
      <c r="F135" s="2"/>
      <c r="G135" s="2"/>
    </row>
    <row r="136" spans="3:8" ht="15.75">
      <c r="C136" s="2"/>
      <c r="D136" s="55" t="s">
        <v>75</v>
      </c>
      <c r="E136" s="56"/>
      <c r="F136" s="56"/>
      <c r="G136" s="183">
        <f>MMULT(MMULT(D130:F130,D132:F134),correction!H132:H134)</f>
        <v>24.444444444444443</v>
      </c>
    </row>
    <row r="137" spans="3:8">
      <c r="C137" s="2"/>
      <c r="D137" s="2"/>
      <c r="E137" s="2"/>
      <c r="F137" s="2"/>
      <c r="G137" s="2"/>
    </row>
    <row r="138" spans="3:8">
      <c r="C138" s="2"/>
      <c r="D138" s="2"/>
      <c r="E138" s="2"/>
      <c r="F138" s="2"/>
      <c r="G138" s="2"/>
    </row>
    <row r="139" spans="3:8">
      <c r="C139" s="2"/>
      <c r="D139" s="2"/>
      <c r="E139" s="2"/>
      <c r="F139" s="2"/>
      <c r="G139" s="2"/>
    </row>
    <row r="140" spans="3:8" ht="15.75">
      <c r="C140" s="57" t="s">
        <v>9</v>
      </c>
      <c r="D140" s="2" t="s">
        <v>185</v>
      </c>
      <c r="E140" s="2"/>
      <c r="F140" s="2"/>
      <c r="G140" s="2"/>
    </row>
    <row r="141" spans="3:8" ht="15.75">
      <c r="C141" s="57"/>
      <c r="D141" s="2"/>
      <c r="E141" s="2"/>
      <c r="F141" s="2"/>
      <c r="G141" s="2"/>
    </row>
    <row r="142" spans="3:8" ht="15.75">
      <c r="C142" s="57"/>
      <c r="D142" s="2"/>
      <c r="E142" s="2"/>
      <c r="F142" s="2"/>
      <c r="G142" s="2"/>
    </row>
    <row r="143" spans="3:8" ht="15.75">
      <c r="C143" s="57"/>
      <c r="D143" s="2" t="s">
        <v>186</v>
      </c>
      <c r="E143" s="2"/>
      <c r="F143" s="2"/>
      <c r="G143" s="2"/>
    </row>
    <row r="144" spans="3:8" ht="15.75">
      <c r="C144" s="57"/>
      <c r="D144" s="2"/>
      <c r="E144" s="2"/>
      <c r="F144" s="2"/>
      <c r="G144" s="2"/>
    </row>
    <row r="145" spans="3:8" ht="15.75">
      <c r="C145" s="57"/>
      <c r="D145" s="2"/>
      <c r="E145" s="2"/>
      <c r="F145" s="2"/>
      <c r="G145" s="2"/>
    </row>
    <row r="146" spans="3:8" ht="15.75">
      <c r="C146" s="57"/>
      <c r="D146" s="2"/>
      <c r="E146" s="2"/>
      <c r="F146" s="2"/>
      <c r="G146" s="2"/>
    </row>
    <row r="147" spans="3:8" ht="15.75">
      <c r="C147" s="57"/>
      <c r="E147" s="2"/>
      <c r="F147" s="2"/>
      <c r="G147" s="2"/>
    </row>
    <row r="148" spans="3:8" ht="15.75">
      <c r="C148" s="57"/>
      <c r="D148" s="2" t="s">
        <v>187</v>
      </c>
      <c r="E148" s="2"/>
      <c r="F148" s="2"/>
      <c r="G148" s="2"/>
    </row>
    <row r="149" spans="3:8" ht="15.75">
      <c r="C149" s="57"/>
      <c r="D149" s="2"/>
      <c r="E149" s="2"/>
      <c r="F149" s="2"/>
      <c r="G149" s="2"/>
    </row>
    <row r="150" spans="3:8" ht="15.75">
      <c r="C150" s="57"/>
      <c r="D150" s="2"/>
      <c r="E150" s="2"/>
      <c r="F150" s="2"/>
      <c r="G150" s="2"/>
    </row>
    <row r="151" spans="3:8" ht="15.75">
      <c r="C151" s="57"/>
      <c r="D151" s="2"/>
      <c r="E151" s="2"/>
      <c r="F151" s="2"/>
      <c r="G151" s="2"/>
    </row>
    <row r="152" spans="3:8" ht="15.75">
      <c r="C152" s="57"/>
      <c r="D152" s="2"/>
      <c r="E152" s="2"/>
      <c r="F152" s="2"/>
      <c r="G152" s="2"/>
    </row>
    <row r="153" spans="3:8" ht="15.75">
      <c r="C153" s="57"/>
      <c r="D153" s="2"/>
      <c r="E153" s="2"/>
      <c r="F153" s="2"/>
      <c r="G153" s="2"/>
    </row>
    <row r="154" spans="3:8" ht="15.75">
      <c r="C154" s="35"/>
      <c r="D154" s="2"/>
      <c r="E154" s="2"/>
      <c r="H154" s="134">
        <f>'Enoncés Gest_port'!G74</f>
        <v>0.2</v>
      </c>
    </row>
    <row r="155" spans="3:8" ht="20.25">
      <c r="C155" s="130" t="s">
        <v>265</v>
      </c>
      <c r="D155" s="132">
        <f>'Enoncés Gest_port'!F73</f>
        <v>0.25</v>
      </c>
      <c r="E155" s="133">
        <f>'Enoncés Gest_port'!H73</f>
        <v>0.6</v>
      </c>
      <c r="F155" s="132">
        <f>'Enoncés Gest_port'!C74</f>
        <v>0.15</v>
      </c>
      <c r="G155" s="131" t="s">
        <v>267</v>
      </c>
      <c r="H155" s="134">
        <f>'Enoncés Gest_port'!B75</f>
        <v>0.45</v>
      </c>
    </row>
    <row r="156" spans="3:8" ht="15.75">
      <c r="C156" s="35"/>
      <c r="D156" s="2"/>
      <c r="E156" s="2"/>
      <c r="H156" s="134">
        <f>'Enoncés Gest_port'!D75</f>
        <v>0.35</v>
      </c>
    </row>
    <row r="157" spans="3:8">
      <c r="C157" s="2"/>
      <c r="D157" s="2"/>
      <c r="E157" s="2"/>
      <c r="F157" s="2"/>
      <c r="G157" s="2"/>
      <c r="H157" s="15" t="s">
        <v>327</v>
      </c>
    </row>
    <row r="158" spans="3:8">
      <c r="C158" s="2"/>
      <c r="D158" s="2"/>
      <c r="E158" s="2"/>
      <c r="F158" s="2"/>
      <c r="G158" s="2"/>
    </row>
    <row r="159" spans="3:8" ht="15.75">
      <c r="C159" s="2"/>
      <c r="D159" s="2"/>
      <c r="E159" s="55" t="s">
        <v>76</v>
      </c>
      <c r="F159" s="56"/>
      <c r="G159" s="186">
        <f>MMULT(MMULT(D155:F155,D132:F134),H154:H156)</f>
        <v>26.06</v>
      </c>
    </row>
    <row r="162" spans="2:7" ht="15.75">
      <c r="B162" s="22" t="s">
        <v>101</v>
      </c>
      <c r="C162" s="17"/>
    </row>
    <row r="165" spans="2:7" ht="15.75">
      <c r="C165" s="35" t="s">
        <v>78</v>
      </c>
      <c r="D165" s="2"/>
      <c r="E165" s="2"/>
      <c r="F165" s="2"/>
      <c r="G165" s="2"/>
    </row>
    <row r="166" spans="2:7">
      <c r="C166" s="2"/>
      <c r="D166" s="2"/>
      <c r="E166" s="2"/>
      <c r="F166" s="2"/>
      <c r="G166" s="2"/>
    </row>
    <row r="167" spans="2:7" ht="15.75">
      <c r="C167" s="1"/>
      <c r="D167" s="55" t="s">
        <v>79</v>
      </c>
      <c r="E167" s="56"/>
      <c r="F167" s="56"/>
      <c r="G167" s="187" t="s">
        <v>80</v>
      </c>
    </row>
    <row r="168" spans="2:7">
      <c r="C168" s="2"/>
      <c r="D168" s="2"/>
      <c r="E168" s="2"/>
      <c r="F168" s="2"/>
      <c r="G168" s="2"/>
    </row>
    <row r="169" spans="2:7">
      <c r="C169" s="2" t="s">
        <v>102</v>
      </c>
      <c r="D169" s="2"/>
      <c r="E169" s="2"/>
      <c r="F169" s="2"/>
      <c r="G169" s="2"/>
    </row>
    <row r="170" spans="2:7">
      <c r="C170" s="2"/>
      <c r="D170" s="2"/>
      <c r="E170" s="2"/>
      <c r="F170" s="2"/>
      <c r="G170" s="2"/>
    </row>
    <row r="171" spans="2:7">
      <c r="C171" s="2" t="s">
        <v>103</v>
      </c>
      <c r="D171" s="2"/>
      <c r="E171" s="2"/>
      <c r="F171" s="2"/>
      <c r="G171" s="2"/>
    </row>
    <row r="172" spans="2:7">
      <c r="C172" s="2"/>
      <c r="D172" s="2"/>
      <c r="E172" s="2"/>
      <c r="F172" s="2"/>
      <c r="G172" s="2"/>
    </row>
    <row r="173" spans="2:7">
      <c r="C173" s="2"/>
      <c r="D173" s="2"/>
      <c r="E173" s="2"/>
      <c r="F173" s="2"/>
      <c r="G173" s="2"/>
    </row>
    <row r="174" spans="2:7">
      <c r="C174" s="2"/>
      <c r="D174" s="2"/>
      <c r="E174" s="2"/>
      <c r="F174" s="2"/>
      <c r="G174" s="2"/>
    </row>
    <row r="175" spans="2:7">
      <c r="C175" s="2"/>
      <c r="D175" s="2"/>
      <c r="E175" s="2"/>
      <c r="F175" s="2"/>
      <c r="G175" s="2"/>
    </row>
    <row r="176" spans="2:7">
      <c r="C176" s="2"/>
      <c r="D176" s="2"/>
      <c r="E176" s="2"/>
      <c r="F176" s="2"/>
      <c r="G176" s="2"/>
    </row>
    <row r="177" spans="3:7">
      <c r="C177" s="2"/>
      <c r="D177" s="2"/>
      <c r="E177" s="2"/>
      <c r="F177" s="2"/>
      <c r="G177" s="2"/>
    </row>
    <row r="178" spans="3:7" ht="15">
      <c r="C178" s="105" t="s">
        <v>188</v>
      </c>
      <c r="D178" s="2"/>
      <c r="E178" s="2"/>
      <c r="F178" s="2"/>
      <c r="G178" s="2"/>
    </row>
    <row r="179" spans="3:7">
      <c r="C179" s="2"/>
      <c r="D179" s="2"/>
      <c r="E179" s="2"/>
      <c r="F179" s="2"/>
      <c r="G179" s="2"/>
    </row>
    <row r="180" spans="3:7">
      <c r="C180" s="2"/>
      <c r="D180" s="2"/>
      <c r="E180" s="2"/>
      <c r="F180" s="2"/>
      <c r="G180" s="2"/>
    </row>
    <row r="181" spans="3:7" ht="15.75">
      <c r="C181" s="35" t="s">
        <v>81</v>
      </c>
      <c r="D181" s="2"/>
      <c r="E181" s="2"/>
      <c r="F181" s="2"/>
      <c r="G181" s="2"/>
    </row>
    <row r="183" spans="3:7">
      <c r="C183" s="15" t="s">
        <v>104</v>
      </c>
    </row>
    <row r="185" spans="3:7">
      <c r="C185" s="2" t="s">
        <v>102</v>
      </c>
      <c r="D185" s="2"/>
      <c r="E185" s="2"/>
      <c r="F185" s="2"/>
    </row>
    <row r="186" spans="3:7">
      <c r="C186" s="2"/>
      <c r="D186" s="2"/>
      <c r="E186" s="2"/>
      <c r="F186" s="2"/>
    </row>
    <row r="187" spans="3:7">
      <c r="C187" s="2" t="s">
        <v>103</v>
      </c>
      <c r="D187" s="2"/>
      <c r="E187" s="2"/>
      <c r="F187" s="2"/>
    </row>
    <row r="188" spans="3:7">
      <c r="C188" s="2"/>
      <c r="D188" s="2"/>
      <c r="E188" s="2"/>
      <c r="F188" s="2"/>
    </row>
    <row r="189" spans="3:7">
      <c r="C189" s="2"/>
      <c r="D189" s="2"/>
      <c r="E189" s="2"/>
      <c r="F189" s="2"/>
    </row>
    <row r="190" spans="3:7">
      <c r="C190" s="2"/>
      <c r="D190" s="2"/>
      <c r="E190" s="2"/>
      <c r="F190" s="2"/>
    </row>
    <row r="191" spans="3:7">
      <c r="C191" s="2"/>
      <c r="D191" s="2"/>
      <c r="E191" s="2"/>
      <c r="F191" s="2"/>
    </row>
    <row r="192" spans="3:7">
      <c r="C192" s="2"/>
      <c r="D192" s="2"/>
      <c r="E192" s="2"/>
      <c r="F192" s="2"/>
    </row>
    <row r="193" spans="2:8">
      <c r="C193" s="2"/>
      <c r="D193" s="2"/>
      <c r="E193" s="2"/>
      <c r="F193" s="2"/>
    </row>
    <row r="194" spans="2:8" ht="19.5">
      <c r="C194" s="105" t="s">
        <v>189</v>
      </c>
      <c r="D194" s="2"/>
      <c r="E194" s="2"/>
      <c r="F194" s="2"/>
    </row>
    <row r="196" spans="2:8" ht="15.75">
      <c r="B196" s="22" t="s">
        <v>105</v>
      </c>
      <c r="C196" s="17"/>
    </row>
    <row r="198" spans="2:8" ht="15.75">
      <c r="C198" s="35" t="s">
        <v>83</v>
      </c>
      <c r="D198" s="76" t="s">
        <v>191</v>
      </c>
      <c r="E198" s="2"/>
      <c r="F198" s="2"/>
      <c r="G198" s="2"/>
    </row>
    <row r="199" spans="2:8" ht="15.75">
      <c r="C199" s="35"/>
      <c r="D199" s="2"/>
      <c r="E199" s="2"/>
      <c r="F199" s="2"/>
      <c r="G199" s="2"/>
    </row>
    <row r="200" spans="2:8" ht="15.75">
      <c r="C200" s="35"/>
      <c r="D200" s="2"/>
      <c r="E200" s="2"/>
      <c r="F200" s="2"/>
      <c r="G200" s="2"/>
    </row>
    <row r="201" spans="2:8" ht="15.75">
      <c r="C201" s="35"/>
      <c r="D201" s="2"/>
      <c r="E201" s="2"/>
      <c r="F201" s="2"/>
      <c r="G201" s="2"/>
    </row>
    <row r="202" spans="2:8" ht="15.75">
      <c r="C202" s="35"/>
      <c r="D202" s="2"/>
      <c r="E202" s="2"/>
      <c r="F202" s="2"/>
      <c r="G202" s="2"/>
    </row>
    <row r="203" spans="2:8" ht="15.75">
      <c r="C203" s="35"/>
      <c r="D203" s="2"/>
      <c r="E203" s="2"/>
      <c r="F203" s="2"/>
      <c r="G203" s="2"/>
    </row>
    <row r="204" spans="2:8" ht="15.75">
      <c r="C204" s="35"/>
      <c r="D204" s="2"/>
      <c r="E204" s="2"/>
      <c r="F204" s="2"/>
      <c r="G204" s="2"/>
    </row>
    <row r="205" spans="2:8">
      <c r="C205" s="2"/>
      <c r="D205" s="2"/>
      <c r="E205" s="2"/>
      <c r="F205" s="2"/>
      <c r="G205" s="2"/>
    </row>
    <row r="206" spans="2:8" ht="15.75">
      <c r="C206" s="2"/>
      <c r="D206" s="55" t="s">
        <v>84</v>
      </c>
      <c r="E206" s="56"/>
      <c r="F206" s="56"/>
      <c r="G206" s="184">
        <f>'Enoncés Gest_port'!D96*'Enoncés Gest_port'!D90+'Enoncés Gest_port'!G96*'Enoncés Gest_port'!E90</f>
        <v>0.4425</v>
      </c>
      <c r="H206" s="77"/>
    </row>
    <row r="207" spans="2:8">
      <c r="C207" s="2"/>
      <c r="D207" s="2"/>
      <c r="E207" s="2"/>
      <c r="F207" s="2"/>
      <c r="G207" s="2"/>
      <c r="H207" s="77"/>
    </row>
    <row r="208" spans="2:8">
      <c r="C208" s="2"/>
      <c r="D208" s="2"/>
      <c r="E208" s="2"/>
      <c r="F208" s="2"/>
      <c r="G208" s="2"/>
      <c r="H208" s="77"/>
    </row>
    <row r="209" spans="3:8" ht="15.75">
      <c r="C209" s="2"/>
      <c r="D209" s="55" t="s">
        <v>85</v>
      </c>
      <c r="E209" s="56"/>
      <c r="F209" s="56"/>
      <c r="G209" s="184">
        <f>SQRT('Enoncés Gest_port'!D96^2*'Enoncés Gest_port'!D92^2+'Enoncés Gest_port'!G96^2*'Enoncés Gest_port'!E92^2+2*'Enoncés Gest_port'!F94*'Enoncés Gest_port'!D92*'Enoncés Gest_port'!E92*'Enoncés Gest_port'!D96*'Enoncés Gest_port'!G96)</f>
        <v>5.1134626233111366E-2</v>
      </c>
      <c r="H209" s="77"/>
    </row>
    <row r="210" spans="3:8" ht="15.75">
      <c r="C210" s="2"/>
      <c r="D210" s="107"/>
      <c r="E210" s="108"/>
      <c r="F210" s="108"/>
      <c r="G210" s="28"/>
      <c r="H210" s="77"/>
    </row>
    <row r="211" spans="3:8">
      <c r="C211" s="2"/>
      <c r="D211" s="2"/>
      <c r="E211" s="2"/>
      <c r="F211" s="2"/>
      <c r="G211" s="2"/>
      <c r="H211" s="77"/>
    </row>
    <row r="212" spans="3:8" ht="15.75">
      <c r="C212" s="35" t="s">
        <v>44</v>
      </c>
      <c r="D212" s="76" t="s">
        <v>192</v>
      </c>
      <c r="E212" s="2"/>
      <c r="F212" s="2"/>
      <c r="G212" s="2"/>
      <c r="H212" s="77"/>
    </row>
    <row r="213" spans="3:8" ht="15.75">
      <c r="C213" s="35"/>
      <c r="D213" s="2" t="s">
        <v>193</v>
      </c>
      <c r="E213" s="2"/>
      <c r="F213" s="2"/>
      <c r="G213" s="2"/>
      <c r="H213" s="77"/>
    </row>
    <row r="214" spans="3:8" ht="15.75">
      <c r="C214" s="35"/>
      <c r="D214" s="2"/>
      <c r="E214" s="2"/>
      <c r="F214" s="2"/>
      <c r="G214" s="2"/>
      <c r="H214" s="77"/>
    </row>
    <row r="215" spans="3:8" ht="15.75">
      <c r="C215" s="35"/>
      <c r="D215" s="2"/>
      <c r="E215" s="2"/>
      <c r="F215" s="2"/>
      <c r="G215" s="2"/>
      <c r="H215" s="77"/>
    </row>
    <row r="216" spans="3:8" ht="15.75">
      <c r="C216" s="35"/>
      <c r="D216" s="2"/>
      <c r="E216" s="2"/>
      <c r="F216" s="163" t="s">
        <v>300</v>
      </c>
      <c r="G216" s="2"/>
      <c r="H216" s="77"/>
    </row>
    <row r="217" spans="3:8" ht="15.75">
      <c r="C217" s="35"/>
      <c r="D217" s="2"/>
      <c r="E217" s="2"/>
      <c r="F217" s="2"/>
      <c r="G217" s="2"/>
      <c r="H217" s="77"/>
    </row>
    <row r="218" spans="3:8" ht="15.75">
      <c r="C218" s="35"/>
      <c r="D218" s="2"/>
      <c r="E218" s="2"/>
      <c r="F218" s="2"/>
      <c r="G218" s="2"/>
      <c r="H218" s="77"/>
    </row>
    <row r="219" spans="3:8">
      <c r="C219" s="2"/>
      <c r="D219" s="2"/>
      <c r="E219" s="2"/>
      <c r="F219" s="2"/>
      <c r="G219" s="2"/>
      <c r="H219" s="77"/>
    </row>
    <row r="220" spans="3:8" ht="15.75">
      <c r="C220" s="2"/>
      <c r="D220" s="55" t="s">
        <v>88</v>
      </c>
      <c r="E220" s="68"/>
      <c r="F220" s="56"/>
      <c r="G220" s="184">
        <f>('Enoncés Gest_port'!E92^2-'Enoncés Gest_port'!F94*'Enoncés Gest_port'!D92*'Enoncés Gest_port'!E92)/('Enoncés Gest_port'!E92^2-2*'Enoncés Gest_port'!F94*'Enoncés Gest_port'!D92*'Enoncés Gest_port'!E92+'Enoncés Gest_port'!D92^2)</f>
        <v>0.19230769230769235</v>
      </c>
      <c r="H220" s="77"/>
    </row>
    <row r="221" spans="3:8">
      <c r="C221" s="2"/>
      <c r="D221" s="2"/>
      <c r="E221" s="2"/>
      <c r="F221" s="2"/>
      <c r="G221" s="1"/>
      <c r="H221" s="77"/>
    </row>
    <row r="222" spans="3:8" ht="15.75">
      <c r="C222" s="2"/>
      <c r="D222" s="55" t="s">
        <v>89</v>
      </c>
      <c r="E222" s="68"/>
      <c r="F222" s="56"/>
      <c r="G222" s="184">
        <f>('Enoncés Gest_port'!D92^2-'Enoncés Gest_port'!F94*'Enoncés Gest_port'!D92*'Enoncés Gest_port'!E92)/('Enoncés Gest_port'!E92^2-2*'Enoncés Gest_port'!F94*'Enoncés Gest_port'!D92*'Enoncés Gest_port'!E92+'Enoncés Gest_port'!D92^2)</f>
        <v>0.80769230769230771</v>
      </c>
      <c r="H222" s="77"/>
    </row>
    <row r="223" spans="3:8">
      <c r="C223" s="2"/>
      <c r="D223" s="2"/>
      <c r="E223" s="2"/>
      <c r="F223" s="2"/>
      <c r="G223" s="2"/>
      <c r="H223" s="77"/>
    </row>
    <row r="224" spans="3:8">
      <c r="C224" s="2"/>
      <c r="D224" s="2"/>
      <c r="E224" s="2"/>
      <c r="F224" s="2"/>
      <c r="G224" s="2"/>
      <c r="H224" s="77"/>
    </row>
    <row r="225" spans="2:9" ht="15.75">
      <c r="C225" s="2"/>
      <c r="D225" s="55" t="s">
        <v>84</v>
      </c>
      <c r="E225" s="56"/>
      <c r="F225" s="56"/>
      <c r="G225" s="184">
        <f>G220*'Enoncés Gest_port'!D90+G222*'Enoncés Gest_port'!E90</f>
        <v>0.42961538461538462</v>
      </c>
      <c r="H225" s="77"/>
    </row>
    <row r="226" spans="2:9">
      <c r="C226" s="2"/>
      <c r="D226" s="2"/>
      <c r="E226" s="2"/>
      <c r="F226" s="2"/>
      <c r="G226" s="2"/>
      <c r="H226" s="77"/>
    </row>
    <row r="227" spans="2:9" ht="15.75">
      <c r="C227" s="1"/>
      <c r="D227" s="55" t="s">
        <v>85</v>
      </c>
      <c r="E227" s="56"/>
      <c r="F227" s="56"/>
      <c r="G227" s="184">
        <f>SQRT(G220^2*'Enoncés Gest_port'!D92^2+G222^2*'Enoncés Gest_port'!E92^2+2*'Enoncés Gest_port'!F94*'Enoncés Gest_port'!D92*'Enoncés Gest_port'!E92*G220*G222)</f>
        <v>4.8536267169707555E-2</v>
      </c>
      <c r="H227" s="77"/>
    </row>
    <row r="230" spans="2:9" ht="15.75">
      <c r="B230" s="22" t="s">
        <v>106</v>
      </c>
      <c r="C230" s="17"/>
    </row>
    <row r="232" spans="2:9" ht="15.75">
      <c r="C232" s="35" t="s">
        <v>83</v>
      </c>
      <c r="D232" s="76" t="s">
        <v>268</v>
      </c>
      <c r="E232" s="2"/>
      <c r="F232" s="2"/>
      <c r="G232" s="135">
        <f>'Enoncés Gest_port'!E116</f>
        <v>0.15</v>
      </c>
      <c r="H232" s="2"/>
      <c r="I232" s="2"/>
    </row>
    <row r="233" spans="2:9" ht="15.75">
      <c r="C233" s="35"/>
      <c r="D233" s="76"/>
      <c r="E233" s="2"/>
      <c r="F233" s="2"/>
      <c r="G233" s="2"/>
      <c r="H233" s="2"/>
      <c r="I233" s="2"/>
    </row>
    <row r="234" spans="2:9" ht="15.75">
      <c r="C234" s="35"/>
      <c r="D234" s="105" t="s">
        <v>190</v>
      </c>
      <c r="E234" s="2"/>
      <c r="F234" s="2"/>
      <c r="G234" s="2"/>
      <c r="H234" s="2"/>
      <c r="I234" s="2"/>
    </row>
    <row r="235" spans="2:9" ht="15.75">
      <c r="C235" s="35"/>
      <c r="D235" s="105"/>
      <c r="E235" s="2"/>
      <c r="F235" s="2"/>
      <c r="G235" s="2"/>
      <c r="H235" s="2"/>
      <c r="I235" s="2"/>
    </row>
    <row r="236" spans="2:9" ht="18.75">
      <c r="C236" s="35"/>
      <c r="D236" s="130" t="s">
        <v>291</v>
      </c>
      <c r="E236" s="155">
        <v>1</v>
      </c>
      <c r="F236" s="155" t="s">
        <v>315</v>
      </c>
      <c r="G236" s="155">
        <v>1</v>
      </c>
      <c r="H236" s="2"/>
      <c r="I236" s="2"/>
    </row>
    <row r="237" spans="2:9" ht="18.75">
      <c r="C237" s="35"/>
      <c r="D237" s="130" t="s">
        <v>292</v>
      </c>
      <c r="E237" s="154">
        <f>G232</f>
        <v>0.15</v>
      </c>
      <c r="F237" s="155" t="s">
        <v>296</v>
      </c>
      <c r="G237" s="154">
        <f>G232</f>
        <v>0.15</v>
      </c>
      <c r="H237" s="2"/>
      <c r="I237" s="2"/>
    </row>
    <row r="238" spans="2:9" ht="15.75">
      <c r="C238" s="35"/>
      <c r="D238" s="105"/>
      <c r="E238" s="2"/>
      <c r="F238" s="2"/>
      <c r="G238" s="2"/>
      <c r="H238" s="2"/>
      <c r="I238" s="2"/>
    </row>
    <row r="239" spans="2:9" ht="15.75">
      <c r="C239" s="35"/>
      <c r="D239" s="103" t="s">
        <v>293</v>
      </c>
      <c r="E239" s="130"/>
      <c r="F239" s="155" t="s">
        <v>314</v>
      </c>
      <c r="G239" s="154">
        <f>G232</f>
        <v>0.15</v>
      </c>
      <c r="H239" s="2"/>
      <c r="I239" s="2"/>
    </row>
    <row r="240" spans="2:9" ht="15.75">
      <c r="C240" s="35"/>
      <c r="D240" s="136"/>
      <c r="E240" s="137"/>
      <c r="F240" s="152" t="s">
        <v>316</v>
      </c>
      <c r="G240" s="152">
        <f>(G239-'Enoncés Gest_port'!E109)/('Enoncés Gest_port'!D109-'Enoncés Gest_port'!E109)</f>
        <v>0.75000000000000033</v>
      </c>
      <c r="H240" s="2"/>
      <c r="I240" s="2"/>
    </row>
    <row r="241" spans="3:9" ht="15.75">
      <c r="C241" s="35"/>
      <c r="D241" s="136"/>
      <c r="E241" s="2"/>
      <c r="F241" s="2"/>
      <c r="G241" s="2"/>
      <c r="H241" s="2"/>
      <c r="I241" s="2"/>
    </row>
    <row r="242" spans="3:9">
      <c r="C242" s="2"/>
      <c r="D242" s="2"/>
      <c r="E242" s="2"/>
      <c r="F242" s="2"/>
      <c r="G242" s="2"/>
      <c r="H242" s="2"/>
      <c r="I242" s="2"/>
    </row>
    <row r="243" spans="3:9" ht="15.75">
      <c r="C243" s="2"/>
      <c r="D243" s="55" t="s">
        <v>94</v>
      </c>
      <c r="E243" s="68"/>
      <c r="F243" s="56"/>
      <c r="G243" s="184">
        <f>G240</f>
        <v>0.75000000000000033</v>
      </c>
      <c r="H243" s="74"/>
      <c r="I243" s="75"/>
    </row>
    <row r="244" spans="3:9">
      <c r="C244" s="2"/>
      <c r="D244" s="2"/>
      <c r="E244" s="2"/>
      <c r="F244" s="2"/>
      <c r="G244" s="1"/>
      <c r="H244" s="2"/>
      <c r="I244" s="2"/>
    </row>
    <row r="245" spans="3:9" ht="15.75">
      <c r="C245" s="2"/>
      <c r="D245" s="55" t="s">
        <v>95</v>
      </c>
      <c r="E245" s="68"/>
      <c r="F245" s="56"/>
      <c r="G245" s="184">
        <f>100%-G243</f>
        <v>0.24999999999999967</v>
      </c>
      <c r="H245" s="74"/>
      <c r="I245" s="75"/>
    </row>
    <row r="246" spans="3:9">
      <c r="C246" s="2"/>
      <c r="D246" s="2"/>
      <c r="E246" s="2"/>
      <c r="F246" s="2"/>
      <c r="G246" s="2"/>
      <c r="H246" s="2"/>
      <c r="I246" s="2"/>
    </row>
    <row r="247" spans="3:9">
      <c r="C247" s="2"/>
      <c r="D247" s="2"/>
      <c r="E247" s="2"/>
      <c r="F247" s="2"/>
      <c r="G247" s="2"/>
      <c r="H247" s="2"/>
      <c r="I247" s="2"/>
    </row>
    <row r="248" spans="3:9" ht="15.75">
      <c r="C248" s="35" t="s">
        <v>44</v>
      </c>
      <c r="D248" s="76" t="s">
        <v>269</v>
      </c>
      <c r="E248" s="2"/>
      <c r="F248" s="2"/>
      <c r="G248" s="135">
        <f>'Enoncés Gest_port'!F119</f>
        <v>0.06</v>
      </c>
      <c r="H248" s="2"/>
      <c r="I248" s="2"/>
    </row>
    <row r="249" spans="3:9" ht="15.75">
      <c r="C249" s="35"/>
      <c r="D249" s="76"/>
      <c r="E249" s="2"/>
      <c r="F249" s="2"/>
      <c r="G249" s="135"/>
      <c r="H249" s="2"/>
      <c r="I249" s="2"/>
    </row>
    <row r="250" spans="3:9" ht="15.75">
      <c r="C250" s="35"/>
      <c r="D250" s="105" t="s">
        <v>190</v>
      </c>
      <c r="E250" s="2"/>
      <c r="F250" s="2"/>
      <c r="G250" s="135"/>
      <c r="H250" s="2"/>
      <c r="I250" s="2"/>
    </row>
    <row r="251" spans="3:9" ht="15.75">
      <c r="C251" s="35"/>
      <c r="D251" s="105"/>
      <c r="E251" s="2"/>
      <c r="F251" s="2"/>
      <c r="G251" s="135"/>
      <c r="H251" s="2"/>
      <c r="I251" s="2"/>
    </row>
    <row r="252" spans="3:9" ht="18.75">
      <c r="C252" s="35"/>
      <c r="D252" s="130" t="s">
        <v>291</v>
      </c>
      <c r="E252" s="155">
        <v>1</v>
      </c>
      <c r="F252" s="155" t="s">
        <v>294</v>
      </c>
      <c r="G252" s="155">
        <v>1</v>
      </c>
      <c r="H252" s="2"/>
      <c r="I252" s="2"/>
    </row>
    <row r="253" spans="3:9" ht="18.75">
      <c r="C253" s="35"/>
      <c r="D253" s="130" t="s">
        <v>295</v>
      </c>
      <c r="E253" s="180">
        <f>G248^2</f>
        <v>3.5999999999999999E-3</v>
      </c>
      <c r="F253" s="158" t="s">
        <v>311</v>
      </c>
      <c r="H253" s="180">
        <f>G248^2</f>
        <v>3.5999999999999999E-3</v>
      </c>
      <c r="I253" s="2"/>
    </row>
    <row r="254" spans="3:9" ht="15.75">
      <c r="C254" s="35"/>
      <c r="D254" s="105"/>
      <c r="E254" s="2"/>
      <c r="F254" s="2"/>
      <c r="G254" s="2"/>
      <c r="H254" s="2"/>
      <c r="I254" s="2"/>
    </row>
    <row r="255" spans="3:9" ht="15.75">
      <c r="C255" s="35"/>
      <c r="D255" s="103" t="s">
        <v>293</v>
      </c>
      <c r="E255" s="130"/>
      <c r="F255" s="155" t="s">
        <v>310</v>
      </c>
      <c r="H255" s="180">
        <f>G248^2</f>
        <v>3.5999999999999999E-3</v>
      </c>
    </row>
    <row r="256" spans="3:9" ht="15.75">
      <c r="C256" s="35"/>
      <c r="D256" s="136"/>
      <c r="E256" s="137"/>
      <c r="F256" s="152" t="s">
        <v>297</v>
      </c>
      <c r="G256" s="180">
        <f>4*('Enoncés Gest_port'!E111^2-'Enoncés Gest_port'!D113*'Enoncés Gest_port'!D111*'Enoncés Gest_port'!E111)^2-4*(('Enoncés Gest_port'!D111^2+'Enoncés Gest_port'!E111^2-2*'Enoncés Gest_port'!D113*'Enoncés Gest_port'!D111*'Enoncés Gest_port'!E111)*('Enoncés Gest_port'!E111^2-'Enoncés Gest_port'!F119^2))</f>
        <v>1.5213E-4</v>
      </c>
      <c r="H256" s="159"/>
      <c r="I256" s="161"/>
    </row>
    <row r="257" spans="3:9" ht="15.75">
      <c r="C257" s="35"/>
      <c r="D257" s="136"/>
      <c r="E257" s="2"/>
      <c r="F257" s="152" t="s">
        <v>298</v>
      </c>
      <c r="G257" s="162">
        <f>(H257-SQRT(G256))/(2*('Enoncés Gest_port'!D111^2+'Enoncés Gest_port'!E111^2-2*'Enoncés Gest_port'!D113*'Enoncés Gest_port'!E111*'Enoncés Gest_port'!D111))</f>
        <v>9.6174834336271761E-2</v>
      </c>
      <c r="H257" s="159">
        <f>-(2*'Enoncés Gest_port'!D113*'Enoncés Gest_port'!D111*'Enoncés Gest_port'!E111-2*'Enoncés Gest_port'!E111^2)</f>
        <v>1.4700000000000001E-2</v>
      </c>
      <c r="I257" s="160"/>
    </row>
    <row r="258" spans="3:9" ht="15.75">
      <c r="C258" s="35"/>
      <c r="D258" s="76"/>
      <c r="E258" s="2"/>
      <c r="F258" s="81" t="s">
        <v>299</v>
      </c>
      <c r="G258" s="162">
        <f>(H257+SQRT(G256))/(2*('Enoncés Gest_port'!D111^2+'Enoncés Gest_port'!E111^2-2*'Enoncés Gest_port'!D113*'Enoncés Gest_port'!E111*'Enoncés Gest_port'!D111))</f>
        <v>1.0989471168832403</v>
      </c>
      <c r="H258" s="159"/>
      <c r="I258" s="2"/>
    </row>
    <row r="259" spans="3:9" ht="15.75">
      <c r="C259" s="35"/>
      <c r="D259" s="105"/>
      <c r="E259" s="105"/>
      <c r="F259" s="2"/>
      <c r="G259" s="135"/>
      <c r="H259" s="2"/>
      <c r="I259" s="2"/>
    </row>
    <row r="260" spans="3:9">
      <c r="C260" s="2"/>
      <c r="D260" s="2"/>
      <c r="E260" s="2"/>
      <c r="F260" s="2"/>
      <c r="G260" s="2"/>
      <c r="H260" s="2"/>
      <c r="I260" s="2"/>
    </row>
    <row r="261" spans="3:9" ht="15.75">
      <c r="C261" s="2"/>
      <c r="D261" s="55" t="s">
        <v>90</v>
      </c>
      <c r="E261" s="68"/>
      <c r="F261" s="56"/>
      <c r="G261" s="184">
        <f>G257</f>
        <v>9.6174834336271761E-2</v>
      </c>
      <c r="H261" s="71" t="s">
        <v>87</v>
      </c>
      <c r="I261" s="184">
        <f>IF(G258&lt;1,G258,1)</f>
        <v>1</v>
      </c>
    </row>
    <row r="262" spans="3:9" ht="15.75">
      <c r="C262" s="2"/>
      <c r="D262" s="2"/>
      <c r="E262" s="2"/>
      <c r="F262" s="2"/>
      <c r="G262" s="74"/>
      <c r="H262" s="2"/>
      <c r="I262" s="74"/>
    </row>
    <row r="263" spans="3:9">
      <c r="C263" s="2"/>
      <c r="D263" s="2"/>
      <c r="E263" s="2"/>
      <c r="F263" s="2"/>
      <c r="G263" s="75"/>
      <c r="H263" s="2"/>
      <c r="I263" s="75"/>
    </row>
    <row r="264" spans="3:9">
      <c r="C264" s="2"/>
      <c r="D264" s="2"/>
      <c r="E264" s="2"/>
      <c r="F264" s="2"/>
      <c r="G264" s="2"/>
      <c r="H264" s="2"/>
      <c r="I264" s="2"/>
    </row>
    <row r="265" spans="3:9" ht="15.75">
      <c r="C265" s="2"/>
      <c r="D265" s="55" t="s">
        <v>91</v>
      </c>
      <c r="E265" s="68"/>
      <c r="F265" s="56"/>
      <c r="G265" s="184">
        <f>1-I261</f>
        <v>0</v>
      </c>
      <c r="H265" s="71" t="s">
        <v>87</v>
      </c>
      <c r="I265" s="184">
        <f>1-G261</f>
        <v>0.90382516566372828</v>
      </c>
    </row>
    <row r="266" spans="3:9" ht="15.75">
      <c r="C266" s="2"/>
      <c r="D266" s="2"/>
      <c r="E266" s="2"/>
      <c r="F266" s="2"/>
      <c r="G266" s="74"/>
      <c r="H266" s="2"/>
      <c r="I266" s="74"/>
    </row>
    <row r="267" spans="3:9">
      <c r="C267" s="2"/>
      <c r="E267" s="2"/>
      <c r="F267" s="2"/>
      <c r="G267" s="75"/>
      <c r="H267" s="2"/>
      <c r="I267" s="75"/>
    </row>
    <row r="268" spans="3:9" ht="15.75">
      <c r="C268" s="35" t="s">
        <v>92</v>
      </c>
      <c r="D268" s="76" t="s">
        <v>308</v>
      </c>
      <c r="E268" s="2"/>
      <c r="F268" s="135">
        <f>'Enoncés Gest_port'!F119</f>
        <v>0.06</v>
      </c>
      <c r="G268" s="76" t="s">
        <v>309</v>
      </c>
      <c r="H268" s="2"/>
      <c r="I268" s="135">
        <f>'Enoncés Gest_port'!E116</f>
        <v>0.15</v>
      </c>
    </row>
    <row r="269" spans="3:9" ht="15.75">
      <c r="C269" s="35"/>
      <c r="D269" s="2" t="s">
        <v>194</v>
      </c>
      <c r="E269" s="2"/>
      <c r="F269" s="2"/>
      <c r="G269" s="2"/>
      <c r="H269" s="2"/>
      <c r="I269" s="2"/>
    </row>
    <row r="270" spans="3:9">
      <c r="C270" s="2"/>
      <c r="D270" s="2"/>
      <c r="E270" s="2"/>
      <c r="F270" s="2"/>
      <c r="G270" s="2"/>
      <c r="H270" s="2"/>
      <c r="I270" s="2"/>
    </row>
    <row r="271" spans="3:9" ht="15.75">
      <c r="C271" s="1"/>
      <c r="D271" s="55" t="s">
        <v>90</v>
      </c>
      <c r="E271" s="68"/>
      <c r="F271" s="56"/>
      <c r="G271" s="184">
        <f>G261</f>
        <v>9.6174834336271761E-2</v>
      </c>
      <c r="H271" s="71" t="s">
        <v>87</v>
      </c>
      <c r="I271" s="184">
        <f>G243</f>
        <v>0.75000000000000033</v>
      </c>
    </row>
    <row r="275" spans="2:11" ht="15.75">
      <c r="B275" s="98" t="s">
        <v>164</v>
      </c>
      <c r="C275" s="17"/>
    </row>
    <row r="277" spans="2:11" ht="15.75">
      <c r="C277" s="57" t="s">
        <v>150</v>
      </c>
      <c r="D277" s="34" t="s">
        <v>195</v>
      </c>
      <c r="E277" s="34"/>
      <c r="F277" s="1"/>
      <c r="G277" s="1"/>
      <c r="I277" s="49" t="s">
        <v>238</v>
      </c>
      <c r="J277" s="33"/>
      <c r="K277" s="170">
        <v>0.28000000000000003</v>
      </c>
    </row>
    <row r="278" spans="2:11" ht="15.75">
      <c r="C278" s="57"/>
      <c r="D278" s="99" t="s">
        <v>165</v>
      </c>
      <c r="E278" s="34"/>
      <c r="F278" s="1"/>
      <c r="G278" s="1"/>
      <c r="I278" s="49" t="s">
        <v>234</v>
      </c>
      <c r="J278" s="33"/>
      <c r="K278" s="170">
        <v>0.1</v>
      </c>
    </row>
    <row r="279" spans="2:11" ht="15.75">
      <c r="C279" s="57"/>
      <c r="D279" s="34"/>
      <c r="E279" s="34"/>
      <c r="F279" s="1"/>
      <c r="G279" s="1"/>
      <c r="I279" s="49" t="s">
        <v>236</v>
      </c>
      <c r="J279" s="33"/>
      <c r="K279" s="171">
        <v>0.12</v>
      </c>
    </row>
    <row r="280" spans="2:11" ht="15.75">
      <c r="C280" s="57"/>
      <c r="D280" s="34"/>
      <c r="E280" s="34"/>
      <c r="F280" s="1"/>
      <c r="G280" s="140">
        <f>'Enoncés Gest_port'!D129</f>
        <v>0.28000000000000003</v>
      </c>
      <c r="H280" s="141">
        <f>-'Enoncés Gest_port'!D130</f>
        <v>-0.1</v>
      </c>
      <c r="I280" s="49" t="s">
        <v>235</v>
      </c>
      <c r="J280" s="33"/>
      <c r="K280" s="171">
        <v>0.15</v>
      </c>
    </row>
    <row r="281" spans="2:11" ht="18.75">
      <c r="C281" s="57"/>
      <c r="D281" s="34"/>
      <c r="E281" s="34"/>
      <c r="F281" s="139" t="s">
        <v>272</v>
      </c>
      <c r="G281" s="140">
        <f>-'Enoncés Gest_port'!D130</f>
        <v>-0.1</v>
      </c>
      <c r="H281" s="141">
        <f>'Enoncés Gest_port'!D129</f>
        <v>0.28000000000000003</v>
      </c>
    </row>
    <row r="282" spans="2:11" ht="15.75">
      <c r="C282" s="57"/>
      <c r="D282" s="34"/>
      <c r="E282" s="34"/>
      <c r="F282" s="1"/>
      <c r="G282" s="1"/>
    </row>
    <row r="283" spans="2:11" ht="15.75">
      <c r="C283" s="57"/>
      <c r="D283" s="34"/>
      <c r="E283" s="34"/>
      <c r="F283" s="1"/>
      <c r="G283" s="1"/>
    </row>
    <row r="284" spans="2:11" ht="15.75">
      <c r="C284" s="57"/>
      <c r="D284" s="139" t="s">
        <v>273</v>
      </c>
      <c r="E284" s="140">
        <v>1</v>
      </c>
      <c r="F284" s="140">
        <v>1</v>
      </c>
      <c r="G284" s="1"/>
    </row>
    <row r="285" spans="2:11" ht="15.75">
      <c r="C285" s="57"/>
      <c r="G285" s="1"/>
    </row>
    <row r="286" spans="2:11" ht="15.75">
      <c r="C286" s="57"/>
      <c r="D286" s="36" t="s">
        <v>270</v>
      </c>
      <c r="E286" s="138">
        <f>'Enoncés Gest_port'!D131-'Enoncés Gest_port'!D133</f>
        <v>4.9999999999999989E-2</v>
      </c>
      <c r="F286" s="139" t="s">
        <v>271</v>
      </c>
      <c r="G286" s="140">
        <f t="array" ref="G286:G287">MMULT(G280:H281,E286:E287)/(MMULT(MMULT(E284:F284,G280:H281),E286:E287))</f>
        <v>0.25641025641025644</v>
      </c>
    </row>
    <row r="287" spans="2:11" ht="15.75">
      <c r="C287" s="57"/>
      <c r="D287" s="34"/>
      <c r="E287" s="138">
        <f>'Enoncés Gest_port'!D132-'Enoncés Gest_port'!D133</f>
        <v>7.9999999999999988E-2</v>
      </c>
      <c r="F287" s="1"/>
      <c r="G287" s="140">
        <v>0.74358974358974361</v>
      </c>
    </row>
    <row r="288" spans="2:11">
      <c r="C288" s="1"/>
      <c r="D288" s="1"/>
      <c r="E288" s="1"/>
      <c r="F288" s="1"/>
      <c r="G288" s="1"/>
    </row>
    <row r="289" spans="2:10" ht="15.75">
      <c r="C289" s="1"/>
      <c r="D289" s="55" t="s">
        <v>148</v>
      </c>
      <c r="E289" s="68"/>
      <c r="F289" s="56"/>
      <c r="G289" s="184">
        <f>1-G291-G290</f>
        <v>0</v>
      </c>
      <c r="I289" s="15" t="s">
        <v>330</v>
      </c>
      <c r="J289" s="15" t="s">
        <v>332</v>
      </c>
    </row>
    <row r="290" spans="2:10" ht="15.75">
      <c r="C290" s="1"/>
      <c r="D290" s="55" t="s">
        <v>146</v>
      </c>
      <c r="E290" s="68"/>
      <c r="F290" s="56"/>
      <c r="G290" s="184">
        <f>1-G291</f>
        <v>0.25641025641025639</v>
      </c>
      <c r="I290" s="264">
        <f>G290*G290*K277+G291*G291*K277+2*G290*G291*K278</f>
        <v>0.21136094674556216</v>
      </c>
      <c r="J290" s="146">
        <f>G290*K279+G291*K280</f>
        <v>0.1423076923076923</v>
      </c>
    </row>
    <row r="291" spans="2:10" ht="15.75">
      <c r="C291" s="1"/>
      <c r="D291" s="55" t="s">
        <v>147</v>
      </c>
      <c r="E291" s="68"/>
      <c r="F291" s="56"/>
      <c r="G291" s="184">
        <f>G287</f>
        <v>0.74358974358974361</v>
      </c>
    </row>
    <row r="293" spans="2:10" ht="15">
      <c r="D293" s="99" t="s">
        <v>201</v>
      </c>
      <c r="F293" s="99" t="s">
        <v>203</v>
      </c>
    </row>
    <row r="294" spans="2:10">
      <c r="E294" s="112" t="s">
        <v>204</v>
      </c>
    </row>
    <row r="295" spans="2:10" ht="15">
      <c r="F295" s="99" t="s">
        <v>202</v>
      </c>
    </row>
    <row r="297" spans="2:10" ht="15">
      <c r="D297" s="99"/>
    </row>
    <row r="303" spans="2:10" ht="15.75">
      <c r="B303" s="90"/>
      <c r="C303" s="57" t="s">
        <v>151</v>
      </c>
      <c r="D303" s="1"/>
      <c r="E303" s="1"/>
    </row>
    <row r="304" spans="2:10" ht="15.75">
      <c r="C304" s="11" t="s">
        <v>8</v>
      </c>
      <c r="D304" s="34" t="s">
        <v>152</v>
      </c>
      <c r="E304" s="1"/>
    </row>
    <row r="305" spans="1:8" ht="15.75">
      <c r="C305" s="11"/>
      <c r="D305" s="34"/>
      <c r="E305" s="1"/>
    </row>
    <row r="306" spans="1:8" ht="15.75">
      <c r="C306" s="11"/>
      <c r="D306" s="111" t="s">
        <v>196</v>
      </c>
      <c r="E306" s="1"/>
    </row>
    <row r="307" spans="1:8" ht="15.75">
      <c r="C307" s="11"/>
      <c r="D307" s="34"/>
      <c r="E307" s="1"/>
    </row>
    <row r="308" spans="1:8" ht="15.75">
      <c r="C308" s="11"/>
      <c r="D308" s="34"/>
      <c r="E308" s="1"/>
    </row>
    <row r="309" spans="1:8" ht="15.75">
      <c r="C309" s="11"/>
      <c r="D309" s="34"/>
      <c r="E309" s="1"/>
    </row>
    <row r="310" spans="1:8">
      <c r="A310" s="1"/>
      <c r="B310" s="1"/>
      <c r="C310" s="1"/>
      <c r="D310" s="1"/>
      <c r="E310" s="1"/>
    </row>
    <row r="311" spans="1:8">
      <c r="A311" s="1"/>
      <c r="B311" s="1"/>
      <c r="C311" s="1"/>
      <c r="D311" s="1"/>
      <c r="E311" s="1"/>
    </row>
    <row r="312" spans="1:8">
      <c r="A312" s="1"/>
      <c r="B312" s="1"/>
      <c r="C312" s="1"/>
      <c r="D312" s="15" t="s">
        <v>166</v>
      </c>
      <c r="E312" s="1"/>
    </row>
    <row r="313" spans="1:8">
      <c r="A313" s="1"/>
      <c r="B313" s="1"/>
      <c r="C313" s="1"/>
      <c r="E313" s="1"/>
    </row>
    <row r="314" spans="1:8">
      <c r="A314" s="1"/>
      <c r="B314" s="1"/>
      <c r="C314" s="1"/>
      <c r="E314" s="1"/>
    </row>
    <row r="315" spans="1:8" ht="15.75">
      <c r="A315" s="1"/>
      <c r="B315" s="1"/>
      <c r="C315" s="1"/>
      <c r="E315" s="1"/>
      <c r="G315" s="131" t="s">
        <v>274</v>
      </c>
      <c r="H315" s="190">
        <f>('Enoncés Gest_port'!D129-'Enoncés Gest_port'!D130)/('Enoncés Gest_port'!D129+'Enoncés Gest_port'!D129-2*'Enoncés Gest_port'!D130)</f>
        <v>0.5</v>
      </c>
    </row>
    <row r="316" spans="1:8">
      <c r="A316" s="1"/>
      <c r="B316" s="1"/>
      <c r="C316" s="1"/>
      <c r="E316" s="1"/>
    </row>
    <row r="317" spans="1:8">
      <c r="A317" s="1"/>
      <c r="B317" s="1"/>
      <c r="C317" s="1"/>
      <c r="E317" s="1"/>
    </row>
    <row r="318" spans="1:8">
      <c r="A318" s="1"/>
      <c r="B318" s="1"/>
      <c r="C318" s="1"/>
      <c r="E318" s="1"/>
    </row>
    <row r="319" spans="1:8" ht="20.25">
      <c r="A319" s="1"/>
      <c r="B319" s="1"/>
      <c r="C319" s="1"/>
      <c r="D319" s="32" t="s">
        <v>277</v>
      </c>
      <c r="E319" s="32"/>
      <c r="G319" s="106" t="s">
        <v>275</v>
      </c>
      <c r="H319" s="188">
        <f>H315*'Enoncés Gest_port'!D131+(1-correction!H315)*'Enoncés Gest_port'!D132</f>
        <v>0.13500000000000001</v>
      </c>
    </row>
    <row r="320" spans="1:8" ht="20.25">
      <c r="A320" s="1"/>
      <c r="B320" s="1"/>
      <c r="C320" s="1"/>
      <c r="D320" s="32" t="s">
        <v>278</v>
      </c>
      <c r="E320" s="32"/>
      <c r="G320" s="106" t="s">
        <v>276</v>
      </c>
      <c r="H320" s="189">
        <f>SQRT(H315^2*'Enoncés Gest_port'!D129+(1-correction!H315)^2*'Enoncés Gest_port'!D129+2*correction!H315*(1-correction!H315)*'Enoncés Gest_port'!D130)</f>
        <v>0.43588989435406733</v>
      </c>
    </row>
    <row r="321" spans="1:9">
      <c r="A321" s="1"/>
      <c r="B321" s="1"/>
      <c r="C321" s="1"/>
    </row>
    <row r="322" spans="1:9">
      <c r="A322" s="93"/>
    </row>
    <row r="323" spans="1:9" ht="15.75">
      <c r="A323" s="94"/>
      <c r="D323" s="55" t="s">
        <v>146</v>
      </c>
      <c r="E323" s="68"/>
      <c r="F323" s="56"/>
      <c r="G323" s="184">
        <f>H315</f>
        <v>0.5</v>
      </c>
    </row>
    <row r="324" spans="1:9" ht="15.75">
      <c r="A324" s="94"/>
      <c r="D324" s="55" t="s">
        <v>147</v>
      </c>
      <c r="E324" s="68"/>
      <c r="F324" s="56"/>
      <c r="G324" s="184">
        <f>1-G323</f>
        <v>0.5</v>
      </c>
    </row>
    <row r="325" spans="1:9" ht="15.75">
      <c r="A325" s="94"/>
      <c r="D325" s="55" t="s">
        <v>153</v>
      </c>
      <c r="E325" s="68"/>
      <c r="F325" s="56"/>
      <c r="G325" s="184">
        <f>H319</f>
        <v>0.13500000000000001</v>
      </c>
    </row>
    <row r="326" spans="1:9" ht="15.75">
      <c r="D326" s="55" t="s">
        <v>154</v>
      </c>
      <c r="E326" s="68"/>
      <c r="F326" s="56"/>
      <c r="G326" s="184">
        <f>H320</f>
        <v>0.43588989435406733</v>
      </c>
    </row>
    <row r="327" spans="1:9" ht="15.75">
      <c r="D327" s="107"/>
      <c r="E327" s="108"/>
      <c r="F327" s="108"/>
      <c r="G327" s="28"/>
    </row>
    <row r="329" spans="1:9" ht="15.75">
      <c r="C329" s="11" t="s">
        <v>9</v>
      </c>
      <c r="D329" s="34" t="s">
        <v>155</v>
      </c>
      <c r="E329" s="109"/>
      <c r="F329" s="109"/>
      <c r="G329" s="1"/>
    </row>
    <row r="330" spans="1:9">
      <c r="C330" s="1"/>
      <c r="D330" s="1"/>
      <c r="E330" s="1"/>
      <c r="F330" s="1"/>
      <c r="G330" s="1"/>
    </row>
    <row r="331" spans="1:9" ht="15.75">
      <c r="C331" s="91"/>
      <c r="D331" s="55" t="s">
        <v>282</v>
      </c>
      <c r="E331" s="68"/>
      <c r="F331" s="147" t="s">
        <v>281</v>
      </c>
      <c r="G331" s="184">
        <f>G290</f>
        <v>0.25641025641025639</v>
      </c>
      <c r="H331" s="146"/>
    </row>
    <row r="332" spans="1:9" ht="15.75">
      <c r="C332" s="91"/>
      <c r="D332" s="55" t="s">
        <v>156</v>
      </c>
      <c r="E332" s="68"/>
      <c r="F332" s="147" t="s">
        <v>283</v>
      </c>
      <c r="G332" s="184">
        <f>G291</f>
        <v>0.74358974358974361</v>
      </c>
      <c r="H332" s="146"/>
    </row>
    <row r="333" spans="1:9">
      <c r="C333" s="91"/>
      <c r="D333" s="91"/>
      <c r="E333" s="91"/>
      <c r="F333" s="91"/>
      <c r="G333" s="91"/>
    </row>
    <row r="334" spans="1:9" ht="15.75">
      <c r="C334" s="91"/>
      <c r="D334" s="34" t="s">
        <v>157</v>
      </c>
      <c r="E334" s="109"/>
      <c r="F334" s="109"/>
      <c r="G334" s="109"/>
    </row>
    <row r="335" spans="1:9">
      <c r="C335" s="91"/>
      <c r="D335" s="1"/>
      <c r="E335" s="1"/>
      <c r="F335" s="1"/>
      <c r="G335" s="1"/>
    </row>
    <row r="336" spans="1:9" ht="15.75">
      <c r="C336" s="91"/>
      <c r="D336" s="55" t="s">
        <v>287</v>
      </c>
      <c r="E336" s="68"/>
      <c r="F336" s="71" t="s">
        <v>285</v>
      </c>
      <c r="G336" s="184">
        <f>G290</f>
        <v>0.25641025641025639</v>
      </c>
      <c r="H336" s="150" t="s">
        <v>284</v>
      </c>
      <c r="I336" s="184">
        <f>G323</f>
        <v>0.5</v>
      </c>
    </row>
    <row r="337" spans="3:9" ht="15.75">
      <c r="C337" s="91"/>
      <c r="D337" s="55" t="s">
        <v>288</v>
      </c>
      <c r="E337" s="68"/>
      <c r="F337" s="71" t="s">
        <v>286</v>
      </c>
      <c r="G337" s="184">
        <f>G324</f>
        <v>0.5</v>
      </c>
      <c r="H337" s="150" t="s">
        <v>284</v>
      </c>
      <c r="I337" s="184">
        <f>G291</f>
        <v>0.74358974358974361</v>
      </c>
    </row>
    <row r="338" spans="3:9" ht="15.75">
      <c r="C338" s="108"/>
      <c r="D338" s="107"/>
      <c r="E338" s="108"/>
      <c r="F338" s="108"/>
      <c r="G338" s="28"/>
    </row>
    <row r="339" spans="3:9" ht="15.75">
      <c r="D339" s="142" t="s">
        <v>197</v>
      </c>
      <c r="E339" s="142"/>
      <c r="F339" s="142" t="s">
        <v>198</v>
      </c>
      <c r="G339" s="143" t="s">
        <v>199</v>
      </c>
    </row>
    <row r="340" spans="3:9">
      <c r="D340" s="142" t="s">
        <v>279</v>
      </c>
      <c r="E340" s="144"/>
      <c r="F340" s="142"/>
      <c r="G340" s="142"/>
    </row>
    <row r="341" spans="3:9" ht="15.75">
      <c r="D341" s="145" t="s">
        <v>280</v>
      </c>
      <c r="E341" s="142"/>
      <c r="F341" s="142"/>
      <c r="G341" s="142"/>
    </row>
    <row r="342" spans="3:9">
      <c r="D342" s="145" t="s">
        <v>200</v>
      </c>
      <c r="E342" s="142"/>
      <c r="F342" s="142"/>
      <c r="G342" s="142"/>
    </row>
    <row r="343" spans="3:9" ht="15.75">
      <c r="D343" s="142"/>
      <c r="E343" s="142" t="s">
        <v>301</v>
      </c>
      <c r="F343" s="142"/>
      <c r="G343" s="142"/>
    </row>
    <row r="344" spans="3:9">
      <c r="D344" s="142"/>
      <c r="E344" s="142"/>
      <c r="F344" s="142"/>
      <c r="G344" s="142"/>
    </row>
    <row r="345" spans="3:9" ht="15.75">
      <c r="C345" s="57" t="s">
        <v>160</v>
      </c>
      <c r="D345" s="92" t="s">
        <v>161</v>
      </c>
      <c r="E345" s="110"/>
      <c r="F345" s="91"/>
      <c r="G345" s="91"/>
    </row>
    <row r="346" spans="3:9" ht="15.75">
      <c r="C346" s="57"/>
    </row>
    <row r="347" spans="3:9" ht="15.75">
      <c r="C347" s="57"/>
      <c r="D347" s="15" t="s">
        <v>302</v>
      </c>
    </row>
    <row r="348" spans="3:9" ht="15.75">
      <c r="C348" s="57"/>
    </row>
    <row r="349" spans="3:9" ht="15.75">
      <c r="C349" s="57"/>
    </row>
    <row r="350" spans="3:9" ht="15.75">
      <c r="C350" s="57"/>
    </row>
    <row r="351" spans="3:9" ht="15.75">
      <c r="C351" s="57"/>
    </row>
    <row r="352" spans="3:9" ht="16.5" thickBot="1">
      <c r="C352" s="57"/>
    </row>
    <row r="353" spans="3:7" ht="16.5" thickBot="1">
      <c r="C353" s="57"/>
      <c r="D353" s="103" t="s">
        <v>303</v>
      </c>
      <c r="G353" s="175" t="s">
        <v>313</v>
      </c>
    </row>
    <row r="354" spans="3:7" ht="15.75">
      <c r="C354" s="57"/>
      <c r="D354" s="164"/>
      <c r="E354" s="164"/>
      <c r="F354" s="164"/>
      <c r="G354" s="164"/>
    </row>
    <row r="355" spans="3:7" ht="15.75">
      <c r="C355" s="91"/>
      <c r="D355" s="55" t="s">
        <v>331</v>
      </c>
      <c r="E355" s="68"/>
      <c r="F355" s="56"/>
      <c r="G355" s="184">
        <f>(J290-'Enoncés Gest_port'!D133)/I290</f>
        <v>0.34210526315789463</v>
      </c>
    </row>
    <row r="356" spans="3:7" ht="15.75">
      <c r="C356" s="91"/>
      <c r="D356" s="55" t="s">
        <v>162</v>
      </c>
      <c r="E356" s="68"/>
      <c r="F356" s="56"/>
      <c r="G356" s="184">
        <f>1-G355</f>
        <v>0.65789473684210531</v>
      </c>
    </row>
  </sheetData>
  <phoneticPr fontId="0" type="noConversion"/>
  <pageMargins left="0.2" right="0.19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112" r:id="rId4">
          <objectPr defaultSize="0" r:id="rId5">
            <anchor moveWithCells="1">
              <from>
                <xdr:col>1</xdr:col>
                <xdr:colOff>285750</xdr:colOff>
                <xdr:row>85</xdr:row>
                <xdr:rowOff>190500</xdr:rowOff>
              </from>
              <to>
                <xdr:col>4</xdr:col>
                <xdr:colOff>276225</xdr:colOff>
                <xdr:row>90</xdr:row>
                <xdr:rowOff>171450</xdr:rowOff>
              </to>
            </anchor>
          </objectPr>
        </oleObject>
      </mc:Choice>
      <mc:Fallback>
        <oleObject progId="Equation.3" shapeId="3112" r:id="rId4"/>
      </mc:Fallback>
    </mc:AlternateContent>
    <mc:AlternateContent xmlns:mc="http://schemas.openxmlformats.org/markup-compatibility/2006">
      <mc:Choice Requires="x14">
        <oleObject progId="Equation.3" shapeId="3117" r:id="rId6">
          <objectPr defaultSize="0" autoPict="0" r:id="rId7">
            <anchor moveWithCells="1">
              <from>
                <xdr:col>2</xdr:col>
                <xdr:colOff>0</xdr:colOff>
                <xdr:row>172</xdr:row>
                <xdr:rowOff>9525</xdr:rowOff>
              </from>
              <to>
                <xdr:col>4</xdr:col>
                <xdr:colOff>847725</xdr:colOff>
                <xdr:row>175</xdr:row>
                <xdr:rowOff>152400</xdr:rowOff>
              </to>
            </anchor>
          </objectPr>
        </oleObject>
      </mc:Choice>
      <mc:Fallback>
        <oleObject progId="Equation.3" shapeId="3117" r:id="rId6"/>
      </mc:Fallback>
    </mc:AlternateContent>
    <mc:AlternateContent xmlns:mc="http://schemas.openxmlformats.org/markup-compatibility/2006">
      <mc:Choice Requires="x14">
        <oleObject progId="Equation.3" shapeId="3118" r:id="rId8">
          <objectPr defaultSize="0" autoPict="0" r:id="rId9">
            <anchor moveWithCells="1">
              <from>
                <xdr:col>3</xdr:col>
                <xdr:colOff>552450</xdr:colOff>
                <xdr:row>199</xdr:row>
                <xdr:rowOff>76200</xdr:rowOff>
              </from>
              <to>
                <xdr:col>5</xdr:col>
                <xdr:colOff>1343025</xdr:colOff>
                <xdr:row>203</xdr:row>
                <xdr:rowOff>28575</xdr:rowOff>
              </to>
            </anchor>
          </objectPr>
        </oleObject>
      </mc:Choice>
      <mc:Fallback>
        <oleObject progId="Equation.3" shapeId="3118" r:id="rId8"/>
      </mc:Fallback>
    </mc:AlternateContent>
    <mc:AlternateContent xmlns:mc="http://schemas.openxmlformats.org/markup-compatibility/2006">
      <mc:Choice Requires="x14">
        <oleObject progId="Equation.3" shapeId="3119" r:id="rId10">
          <objectPr defaultSize="0" autoPict="0" r:id="rId11">
            <anchor moveWithCells="1">
              <from>
                <xdr:col>3</xdr:col>
                <xdr:colOff>28575</xdr:colOff>
                <xdr:row>214</xdr:row>
                <xdr:rowOff>9525</xdr:rowOff>
              </from>
              <to>
                <xdr:col>5</xdr:col>
                <xdr:colOff>257175</xdr:colOff>
                <xdr:row>217</xdr:row>
                <xdr:rowOff>0</xdr:rowOff>
              </to>
            </anchor>
          </objectPr>
        </oleObject>
      </mc:Choice>
      <mc:Fallback>
        <oleObject progId="Equation.3" shapeId="3119" r:id="rId10"/>
      </mc:Fallback>
    </mc:AlternateContent>
    <mc:AlternateContent xmlns:mc="http://schemas.openxmlformats.org/markup-compatibility/2006">
      <mc:Choice Requires="x14">
        <oleObject progId="Equation.3" shapeId="3127" r:id="rId12">
          <objectPr defaultSize="0" autoPict="0" r:id="rId13">
            <anchor moveWithCells="1">
              <from>
                <xdr:col>3</xdr:col>
                <xdr:colOff>85725</xdr:colOff>
                <xdr:row>313</xdr:row>
                <xdr:rowOff>57150</xdr:rowOff>
              </from>
              <to>
                <xdr:col>4</xdr:col>
                <xdr:colOff>1276350</xdr:colOff>
                <xdr:row>316</xdr:row>
                <xdr:rowOff>9525</xdr:rowOff>
              </to>
            </anchor>
          </objectPr>
        </oleObject>
      </mc:Choice>
      <mc:Fallback>
        <oleObject progId="Equation.3" shapeId="3127" r:id="rId12"/>
      </mc:Fallback>
    </mc:AlternateContent>
    <mc:AlternateContent xmlns:mc="http://schemas.openxmlformats.org/markup-compatibility/2006">
      <mc:Choice Requires="x14">
        <oleObject progId="Equation.3" shapeId="3130" r:id="rId14">
          <objectPr defaultSize="0" autoPict="0" r:id="rId15">
            <anchor moveWithCells="1">
              <from>
                <xdr:col>4</xdr:col>
                <xdr:colOff>990600</xdr:colOff>
                <xdr:row>113</xdr:row>
                <xdr:rowOff>0</xdr:rowOff>
              </from>
              <to>
                <xdr:col>5</xdr:col>
                <xdr:colOff>1495425</xdr:colOff>
                <xdr:row>114</xdr:row>
                <xdr:rowOff>104775</xdr:rowOff>
              </to>
            </anchor>
          </objectPr>
        </oleObject>
      </mc:Choice>
      <mc:Fallback>
        <oleObject progId="Equation.3" shapeId="3130" r:id="rId14"/>
      </mc:Fallback>
    </mc:AlternateContent>
    <mc:AlternateContent xmlns:mc="http://schemas.openxmlformats.org/markup-compatibility/2006">
      <mc:Choice Requires="x14">
        <oleObject progId="Equation.3" shapeId="3131" r:id="rId16">
          <objectPr defaultSize="0" autoPict="0" r:id="rId17">
            <anchor moveWithCells="1">
              <from>
                <xdr:col>4</xdr:col>
                <xdr:colOff>285750</xdr:colOff>
                <xdr:row>53</xdr:row>
                <xdr:rowOff>152400</xdr:rowOff>
              </from>
              <to>
                <xdr:col>5</xdr:col>
                <xdr:colOff>590550</xdr:colOff>
                <xdr:row>55</xdr:row>
                <xdr:rowOff>123825</xdr:rowOff>
              </to>
            </anchor>
          </objectPr>
        </oleObject>
      </mc:Choice>
      <mc:Fallback>
        <oleObject progId="Equation.3" shapeId="3131" r:id="rId16"/>
      </mc:Fallback>
    </mc:AlternateContent>
    <mc:AlternateContent xmlns:mc="http://schemas.openxmlformats.org/markup-compatibility/2006">
      <mc:Choice Requires="x14">
        <oleObject progId="Equation.3" shapeId="3132" r:id="rId18">
          <objectPr defaultSize="0" r:id="rId19">
            <anchor moveWithCells="1">
              <from>
                <xdr:col>4</xdr:col>
                <xdr:colOff>314325</xdr:colOff>
                <xdr:row>63</xdr:row>
                <xdr:rowOff>123825</xdr:rowOff>
              </from>
              <to>
                <xdr:col>4</xdr:col>
                <xdr:colOff>952500</xdr:colOff>
                <xdr:row>65</xdr:row>
                <xdr:rowOff>123825</xdr:rowOff>
              </to>
            </anchor>
          </objectPr>
        </oleObject>
      </mc:Choice>
      <mc:Fallback>
        <oleObject progId="Equation.3" shapeId="3132" r:id="rId18"/>
      </mc:Fallback>
    </mc:AlternateContent>
    <mc:AlternateContent xmlns:mc="http://schemas.openxmlformats.org/markup-compatibility/2006">
      <mc:Choice Requires="x14">
        <oleObject progId="Equation.3" shapeId="3133" r:id="rId20">
          <objectPr defaultSize="0" autoPict="0" r:id="rId21">
            <anchor moveWithCells="1">
              <from>
                <xdr:col>4</xdr:col>
                <xdr:colOff>285750</xdr:colOff>
                <xdr:row>12</xdr:row>
                <xdr:rowOff>133350</xdr:rowOff>
              </from>
              <to>
                <xdr:col>5</xdr:col>
                <xdr:colOff>1047750</xdr:colOff>
                <xdr:row>14</xdr:row>
                <xdr:rowOff>95250</xdr:rowOff>
              </to>
            </anchor>
          </objectPr>
        </oleObject>
      </mc:Choice>
      <mc:Fallback>
        <oleObject progId="Equation.3" shapeId="3133" r:id="rId20"/>
      </mc:Fallback>
    </mc:AlternateContent>
    <mc:AlternateContent xmlns:mc="http://schemas.openxmlformats.org/markup-compatibility/2006">
      <mc:Choice Requires="x14">
        <oleObject progId="Equation.3" shapeId="3134" r:id="rId22">
          <objectPr defaultSize="0" autoPict="0" r:id="rId23">
            <anchor moveWithCells="1">
              <from>
                <xdr:col>4</xdr:col>
                <xdr:colOff>352425</xdr:colOff>
                <xdr:row>21</xdr:row>
                <xdr:rowOff>95250</xdr:rowOff>
              </from>
              <to>
                <xdr:col>5</xdr:col>
                <xdr:colOff>1000125</xdr:colOff>
                <xdr:row>24</xdr:row>
                <xdr:rowOff>123825</xdr:rowOff>
              </to>
            </anchor>
          </objectPr>
        </oleObject>
      </mc:Choice>
      <mc:Fallback>
        <oleObject progId="Equation.3" shapeId="3134" r:id="rId22"/>
      </mc:Fallback>
    </mc:AlternateContent>
    <mc:AlternateContent xmlns:mc="http://schemas.openxmlformats.org/markup-compatibility/2006">
      <mc:Choice Requires="x14">
        <oleObject progId="Equation.3" shapeId="3137" r:id="rId24">
          <objectPr defaultSize="0" autoPict="0" r:id="rId25">
            <anchor moveWithCells="1">
              <from>
                <xdr:col>5</xdr:col>
                <xdr:colOff>28575</xdr:colOff>
                <xdr:row>37</xdr:row>
                <xdr:rowOff>57150</xdr:rowOff>
              </from>
              <to>
                <xdr:col>5</xdr:col>
                <xdr:colOff>838200</xdr:colOff>
                <xdr:row>40</xdr:row>
                <xdr:rowOff>0</xdr:rowOff>
              </to>
            </anchor>
          </objectPr>
        </oleObject>
      </mc:Choice>
      <mc:Fallback>
        <oleObject progId="Equation.3" shapeId="3137" r:id="rId24"/>
      </mc:Fallback>
    </mc:AlternateContent>
    <mc:AlternateContent xmlns:mc="http://schemas.openxmlformats.org/markup-compatibility/2006">
      <mc:Choice Requires="x14">
        <oleObject progId="Equation.3" shapeId="3138" r:id="rId26">
          <objectPr defaultSize="0" autoPict="0" r:id="rId27">
            <anchor moveWithCells="1">
              <from>
                <xdr:col>5</xdr:col>
                <xdr:colOff>190500</xdr:colOff>
                <xdr:row>124</xdr:row>
                <xdr:rowOff>123825</xdr:rowOff>
              </from>
              <to>
                <xdr:col>6</xdr:col>
                <xdr:colOff>581025</xdr:colOff>
                <xdr:row>126</xdr:row>
                <xdr:rowOff>66675</xdr:rowOff>
              </to>
            </anchor>
          </objectPr>
        </oleObject>
      </mc:Choice>
      <mc:Fallback>
        <oleObject progId="Equation.3" shapeId="3138" r:id="rId26"/>
      </mc:Fallback>
    </mc:AlternateContent>
    <mc:AlternateContent xmlns:mc="http://schemas.openxmlformats.org/markup-compatibility/2006">
      <mc:Choice Requires="x14">
        <oleObject progId="Equation.3" shapeId="3139" r:id="rId28">
          <objectPr defaultSize="0" autoPict="0" r:id="rId29">
            <anchor moveWithCells="1">
              <from>
                <xdr:col>4</xdr:col>
                <xdr:colOff>600075</xdr:colOff>
                <xdr:row>124</xdr:row>
                <xdr:rowOff>85725</xdr:rowOff>
              </from>
              <to>
                <xdr:col>4</xdr:col>
                <xdr:colOff>1390650</xdr:colOff>
                <xdr:row>126</xdr:row>
                <xdr:rowOff>28575</xdr:rowOff>
              </to>
            </anchor>
          </objectPr>
        </oleObject>
      </mc:Choice>
      <mc:Fallback>
        <oleObject progId="Equation.3" shapeId="3139" r:id="rId28"/>
      </mc:Fallback>
    </mc:AlternateContent>
    <mc:AlternateContent xmlns:mc="http://schemas.openxmlformats.org/markup-compatibility/2006">
      <mc:Choice Requires="x14">
        <oleObject progId="Equation.3" shapeId="3140" r:id="rId30">
          <objectPr defaultSize="0" autoPict="0" r:id="rId31">
            <anchor moveWithCells="1">
              <from>
                <xdr:col>4</xdr:col>
                <xdr:colOff>752475</xdr:colOff>
                <xdr:row>137</xdr:row>
                <xdr:rowOff>152400</xdr:rowOff>
              </from>
              <to>
                <xdr:col>5</xdr:col>
                <xdr:colOff>638175</xdr:colOff>
                <xdr:row>140</xdr:row>
                <xdr:rowOff>9525</xdr:rowOff>
              </to>
            </anchor>
          </objectPr>
        </oleObject>
      </mc:Choice>
      <mc:Fallback>
        <oleObject progId="Equation.3" shapeId="3140" r:id="rId30"/>
      </mc:Fallback>
    </mc:AlternateContent>
    <mc:AlternateContent xmlns:mc="http://schemas.openxmlformats.org/markup-compatibility/2006">
      <mc:Choice Requires="x14">
        <oleObject progId="Equation.3" shapeId="3141" r:id="rId32">
          <objectPr defaultSize="0" autoPict="0" r:id="rId33">
            <anchor moveWithCells="1">
              <from>
                <xdr:col>4</xdr:col>
                <xdr:colOff>781050</xdr:colOff>
                <xdr:row>141</xdr:row>
                <xdr:rowOff>76200</xdr:rowOff>
              </from>
              <to>
                <xdr:col>5</xdr:col>
                <xdr:colOff>676275</xdr:colOff>
                <xdr:row>143</xdr:row>
                <xdr:rowOff>28575</xdr:rowOff>
              </to>
            </anchor>
          </objectPr>
        </oleObject>
      </mc:Choice>
      <mc:Fallback>
        <oleObject progId="Equation.3" shapeId="3141" r:id="rId32"/>
      </mc:Fallback>
    </mc:AlternateContent>
    <mc:AlternateContent xmlns:mc="http://schemas.openxmlformats.org/markup-compatibility/2006">
      <mc:Choice Requires="x14">
        <oleObject progId="Equation.3" shapeId="3142" r:id="rId34">
          <objectPr defaultSize="0" autoPict="0" r:id="rId35">
            <anchor moveWithCells="1">
              <from>
                <xdr:col>5</xdr:col>
                <xdr:colOff>923925</xdr:colOff>
                <xdr:row>145</xdr:row>
                <xdr:rowOff>57150</xdr:rowOff>
              </from>
              <to>
                <xdr:col>7</xdr:col>
                <xdr:colOff>476250</xdr:colOff>
                <xdr:row>149</xdr:row>
                <xdr:rowOff>123825</xdr:rowOff>
              </to>
            </anchor>
          </objectPr>
        </oleObject>
      </mc:Choice>
      <mc:Fallback>
        <oleObject progId="Equation.3" shapeId="3142" r:id="rId34"/>
      </mc:Fallback>
    </mc:AlternateContent>
    <mc:AlternateContent xmlns:mc="http://schemas.openxmlformats.org/markup-compatibility/2006">
      <mc:Choice Requires="x14">
        <oleObject progId="Equation.3" shapeId="3145" r:id="rId36">
          <objectPr defaultSize="0" autoPict="0" r:id="rId37">
            <anchor moveWithCells="1">
              <from>
                <xdr:col>1</xdr:col>
                <xdr:colOff>495300</xdr:colOff>
                <xdr:row>187</xdr:row>
                <xdr:rowOff>152400</xdr:rowOff>
              </from>
              <to>
                <xdr:col>4</xdr:col>
                <xdr:colOff>1152525</xdr:colOff>
                <xdr:row>192</xdr:row>
                <xdr:rowOff>0</xdr:rowOff>
              </to>
            </anchor>
          </objectPr>
        </oleObject>
      </mc:Choice>
      <mc:Fallback>
        <oleObject progId="Equation.3" shapeId="3145" r:id="rId36"/>
      </mc:Fallback>
    </mc:AlternateContent>
    <mc:AlternateContent xmlns:mc="http://schemas.openxmlformats.org/markup-compatibility/2006">
      <mc:Choice Requires="x14">
        <oleObject progId="Equation.3" shapeId="3148" r:id="rId38">
          <objectPr defaultSize="0" autoPict="0" r:id="rId39">
            <anchor moveWithCells="1">
              <from>
                <xdr:col>3</xdr:col>
                <xdr:colOff>95250</xdr:colOff>
                <xdr:row>306</xdr:row>
                <xdr:rowOff>190500</xdr:rowOff>
              </from>
              <to>
                <xdr:col>4</xdr:col>
                <xdr:colOff>276225</xdr:colOff>
                <xdr:row>309</xdr:row>
                <xdr:rowOff>152400</xdr:rowOff>
              </to>
            </anchor>
          </objectPr>
        </oleObject>
      </mc:Choice>
      <mc:Fallback>
        <oleObject progId="Equation.3" shapeId="3148" r:id="rId38"/>
      </mc:Fallback>
    </mc:AlternateContent>
    <mc:AlternateContent xmlns:mc="http://schemas.openxmlformats.org/markup-compatibility/2006">
      <mc:Choice Requires="x14">
        <oleObject progId="Equation.3" shapeId="3150" r:id="rId40">
          <objectPr defaultSize="0" autoPict="0" r:id="rId41">
            <anchor moveWithCells="1">
              <from>
                <xdr:col>5</xdr:col>
                <xdr:colOff>295275</xdr:colOff>
                <xdr:row>297</xdr:row>
                <xdr:rowOff>85725</xdr:rowOff>
              </from>
              <to>
                <xdr:col>5</xdr:col>
                <xdr:colOff>1428750</xdr:colOff>
                <xdr:row>300</xdr:row>
                <xdr:rowOff>104775</xdr:rowOff>
              </to>
            </anchor>
          </objectPr>
        </oleObject>
      </mc:Choice>
      <mc:Fallback>
        <oleObject progId="Equation.3" shapeId="3150" r:id="rId40"/>
      </mc:Fallback>
    </mc:AlternateContent>
    <mc:AlternateContent xmlns:mc="http://schemas.openxmlformats.org/markup-compatibility/2006">
      <mc:Choice Requires="x14">
        <oleObject progId="Equation.3" shapeId="3151" r:id="rId42">
          <objectPr defaultSize="0" autoPict="0" r:id="rId43">
            <anchor moveWithCells="1">
              <from>
                <xdr:col>3</xdr:col>
                <xdr:colOff>276225</xdr:colOff>
                <xdr:row>297</xdr:row>
                <xdr:rowOff>95250</xdr:rowOff>
              </from>
              <to>
                <xdr:col>4</xdr:col>
                <xdr:colOff>847725</xdr:colOff>
                <xdr:row>300</xdr:row>
                <xdr:rowOff>152400</xdr:rowOff>
              </to>
            </anchor>
          </objectPr>
        </oleObject>
      </mc:Choice>
      <mc:Fallback>
        <oleObject progId="Equation.3" shapeId="3151" r:id="rId42"/>
      </mc:Fallback>
    </mc:AlternateContent>
    <mc:AlternateContent xmlns:mc="http://schemas.openxmlformats.org/markup-compatibility/2006">
      <mc:Choice Requires="x14">
        <oleObject progId="Equation.3" shapeId="3152" r:id="rId44">
          <objectPr defaultSize="0" autoPict="0" r:id="rId45">
            <anchor moveWithCells="1">
              <from>
                <xdr:col>6</xdr:col>
                <xdr:colOff>466725</xdr:colOff>
                <xdr:row>297</xdr:row>
                <xdr:rowOff>38100</xdr:rowOff>
              </from>
              <to>
                <xdr:col>6</xdr:col>
                <xdr:colOff>1171575</xdr:colOff>
                <xdr:row>300</xdr:row>
                <xdr:rowOff>95250</xdr:rowOff>
              </to>
            </anchor>
          </objectPr>
        </oleObject>
      </mc:Choice>
      <mc:Fallback>
        <oleObject progId="Equation.3" shapeId="3152" r:id="rId44"/>
      </mc:Fallback>
    </mc:AlternateContent>
    <mc:AlternateContent xmlns:mc="http://schemas.openxmlformats.org/markup-compatibility/2006">
      <mc:Choice Requires="x14">
        <oleObject progId="Equation.3" shapeId="3153" r:id="rId46">
          <objectPr defaultSize="0" autoPict="0" r:id="rId47">
            <anchor moveWithCells="1">
              <from>
                <xdr:col>5</xdr:col>
                <xdr:colOff>762000</xdr:colOff>
                <xdr:row>69</xdr:row>
                <xdr:rowOff>57150</xdr:rowOff>
              </from>
              <to>
                <xdr:col>8</xdr:col>
                <xdr:colOff>19050</xdr:colOff>
                <xdr:row>72</xdr:row>
                <xdr:rowOff>104775</xdr:rowOff>
              </to>
            </anchor>
          </objectPr>
        </oleObject>
      </mc:Choice>
      <mc:Fallback>
        <oleObject progId="Equation.3" shapeId="3153" r:id="rId46"/>
      </mc:Fallback>
    </mc:AlternateContent>
    <mc:AlternateContent xmlns:mc="http://schemas.openxmlformats.org/markup-compatibility/2006">
      <mc:Choice Requires="x14">
        <oleObject progId="Equation.3" shapeId="3154" r:id="rId48">
          <objectPr defaultSize="0" autoPict="0" r:id="rId49">
            <anchor moveWithCells="1">
              <from>
                <xdr:col>2</xdr:col>
                <xdr:colOff>190500</xdr:colOff>
                <xdr:row>69</xdr:row>
                <xdr:rowOff>57150</xdr:rowOff>
              </from>
              <to>
                <xdr:col>5</xdr:col>
                <xdr:colOff>9525</xdr:colOff>
                <xdr:row>72</xdr:row>
                <xdr:rowOff>152400</xdr:rowOff>
              </to>
            </anchor>
          </objectPr>
        </oleObject>
      </mc:Choice>
      <mc:Fallback>
        <oleObject progId="Equation.3" shapeId="3154" r:id="rId48"/>
      </mc:Fallback>
    </mc:AlternateContent>
    <mc:AlternateContent xmlns:mc="http://schemas.openxmlformats.org/markup-compatibility/2006">
      <mc:Choice Requires="x14">
        <oleObject progId="Equation.3" shapeId="3156" r:id="rId50">
          <objectPr defaultSize="0" autoPict="0" r:id="rId51">
            <anchor moveWithCells="1">
              <from>
                <xdr:col>5</xdr:col>
                <xdr:colOff>1552575</xdr:colOff>
                <xdr:row>212</xdr:row>
                <xdr:rowOff>142875</xdr:rowOff>
              </from>
              <to>
                <xdr:col>7</xdr:col>
                <xdr:colOff>800100</xdr:colOff>
                <xdr:row>217</xdr:row>
                <xdr:rowOff>142875</xdr:rowOff>
              </to>
            </anchor>
          </objectPr>
        </oleObject>
      </mc:Choice>
      <mc:Fallback>
        <oleObject progId="Equation.3" shapeId="3156" r:id="rId50"/>
      </mc:Fallback>
    </mc:AlternateContent>
    <mc:AlternateContent xmlns:mc="http://schemas.openxmlformats.org/markup-compatibility/2006">
      <mc:Choice Requires="x14">
        <oleObject progId="Equation.3" shapeId="3157" r:id="rId52">
          <objectPr defaultSize="0" autoPict="0" r:id="rId53">
            <anchor moveWithCells="1">
              <from>
                <xdr:col>2</xdr:col>
                <xdr:colOff>962025</xdr:colOff>
                <xdr:row>347</xdr:row>
                <xdr:rowOff>142875</xdr:rowOff>
              </from>
              <to>
                <xdr:col>7</xdr:col>
                <xdr:colOff>133350</xdr:colOff>
                <xdr:row>351</xdr:row>
                <xdr:rowOff>76200</xdr:rowOff>
              </to>
            </anchor>
          </objectPr>
        </oleObject>
      </mc:Choice>
      <mc:Fallback>
        <oleObject progId="Equation.3" shapeId="3157" r:id="rId5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12</vt:i4>
      </vt:variant>
    </vt:vector>
  </HeadingPairs>
  <TitlesOfParts>
    <vt:vector size="16" baseType="lpstr">
      <vt:lpstr>Enoncés Gest_port</vt:lpstr>
      <vt:lpstr>exercice </vt:lpstr>
      <vt:lpstr>Feuil1</vt:lpstr>
      <vt:lpstr>correction</vt:lpstr>
      <vt:lpstr>note_ex1</vt:lpstr>
      <vt:lpstr>note_ex2</vt:lpstr>
      <vt:lpstr>note1</vt:lpstr>
      <vt:lpstr>note2</vt:lpstr>
      <vt:lpstr>note3</vt:lpstr>
      <vt:lpstr>note4</vt:lpstr>
      <vt:lpstr>note5</vt:lpstr>
      <vt:lpstr>note6</vt:lpstr>
      <vt:lpstr>note7</vt:lpstr>
      <vt:lpstr>note8</vt:lpstr>
      <vt:lpstr>rtf</vt:lpstr>
      <vt:lpstr>correction!Zone_d_impression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ILEF OURIEMI</dc:creator>
  <cp:lastModifiedBy>Install</cp:lastModifiedBy>
  <cp:lastPrinted>2017-01-19T17:23:44Z</cp:lastPrinted>
  <dcterms:created xsi:type="dcterms:W3CDTF">1999-05-03T08:16:36Z</dcterms:created>
  <dcterms:modified xsi:type="dcterms:W3CDTF">2020-02-05T11:22:22Z</dcterms:modified>
</cp:coreProperties>
</file>