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 FRANCISCO 1 OCTUBRE 2019\DOCUMENTOS\002 Universidad\0 UDLA\Semestre VI\CADENA\"/>
    </mc:Choice>
  </mc:AlternateContent>
  <xr:revisionPtr revIDLastSave="0" documentId="13_ncr:1_{B493095A-5965-4D5E-84C0-53050CE4E013}" xr6:coauthVersionLast="45" xr6:coauthVersionMax="45" xr10:uidLastSave="{00000000-0000-0000-0000-000000000000}"/>
  <bookViews>
    <workbookView xWindow="-120" yWindow="-120" windowWidth="20730" windowHeight="11160" xr2:uid="{9061372D-A7A5-486C-8FAE-A266722E4D1C}"/>
  </bookViews>
  <sheets>
    <sheet name="RESUMEN" sheetId="7" r:id="rId1"/>
    <sheet name="Análisis de palletsContenedor20" sheetId="4" r:id="rId2"/>
    <sheet name="Análisis de palletsContened 40" sheetId="5" r:id="rId3"/>
    <sheet name="COSTO OPCIONES MAR" sheetId="6" r:id="rId4"/>
    <sheet name="FLETE AEREO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7" l="1"/>
  <c r="I12" i="7" s="1"/>
  <c r="I10" i="7"/>
  <c r="I11" i="7"/>
  <c r="F11" i="7"/>
  <c r="G10" i="7"/>
  <c r="D10" i="7"/>
  <c r="C10" i="7"/>
  <c r="E10" i="7" s="1"/>
  <c r="B10" i="7"/>
  <c r="F10" i="7" s="1"/>
  <c r="G9" i="7"/>
  <c r="H9" i="7" s="1"/>
  <c r="I9" i="7" s="1"/>
  <c r="D9" i="7"/>
  <c r="C9" i="7"/>
  <c r="E9" i="7" s="1"/>
  <c r="B9" i="7"/>
  <c r="F9" i="7" s="1"/>
  <c r="G8" i="7"/>
  <c r="D8" i="7"/>
  <c r="C8" i="7"/>
  <c r="E8" i="7" s="1"/>
  <c r="B8" i="7"/>
  <c r="F8" i="7" s="1"/>
  <c r="I8" i="7" s="1"/>
  <c r="G7" i="7"/>
  <c r="H7" i="7" s="1"/>
  <c r="I7" i="7" s="1"/>
  <c r="D7" i="7"/>
  <c r="C7" i="7"/>
  <c r="E7" i="7" s="1"/>
  <c r="B7" i="7"/>
  <c r="F7" i="7" s="1"/>
  <c r="G6" i="7"/>
  <c r="E6" i="7"/>
  <c r="D6" i="7"/>
  <c r="C6" i="7"/>
  <c r="B6" i="7"/>
  <c r="F6" i="7" s="1"/>
  <c r="I6" i="7" s="1"/>
  <c r="E5" i="7"/>
  <c r="D5" i="7"/>
  <c r="G5" i="7" s="1"/>
  <c r="C5" i="7"/>
  <c r="B5" i="7"/>
  <c r="F5" i="7" s="1"/>
  <c r="I5" i="7" s="1"/>
  <c r="G4" i="7"/>
  <c r="D4" i="7"/>
  <c r="C4" i="7"/>
  <c r="E4" i="7" s="1"/>
  <c r="B4" i="7"/>
  <c r="F4" i="7" s="1"/>
  <c r="I4" i="7" s="1"/>
  <c r="G3" i="7"/>
  <c r="H3" i="7" s="1"/>
  <c r="I3" i="7" s="1"/>
  <c r="D3" i="7"/>
  <c r="C3" i="7"/>
  <c r="E3" i="7" s="1"/>
  <c r="B3" i="7"/>
  <c r="F3" i="7" s="1"/>
  <c r="D29" i="1"/>
  <c r="D33" i="1"/>
  <c r="B27" i="1"/>
  <c r="B21" i="1"/>
  <c r="D26" i="1" l="1"/>
  <c r="B18" i="1"/>
  <c r="G7" i="6"/>
  <c r="I4" i="6"/>
  <c r="I5" i="6"/>
  <c r="I6" i="6"/>
  <c r="I7" i="6"/>
  <c r="I8" i="6"/>
  <c r="I9" i="6"/>
  <c r="I10" i="6"/>
  <c r="I3" i="6"/>
  <c r="H7" i="6"/>
  <c r="H9" i="6"/>
  <c r="H3" i="6"/>
  <c r="G4" i="6"/>
  <c r="G5" i="6"/>
  <c r="G6" i="6"/>
  <c r="G8" i="6"/>
  <c r="G9" i="6"/>
  <c r="G10" i="6"/>
  <c r="G3" i="6"/>
  <c r="F14" i="6"/>
  <c r="E14" i="6"/>
  <c r="F8" i="6"/>
  <c r="F9" i="6"/>
  <c r="F10" i="6"/>
  <c r="F7" i="6"/>
  <c r="F4" i="6"/>
  <c r="F5" i="6"/>
  <c r="F6" i="6"/>
  <c r="F3" i="6"/>
  <c r="E3" i="6"/>
  <c r="E4" i="6"/>
  <c r="E5" i="6"/>
  <c r="E6" i="6"/>
  <c r="E7" i="6"/>
  <c r="E8" i="6"/>
  <c r="E9" i="6"/>
  <c r="E10" i="6"/>
  <c r="D10" i="6"/>
  <c r="D9" i="6"/>
  <c r="D8" i="6"/>
  <c r="D7" i="6"/>
  <c r="D6" i="6"/>
  <c r="D5" i="6"/>
  <c r="D4" i="6"/>
  <c r="D3" i="6"/>
  <c r="C10" i="6"/>
  <c r="C9" i="6"/>
  <c r="C8" i="6"/>
  <c r="C7" i="6"/>
  <c r="C6" i="6"/>
  <c r="C5" i="6"/>
  <c r="C4" i="6"/>
  <c r="C3" i="6"/>
  <c r="B10" i="6"/>
  <c r="B9" i="6"/>
  <c r="B7" i="6"/>
  <c r="B8" i="6"/>
  <c r="J28" i="4"/>
  <c r="I28" i="4"/>
  <c r="J30" i="4"/>
  <c r="J28" i="5"/>
  <c r="D31" i="1" l="1"/>
  <c r="D30" i="1"/>
  <c r="D32" i="1"/>
  <c r="B22" i="1"/>
  <c r="I29" i="5"/>
  <c r="I31" i="5"/>
  <c r="J31" i="5"/>
  <c r="I16" i="5"/>
  <c r="B6" i="6" l="1"/>
  <c r="B5" i="6"/>
  <c r="B4" i="6"/>
  <c r="B3" i="6"/>
  <c r="J34" i="4"/>
  <c r="L34" i="4" s="1"/>
  <c r="L30" i="4"/>
  <c r="J69" i="4"/>
  <c r="L69" i="4" s="1"/>
  <c r="J65" i="4"/>
  <c r="L65" i="4" s="1"/>
  <c r="J70" i="5"/>
  <c r="L70" i="5" s="1"/>
  <c r="J66" i="5"/>
  <c r="L66" i="5" s="1"/>
  <c r="L31" i="5"/>
  <c r="L35" i="5"/>
  <c r="J35" i="5"/>
  <c r="G22" i="5"/>
  <c r="G23" i="5"/>
  <c r="H32" i="4"/>
  <c r="I34" i="4" s="1"/>
  <c r="I69" i="4"/>
  <c r="H67" i="4"/>
  <c r="I70" i="5"/>
  <c r="H68" i="5"/>
  <c r="B61" i="5"/>
  <c r="B60" i="5"/>
  <c r="B65" i="5"/>
  <c r="B69" i="5" s="1"/>
  <c r="D64" i="5"/>
  <c r="D69" i="5" s="1"/>
  <c r="B64" i="5"/>
  <c r="B68" i="5" s="1"/>
  <c r="B62" i="5"/>
  <c r="D56" i="5"/>
  <c r="B56" i="5"/>
  <c r="K55" i="5"/>
  <c r="D55" i="5"/>
  <c r="B55" i="5"/>
  <c r="B54" i="5"/>
  <c r="D54" i="5" s="1"/>
  <c r="D50" i="5"/>
  <c r="D49" i="5"/>
  <c r="D48" i="5"/>
  <c r="B45" i="5"/>
  <c r="B44" i="5"/>
  <c r="D44" i="5" s="1"/>
  <c r="D43" i="5"/>
  <c r="K57" i="5" s="1"/>
  <c r="D42" i="5"/>
  <c r="D65" i="5" s="1"/>
  <c r="D41" i="5"/>
  <c r="D30" i="5"/>
  <c r="D33" i="5" s="1"/>
  <c r="B30" i="5"/>
  <c r="B34" i="5" s="1"/>
  <c r="B29" i="5"/>
  <c r="B33" i="5" s="1"/>
  <c r="E33" i="5" s="1"/>
  <c r="F33" i="5" s="1"/>
  <c r="B27" i="5"/>
  <c r="F25" i="5" s="1"/>
  <c r="K20" i="5"/>
  <c r="B20" i="5"/>
  <c r="D20" i="5" s="1"/>
  <c r="K19" i="5"/>
  <c r="B19" i="5"/>
  <c r="D19" i="5" s="1"/>
  <c r="B18" i="5"/>
  <c r="D18" i="5" s="1"/>
  <c r="D14" i="5"/>
  <c r="K21" i="5" s="1"/>
  <c r="D13" i="5"/>
  <c r="D12" i="5"/>
  <c r="B9" i="5"/>
  <c r="B8" i="5"/>
  <c r="D8" i="5" s="1"/>
  <c r="D7" i="5"/>
  <c r="D6" i="5"/>
  <c r="D5" i="5"/>
  <c r="D29" i="5" s="1"/>
  <c r="B2" i="5"/>
  <c r="I65" i="4"/>
  <c r="B68" i="4"/>
  <c r="D67" i="4"/>
  <c r="E64" i="4"/>
  <c r="F64" i="4" s="1"/>
  <c r="D64" i="4"/>
  <c r="B64" i="4"/>
  <c r="D63" i="4"/>
  <c r="D68" i="4" s="1"/>
  <c r="B63" i="4"/>
  <c r="B67" i="4" s="1"/>
  <c r="E67" i="4" s="1"/>
  <c r="F67" i="4" s="1"/>
  <c r="B61" i="4"/>
  <c r="F59" i="4" s="1"/>
  <c r="F60" i="4" s="1"/>
  <c r="D49" i="4"/>
  <c r="D48" i="4"/>
  <c r="D47" i="4"/>
  <c r="K56" i="4"/>
  <c r="K55" i="4"/>
  <c r="K54" i="4"/>
  <c r="I30" i="4"/>
  <c r="H28" i="4"/>
  <c r="F24" i="4"/>
  <c r="F25" i="4" s="1"/>
  <c r="G32" i="4"/>
  <c r="G28" i="4"/>
  <c r="F33" i="4"/>
  <c r="F32" i="4"/>
  <c r="F29" i="4"/>
  <c r="F28" i="4"/>
  <c r="E33" i="4"/>
  <c r="E32" i="4"/>
  <c r="E29" i="4"/>
  <c r="E28" i="4"/>
  <c r="D29" i="4"/>
  <c r="D28" i="4"/>
  <c r="D33" i="4" s="1"/>
  <c r="D32" i="4"/>
  <c r="B33" i="4"/>
  <c r="B32" i="4"/>
  <c r="B29" i="4"/>
  <c r="B28" i="4"/>
  <c r="B26" i="4"/>
  <c r="D14" i="4"/>
  <c r="D13" i="4"/>
  <c r="D12" i="4"/>
  <c r="B9" i="4"/>
  <c r="B55" i="4"/>
  <c r="D55" i="4" s="1"/>
  <c r="B54" i="4"/>
  <c r="D54" i="4" s="1"/>
  <c r="B53" i="4"/>
  <c r="D53" i="4" s="1"/>
  <c r="B44" i="4"/>
  <c r="B43" i="4"/>
  <c r="D43" i="4" s="1"/>
  <c r="G54" i="4" s="1"/>
  <c r="D42" i="4"/>
  <c r="B37" i="4" s="1"/>
  <c r="D41" i="4"/>
  <c r="D40" i="4"/>
  <c r="D6" i="4"/>
  <c r="K20" i="4" s="1"/>
  <c r="D7" i="4"/>
  <c r="B2" i="4" s="1"/>
  <c r="D5" i="4"/>
  <c r="K19" i="4" s="1"/>
  <c r="B20" i="4"/>
  <c r="D20" i="4" s="1"/>
  <c r="B19" i="4"/>
  <c r="D19" i="4" s="1"/>
  <c r="B18" i="4"/>
  <c r="D18" i="4" s="1"/>
  <c r="B8" i="4"/>
  <c r="D8" i="4" s="1"/>
  <c r="H33" i="5" l="1"/>
  <c r="I35" i="5" s="1"/>
  <c r="G20" i="5"/>
  <c r="G19" i="5"/>
  <c r="G18" i="5"/>
  <c r="D68" i="5"/>
  <c r="E68" i="5" s="1"/>
  <c r="F68" i="5" s="1"/>
  <c r="E65" i="5"/>
  <c r="F65" i="5" s="1"/>
  <c r="G54" i="5"/>
  <c r="F60" i="5"/>
  <c r="G56" i="5"/>
  <c r="G58" i="5" s="1"/>
  <c r="G55" i="5"/>
  <c r="D34" i="5"/>
  <c r="E34" i="5" s="1"/>
  <c r="F34" i="5" s="1"/>
  <c r="G33" i="5" s="1"/>
  <c r="E29" i="5"/>
  <c r="F29" i="5" s="1"/>
  <c r="E69" i="5"/>
  <c r="F69" i="5" s="1"/>
  <c r="E30" i="5"/>
  <c r="F30" i="5" s="1"/>
  <c r="B38" i="5"/>
  <c r="K56" i="5"/>
  <c r="E64" i="5"/>
  <c r="F64" i="5" s="1"/>
  <c r="E68" i="4"/>
  <c r="F68" i="4" s="1"/>
  <c r="G67" i="4" s="1"/>
  <c r="E63" i="4"/>
  <c r="F63" i="4" s="1"/>
  <c r="G63" i="4" s="1"/>
  <c r="H63" i="4" s="1"/>
  <c r="K21" i="4"/>
  <c r="G19" i="4"/>
  <c r="G20" i="4"/>
  <c r="G22" i="4" s="1"/>
  <c r="G18" i="4"/>
  <c r="G53" i="4"/>
  <c r="G55" i="4"/>
  <c r="G57" i="4" s="1"/>
  <c r="G68" i="5" l="1"/>
  <c r="G64" i="5"/>
  <c r="H64" i="5" s="1"/>
  <c r="I66" i="5" s="1"/>
  <c r="F26" i="5"/>
  <c r="F61" i="5"/>
  <c r="G29" i="5"/>
  <c r="H29" i="5" s="1"/>
</calcChain>
</file>

<file path=xl/sharedStrings.xml><?xml version="1.0" encoding="utf-8"?>
<sst xmlns="http://schemas.openxmlformats.org/spreadsheetml/2006/main" count="411" uniqueCount="103">
  <si>
    <t>kg</t>
  </si>
  <si>
    <t>u</t>
  </si>
  <si>
    <t>Tn</t>
  </si>
  <si>
    <t>TOTAL PESO TN</t>
  </si>
  <si>
    <t>LARGO BULTO (L)</t>
  </si>
  <si>
    <t>cm</t>
  </si>
  <si>
    <t>m</t>
  </si>
  <si>
    <t>ANCHO BULTO (A)</t>
  </si>
  <si>
    <t>ALTO BULTO (H)</t>
  </si>
  <si>
    <t>cm2</t>
  </si>
  <si>
    <t>m2</t>
  </si>
  <si>
    <t>tn</t>
  </si>
  <si>
    <t>LARGO</t>
  </si>
  <si>
    <t>ANCHO</t>
  </si>
  <si>
    <t>L</t>
  </si>
  <si>
    <t>A</t>
  </si>
  <si>
    <t>PALLETS X LADO</t>
  </si>
  <si>
    <t>Pallet Universal</t>
  </si>
  <si>
    <t>Altura Máxima</t>
  </si>
  <si>
    <t>Peso Máximo</t>
  </si>
  <si>
    <t>Dimensiones</t>
  </si>
  <si>
    <t>Largo Pallet L</t>
  </si>
  <si>
    <t>Ancho Pallet A</t>
  </si>
  <si>
    <t>Alto Pallet H</t>
  </si>
  <si>
    <t>Área del Pallet</t>
  </si>
  <si>
    <t>BULTO</t>
  </si>
  <si>
    <t xml:space="preserve">PESO </t>
  </si>
  <si>
    <t>Largo L</t>
  </si>
  <si>
    <t>Ancho A</t>
  </si>
  <si>
    <t>Alto H</t>
  </si>
  <si>
    <t>Max. de bultos por pallet</t>
  </si>
  <si>
    <t>Bultos/pallet</t>
  </si>
  <si>
    <t>Optimización del espacio del pallet</t>
  </si>
  <si>
    <t>Posiciones del Bulto</t>
  </si>
  <si>
    <t>L x A</t>
  </si>
  <si>
    <t>L x H</t>
  </si>
  <si>
    <t>H x A</t>
  </si>
  <si>
    <t>Rel. Area Pallet</t>
  </si>
  <si>
    <t xml:space="preserve">Se puede hacer dos pisos con base de 4 bultos </t>
  </si>
  <si>
    <t>Pallet Europeo</t>
  </si>
  <si>
    <t># de pallets</t>
  </si>
  <si>
    <t>Total de Bultos</t>
  </si>
  <si>
    <t>Dimension de embarque</t>
  </si>
  <si>
    <t xml:space="preserve">Largo </t>
  </si>
  <si>
    <t>Ancho</t>
  </si>
  <si>
    <t>Alto</t>
  </si>
  <si>
    <t>CONTENEDOR DE 20</t>
  </si>
  <si>
    <t>Area</t>
  </si>
  <si>
    <t>Cantidad de Pallets por contener</t>
  </si>
  <si>
    <t>TOTAL DE CONTENEDORES</t>
  </si>
  <si>
    <t>ANCHO CONTENEDOR</t>
  </si>
  <si>
    <t>LARGO CONTENEDOR</t>
  </si>
  <si>
    <t>DIMENSION PALLET</t>
  </si>
  <si>
    <t>REDONDEO</t>
  </si>
  <si>
    <t>TOTAL CONTENEDORES</t>
  </si>
  <si>
    <t>Pallets x Cont</t>
  </si>
  <si>
    <t>Pallets x fuera</t>
  </si>
  <si>
    <t>CONTENEDOR DE 40</t>
  </si>
  <si>
    <t>CONTENEDOR 20</t>
  </si>
  <si>
    <t># PALLETS</t>
  </si>
  <si>
    <t>ton</t>
  </si>
  <si>
    <t>Contenedores</t>
  </si>
  <si>
    <t>Pallets x contenedor</t>
  </si>
  <si>
    <t>Carga suelta en pallets</t>
  </si>
  <si>
    <t>OPCION 1 20</t>
  </si>
  <si>
    <t>OPCION 2 20</t>
  </si>
  <si>
    <t>OPCION 3 20</t>
  </si>
  <si>
    <t>OPCION 4 20</t>
  </si>
  <si>
    <t>OPCION 5 40</t>
  </si>
  <si>
    <t>OPCION 6 40</t>
  </si>
  <si>
    <t>OPCION 7 40</t>
  </si>
  <si>
    <t>OPCION 8 40</t>
  </si>
  <si>
    <t>Bultos X contenedor</t>
  </si>
  <si>
    <t>Costo Flete</t>
  </si>
  <si>
    <t>Contenedor 40</t>
  </si>
  <si>
    <t>Costo carga suelta</t>
  </si>
  <si>
    <t>Carga Suelta</t>
  </si>
  <si>
    <t>Carga Suelta en Tn</t>
  </si>
  <si>
    <t>Valor Total</t>
  </si>
  <si>
    <t>Total carga suelta</t>
  </si>
  <si>
    <t>COSTO TOTAL</t>
  </si>
  <si>
    <t>TOTAL PESO KG</t>
  </si>
  <si>
    <t>PESO VOLUMETRICO</t>
  </si>
  <si>
    <t>kg vol</t>
  </si>
  <si>
    <t>FLETE AEREO</t>
  </si>
  <si>
    <t>COMBUSTIBLE</t>
  </si>
  <si>
    <t>SEGURIDAD</t>
  </si>
  <si>
    <t>Uso aeropuerto</t>
  </si>
  <si>
    <t>p/kg</t>
  </si>
  <si>
    <t>TOTAL FLETE AEREO</t>
  </si>
  <si>
    <t>Tarifa</t>
  </si>
  <si>
    <t>MIN</t>
  </si>
  <si>
    <t xml:space="preserve">TARIFA FINAL </t>
  </si>
  <si>
    <t>FLETE MARÍTIMO</t>
  </si>
  <si>
    <t>cond</t>
  </si>
  <si>
    <t>COSTO UNITARIO X CAJA</t>
  </si>
  <si>
    <t>PESO PALET</t>
  </si>
  <si>
    <t>TOTAL PALLETS</t>
  </si>
  <si>
    <t>OPCION AREA</t>
  </si>
  <si>
    <t>TODA LA CARGA SUELTA</t>
  </si>
  <si>
    <t>La mejor opción es mandar toda la carga suelta, como se observa tiene el menor costo. Sin embargo existen otras consideraciones</t>
  </si>
  <si>
    <t>se debe tomar en cuenta que la carga suelta viene en diferentes contenedores y en diferentes tiempo lo que puede generar otros gastos</t>
  </si>
  <si>
    <t>si no se toma la opción de carga suelta se puede tomar la opción 5 en un contenedor de 40 pies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</si>
</sst>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 &quot;$&quot;* #,##0.00_ ;_ &quot;$&quot;* \-#,##0.00_ ;_ &quot;$&quot;* &quot;-&quot;??_ ;_ @_ "/>
    <numFmt numFmtId="166" formatCode="_ * #,##0.00_ ;_ * \-#,##0.0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/>
    <xf numFmtId="43" fontId="1" fillId="0" borderId="10" xfId="2" applyNumberFormat="1" applyFont="1" applyBorder="1"/>
    <xf numFmtId="0" fontId="1" fillId="0" borderId="10" xfId="0" applyFont="1" applyBorder="1"/>
    <xf numFmtId="43" fontId="3" fillId="0" borderId="2" xfId="0" applyNumberFormat="1" applyFont="1" applyBorder="1"/>
    <xf numFmtId="0" fontId="3" fillId="0" borderId="2" xfId="0" applyFont="1" applyBorder="1"/>
    <xf numFmtId="43" fontId="3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 wrapText="1"/>
    </xf>
    <xf numFmtId="0" fontId="0" fillId="2" borderId="0" xfId="0" applyFill="1"/>
    <xf numFmtId="43" fontId="0" fillId="0" borderId="0" xfId="0" applyNumberFormat="1" applyAlignment="1">
      <alignment horizontal="center"/>
    </xf>
    <xf numFmtId="43" fontId="0" fillId="0" borderId="0" xfId="0" applyNumberFormat="1"/>
    <xf numFmtId="44" fontId="0" fillId="0" borderId="0" xfId="3" applyFont="1"/>
    <xf numFmtId="44" fontId="0" fillId="0" borderId="0" xfId="0" applyNumberFormat="1"/>
    <xf numFmtId="44" fontId="2" fillId="3" borderId="9" xfId="3" applyFont="1" applyFill="1" applyBorder="1"/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1" xfId="0" applyBorder="1"/>
    <xf numFmtId="0" fontId="2" fillId="3" borderId="4" xfId="0" applyFont="1" applyFill="1" applyBorder="1"/>
    <xf numFmtId="2" fontId="2" fillId="3" borderId="5" xfId="0" applyNumberFormat="1" applyFont="1" applyFill="1" applyBorder="1"/>
    <xf numFmtId="0" fontId="2" fillId="3" borderId="6" xfId="0" applyFont="1" applyFill="1" applyBorder="1"/>
    <xf numFmtId="0" fontId="0" fillId="3" borderId="7" xfId="0" applyFill="1" applyBorder="1"/>
    <xf numFmtId="0" fontId="0" fillId="3" borderId="9" xfId="0" applyFill="1" applyBorder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7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0" fillId="0" borderId="11" xfId="0" applyBorder="1"/>
    <xf numFmtId="0" fontId="2" fillId="0" borderId="11" xfId="0" applyFont="1" applyBorder="1"/>
    <xf numFmtId="0" fontId="2" fillId="0" borderId="11" xfId="0" applyFont="1" applyFill="1" applyBorder="1"/>
    <xf numFmtId="0" fontId="2" fillId="0" borderId="7" xfId="0" applyFont="1" applyBorder="1"/>
    <xf numFmtId="0" fontId="2" fillId="3" borderId="11" xfId="0" applyFont="1" applyFill="1" applyBorder="1"/>
    <xf numFmtId="0" fontId="0" fillId="3" borderId="11" xfId="0" applyFill="1" applyBorder="1"/>
    <xf numFmtId="9" fontId="3" fillId="0" borderId="0" xfId="4" applyFont="1"/>
    <xf numFmtId="165" fontId="0" fillId="0" borderId="2" xfId="1" applyFont="1" applyBorder="1"/>
    <xf numFmtId="165" fontId="0" fillId="3" borderId="8" xfId="1" applyFont="1" applyFill="1" applyBorder="1"/>
    <xf numFmtId="2" fontId="0" fillId="0" borderId="11" xfId="0" applyNumberFormat="1" applyBorder="1"/>
    <xf numFmtId="0" fontId="0" fillId="2" borderId="11" xfId="0" applyFill="1" applyBorder="1"/>
    <xf numFmtId="0" fontId="0" fillId="0" borderId="0" xfId="0" applyAlignment="1">
      <alignment horizontal="center"/>
    </xf>
    <xf numFmtId="44" fontId="0" fillId="0" borderId="11" xfId="3" applyFont="1" applyBorder="1"/>
    <xf numFmtId="44" fontId="0" fillId="0" borderId="11" xfId="0" applyNumberFormat="1" applyBorder="1"/>
    <xf numFmtId="0" fontId="0" fillId="0" borderId="11" xfId="0" quotePrefix="1" applyBorder="1"/>
    <xf numFmtId="44" fontId="0" fillId="4" borderId="11" xfId="0" applyNumberFormat="1" applyFill="1" applyBorder="1"/>
    <xf numFmtId="44" fontId="0" fillId="5" borderId="11" xfId="0" applyNumberFormat="1" applyFill="1" applyBorder="1"/>
  </cellXfs>
  <cellStyles count="5">
    <cellStyle name="Millares 2" xfId="2" xr:uid="{2F660F92-8EF4-41D8-8D63-FD08BD7AB6E1}"/>
    <cellStyle name="Moneda" xfId="3" builtinId="4"/>
    <cellStyle name="Moneda 2" xfId="1" xr:uid="{DB1ADF6B-96C5-4870-AD43-F2B675B94E1D}"/>
    <cellStyle name="Normal" xfId="0" builtinId="0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0</xdr:rowOff>
    </xdr:from>
    <xdr:to>
      <xdr:col>14</xdr:col>
      <xdr:colOff>565930</xdr:colOff>
      <xdr:row>13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EE87156-C7F1-4EB4-A82E-2D0BF0B192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1650" y="0"/>
          <a:ext cx="6557155" cy="27717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</xdr:colOff>
      <xdr:row>0</xdr:row>
      <xdr:rowOff>9525</xdr:rowOff>
    </xdr:from>
    <xdr:to>
      <xdr:col>12</xdr:col>
      <xdr:colOff>251605</xdr:colOff>
      <xdr:row>13</xdr:row>
      <xdr:rowOff>114300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1E4A62-9B69-4B51-830B-2741E8D30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34100" y="9525"/>
          <a:ext cx="6557155" cy="2771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394480</xdr:colOff>
      <xdr:row>14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1D3F34F-5265-4AFC-A49D-5C1ED0833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57155" cy="2771775"/>
        </a:xfrm>
        <a:prstGeom prst="rect">
          <a:avLst/>
        </a:prstGeom>
      </xdr:spPr>
    </xdr:pic>
    <xdr:clientData/>
  </xdr:twoCellAnchor>
  <xdr:twoCellAnchor editAs="oneCell">
    <xdr:from>
      <xdr:col>9</xdr:col>
      <xdr:colOff>19050</xdr:colOff>
      <xdr:row>0</xdr:row>
      <xdr:rowOff>0</xdr:rowOff>
    </xdr:from>
    <xdr:to>
      <xdr:col>14</xdr:col>
      <xdr:colOff>751907</xdr:colOff>
      <xdr:row>17</xdr:row>
      <xdr:rowOff>56737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EFDBBCE-7642-436F-A255-17D9E24BA4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77050" y="0"/>
          <a:ext cx="4542857" cy="33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A4143-3780-4662-B28C-E911A2229ED2}">
  <dimension ref="A1:I16"/>
  <sheetViews>
    <sheetView tabSelected="1" workbookViewId="0">
      <selection activeCell="B17" sqref="B17"/>
    </sheetView>
  </sheetViews>
  <sheetFormatPr baseColWidth="10" defaultRowHeight="15" x14ac:dyDescent="0.25"/>
  <cols>
    <col min="1" max="1" width="22.28515625" style="16" bestFit="1" customWidth="1"/>
    <col min="2" max="2" width="13.5703125" style="16" bestFit="1" customWidth="1"/>
    <col min="3" max="3" width="19.28515625" style="16" bestFit="1" customWidth="1"/>
    <col min="4" max="4" width="21" style="16" bestFit="1" customWidth="1"/>
    <col min="5" max="5" width="19" style="16" bestFit="1" customWidth="1"/>
    <col min="6" max="6" width="11.42578125" style="16"/>
    <col min="7" max="8" width="17" style="16" bestFit="1" customWidth="1"/>
    <col min="9" max="16384" width="11.42578125" style="16"/>
  </cols>
  <sheetData>
    <row r="1" spans="1:9" x14ac:dyDescent="0.25">
      <c r="A1" s="16" t="s">
        <v>58</v>
      </c>
      <c r="B1" s="13">
        <v>1800</v>
      </c>
      <c r="C1" s="16" t="s">
        <v>74</v>
      </c>
      <c r="D1" s="13">
        <v>3050</v>
      </c>
      <c r="E1" s="16" t="s">
        <v>76</v>
      </c>
      <c r="F1" s="13">
        <v>250</v>
      </c>
    </row>
    <row r="2" spans="1:9" x14ac:dyDescent="0.25">
      <c r="A2" s="31"/>
      <c r="B2" s="31" t="s">
        <v>61</v>
      </c>
      <c r="C2" s="31" t="s">
        <v>62</v>
      </c>
      <c r="D2" s="31" t="s">
        <v>63</v>
      </c>
      <c r="E2" s="31" t="s">
        <v>72</v>
      </c>
      <c r="F2" s="31" t="s">
        <v>73</v>
      </c>
      <c r="G2" s="31" t="s">
        <v>77</v>
      </c>
      <c r="H2" s="31" t="s">
        <v>75</v>
      </c>
      <c r="I2" s="31" t="s">
        <v>78</v>
      </c>
    </row>
    <row r="3" spans="1:9" x14ac:dyDescent="0.25">
      <c r="A3" s="31" t="s">
        <v>64</v>
      </c>
      <c r="B3" s="31">
        <f>'Análisis de palletsContenedor20'!H28</f>
        <v>4</v>
      </c>
      <c r="C3" s="31">
        <f>'Análisis de palletsContenedor20'!G28</f>
        <v>8</v>
      </c>
      <c r="D3" s="31">
        <f>'Análisis de palletsContenedor20'!I30</f>
        <v>6</v>
      </c>
      <c r="E3" s="31">
        <f>C3*8</f>
        <v>64</v>
      </c>
      <c r="F3" s="43">
        <f>B3*$B$1</f>
        <v>7200</v>
      </c>
      <c r="G3" s="31">
        <f>((D3*400)-200)/1000</f>
        <v>2.2000000000000002</v>
      </c>
      <c r="H3" s="44">
        <f>G3*$F$1</f>
        <v>550</v>
      </c>
      <c r="I3" s="44">
        <f>H3+F3</f>
        <v>7750</v>
      </c>
    </row>
    <row r="4" spans="1:9" x14ac:dyDescent="0.25">
      <c r="A4" s="31" t="s">
        <v>65</v>
      </c>
      <c r="B4" s="31">
        <f>'Análisis de palletsContenedor20'!H32</f>
        <v>7</v>
      </c>
      <c r="C4" s="31">
        <f>'Análisis de palletsContenedor20'!G32</f>
        <v>5</v>
      </c>
      <c r="D4" s="31">
        <f>'Análisis de palletsContenedor20'!I34</f>
        <v>3</v>
      </c>
      <c r="E4" s="31">
        <f t="shared" ref="E4:E10" si="0">C4*8</f>
        <v>40</v>
      </c>
      <c r="F4" s="43">
        <f t="shared" ref="F4:F6" si="1">B4*$B$1</f>
        <v>12600</v>
      </c>
      <c r="G4" s="31">
        <f t="shared" ref="G4:G10" si="2">((D4*400)-200)/1000</f>
        <v>1</v>
      </c>
      <c r="H4" s="44">
        <v>500</v>
      </c>
      <c r="I4" s="44">
        <f t="shared" ref="I4:I12" si="3">H4+F4</f>
        <v>13100</v>
      </c>
    </row>
    <row r="5" spans="1:9" x14ac:dyDescent="0.25">
      <c r="A5" s="31" t="s">
        <v>66</v>
      </c>
      <c r="B5" s="31">
        <f>'Análisis de palletsContenedor20'!H63</f>
        <v>6</v>
      </c>
      <c r="C5" s="31">
        <f>'Análisis de palletsContenedor20'!G63</f>
        <v>8</v>
      </c>
      <c r="D5" s="31">
        <f>'Análisis de palletsContenedor20'!I65</f>
        <v>2</v>
      </c>
      <c r="E5" s="31">
        <f t="shared" si="0"/>
        <v>64</v>
      </c>
      <c r="F5" s="43">
        <f t="shared" si="1"/>
        <v>10800</v>
      </c>
      <c r="G5" s="31">
        <f t="shared" si="2"/>
        <v>0.6</v>
      </c>
      <c r="H5" s="44">
        <v>500</v>
      </c>
      <c r="I5" s="44">
        <f t="shared" si="3"/>
        <v>11300</v>
      </c>
    </row>
    <row r="6" spans="1:9" x14ac:dyDescent="0.25">
      <c r="A6" s="31" t="s">
        <v>67</v>
      </c>
      <c r="B6" s="31">
        <f>'Análisis de palletsContenedor20'!H67</f>
        <v>7</v>
      </c>
      <c r="C6" s="31">
        <f>'Análisis de palletsContenedor20'!G67</f>
        <v>7</v>
      </c>
      <c r="D6" s="31">
        <f>'Análisis de palletsContenedor20'!I69</f>
        <v>1</v>
      </c>
      <c r="E6" s="31">
        <f t="shared" si="0"/>
        <v>56</v>
      </c>
      <c r="F6" s="43">
        <f t="shared" si="1"/>
        <v>12600</v>
      </c>
      <c r="G6" s="31">
        <f t="shared" si="2"/>
        <v>0.2</v>
      </c>
      <c r="H6" s="44">
        <v>500</v>
      </c>
      <c r="I6" s="44">
        <f t="shared" si="3"/>
        <v>13100</v>
      </c>
    </row>
    <row r="7" spans="1:9" x14ac:dyDescent="0.25">
      <c r="A7" s="31" t="s">
        <v>68</v>
      </c>
      <c r="B7" s="31">
        <f>'Análisis de palletsContened 40'!H29</f>
        <v>1</v>
      </c>
      <c r="C7" s="31">
        <f>'Análisis de palletsContened 40'!G29</f>
        <v>20</v>
      </c>
      <c r="D7" s="31">
        <f>'Análisis de palletsContened 40'!I31</f>
        <v>18</v>
      </c>
      <c r="E7" s="31">
        <f t="shared" si="0"/>
        <v>160</v>
      </c>
      <c r="F7" s="44">
        <f>B7*$D$1</f>
        <v>3050</v>
      </c>
      <c r="G7" s="31">
        <f>((D7*400)-200)/1000</f>
        <v>7</v>
      </c>
      <c r="H7" s="44">
        <f t="shared" ref="H7:H9" si="4">G7*$F$1</f>
        <v>1750</v>
      </c>
      <c r="I7" s="47">
        <f t="shared" si="3"/>
        <v>4800</v>
      </c>
    </row>
    <row r="8" spans="1:9" x14ac:dyDescent="0.25">
      <c r="A8" s="31" t="s">
        <v>69</v>
      </c>
      <c r="B8" s="31">
        <f>'Análisis de palletsContened 40'!H33</f>
        <v>3</v>
      </c>
      <c r="C8" s="31">
        <f>'Análisis de palletsContened 40'!G33</f>
        <v>12</v>
      </c>
      <c r="D8" s="31">
        <f>'Análisis de palletsContened 40'!I35</f>
        <v>2</v>
      </c>
      <c r="E8" s="31">
        <f t="shared" si="0"/>
        <v>96</v>
      </c>
      <c r="F8" s="44">
        <f t="shared" ref="F8:F10" si="5">B8*$D$1</f>
        <v>9150</v>
      </c>
      <c r="G8" s="31">
        <f t="shared" si="2"/>
        <v>0.6</v>
      </c>
      <c r="H8" s="44">
        <v>500</v>
      </c>
      <c r="I8" s="44">
        <f t="shared" si="3"/>
        <v>9650</v>
      </c>
    </row>
    <row r="9" spans="1:9" x14ac:dyDescent="0.25">
      <c r="A9" s="31" t="s">
        <v>70</v>
      </c>
      <c r="B9" s="31">
        <f>'Análisis de palletsContened 40'!H64</f>
        <v>2</v>
      </c>
      <c r="C9" s="31">
        <f>'Análisis de palletsContened 40'!G64</f>
        <v>20</v>
      </c>
      <c r="D9" s="31">
        <f>'Análisis de palletsContened 40'!I66</f>
        <v>10</v>
      </c>
      <c r="E9" s="31">
        <f t="shared" si="0"/>
        <v>160</v>
      </c>
      <c r="F9" s="44">
        <f t="shared" si="5"/>
        <v>6100</v>
      </c>
      <c r="G9" s="31">
        <f t="shared" si="2"/>
        <v>3.8</v>
      </c>
      <c r="H9" s="44">
        <f t="shared" si="4"/>
        <v>950</v>
      </c>
      <c r="I9" s="44">
        <f t="shared" si="3"/>
        <v>7050</v>
      </c>
    </row>
    <row r="10" spans="1:9" x14ac:dyDescent="0.25">
      <c r="A10" s="31" t="s">
        <v>71</v>
      </c>
      <c r="B10" s="31">
        <f>'Análisis de palletsContened 40'!H68</f>
        <v>3</v>
      </c>
      <c r="C10" s="31">
        <f>'Análisis de palletsContened 40'!G68</f>
        <v>15</v>
      </c>
      <c r="D10" s="31">
        <f>'Análisis de palletsContenedor20'!I69</f>
        <v>1</v>
      </c>
      <c r="E10" s="31">
        <f t="shared" si="0"/>
        <v>120</v>
      </c>
      <c r="F10" s="44">
        <f t="shared" si="5"/>
        <v>9150</v>
      </c>
      <c r="G10" s="31">
        <f t="shared" si="2"/>
        <v>0.2</v>
      </c>
      <c r="H10" s="44">
        <v>500</v>
      </c>
      <c r="I10" s="44">
        <f>H10+F10</f>
        <v>9650</v>
      </c>
    </row>
    <row r="11" spans="1:9" x14ac:dyDescent="0.25">
      <c r="A11" s="31" t="s">
        <v>98</v>
      </c>
      <c r="B11" s="45">
        <v>0</v>
      </c>
      <c r="C11" s="31">
        <v>0</v>
      </c>
      <c r="D11" s="31">
        <v>0</v>
      </c>
      <c r="E11" s="31">
        <v>0</v>
      </c>
      <c r="F11" s="44">
        <f>'FLETE AEREO'!D33</f>
        <v>61350</v>
      </c>
      <c r="G11" s="31">
        <v>0</v>
      </c>
      <c r="H11" s="44">
        <v>0</v>
      </c>
      <c r="I11" s="44">
        <f>F11</f>
        <v>61350</v>
      </c>
    </row>
    <row r="12" spans="1:9" x14ac:dyDescent="0.25">
      <c r="A12" s="31" t="s">
        <v>99</v>
      </c>
      <c r="B12" s="31">
        <v>0</v>
      </c>
      <c r="C12" s="31">
        <v>0</v>
      </c>
      <c r="D12" s="31">
        <v>0</v>
      </c>
      <c r="E12" s="31">
        <v>0</v>
      </c>
      <c r="F12" s="44">
        <v>0</v>
      </c>
      <c r="G12" s="44">
        <v>15</v>
      </c>
      <c r="H12" s="44">
        <f t="shared" ref="H12" si="6">G12*$F$1</f>
        <v>3750</v>
      </c>
      <c r="I12" s="46">
        <f t="shared" si="3"/>
        <v>3750</v>
      </c>
    </row>
    <row r="14" spans="1:9" x14ac:dyDescent="0.25">
      <c r="B14" s="16" t="s">
        <v>100</v>
      </c>
    </row>
    <row r="15" spans="1:9" x14ac:dyDescent="0.25">
      <c r="B15" s="16" t="s">
        <v>101</v>
      </c>
    </row>
    <row r="16" spans="1:9" x14ac:dyDescent="0.25">
      <c r="B16" s="16" t="s">
        <v>102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7A14C-B1D5-4DEE-8A06-3F9628DEAB8E}">
  <dimension ref="A1:M69"/>
  <sheetViews>
    <sheetView topLeftCell="A15" workbookViewId="0">
      <selection activeCell="F28" sqref="F28"/>
    </sheetView>
  </sheetViews>
  <sheetFormatPr baseColWidth="10" defaultRowHeight="15" x14ac:dyDescent="0.25"/>
  <cols>
    <col min="1" max="1" width="20.42578125" style="1" bestFit="1" customWidth="1"/>
    <col min="4" max="4" width="18.140625" bestFit="1" customWidth="1"/>
    <col min="5" max="5" width="30.28515625" bestFit="1" customWidth="1"/>
    <col min="6" max="6" width="14.5703125" bestFit="1" customWidth="1"/>
    <col min="7" max="7" width="13" bestFit="1" customWidth="1"/>
    <col min="8" max="8" width="21.5703125" bestFit="1" customWidth="1"/>
  </cols>
  <sheetData>
    <row r="1" spans="1:5" x14ac:dyDescent="0.25">
      <c r="A1" s="42" t="s">
        <v>17</v>
      </c>
      <c r="B1" s="42"/>
      <c r="C1" s="42"/>
      <c r="D1" s="42"/>
      <c r="E1" s="42"/>
    </row>
    <row r="2" spans="1:5" x14ac:dyDescent="0.25">
      <c r="A2" s="1" t="s">
        <v>18</v>
      </c>
      <c r="B2">
        <f>2.39-D7</f>
        <v>2.25</v>
      </c>
      <c r="C2" t="s">
        <v>6</v>
      </c>
    </row>
    <row r="3" spans="1:5" x14ac:dyDescent="0.25">
      <c r="A3" s="1" t="s">
        <v>19</v>
      </c>
      <c r="B3">
        <v>400</v>
      </c>
      <c r="C3" t="s">
        <v>0</v>
      </c>
    </row>
    <row r="4" spans="1:5" x14ac:dyDescent="0.25">
      <c r="A4" s="42" t="s">
        <v>20</v>
      </c>
      <c r="B4" s="42"/>
      <c r="C4" s="42"/>
    </row>
    <row r="5" spans="1:5" x14ac:dyDescent="0.25">
      <c r="A5" s="1" t="s">
        <v>21</v>
      </c>
      <c r="B5">
        <v>120</v>
      </c>
      <c r="C5" t="s">
        <v>5</v>
      </c>
      <c r="D5">
        <f>B5/(100)</f>
        <v>1.2</v>
      </c>
      <c r="E5" t="s">
        <v>6</v>
      </c>
    </row>
    <row r="6" spans="1:5" x14ac:dyDescent="0.25">
      <c r="A6" s="1" t="s">
        <v>22</v>
      </c>
      <c r="B6">
        <v>100</v>
      </c>
      <c r="C6" t="s">
        <v>5</v>
      </c>
      <c r="D6">
        <f t="shared" ref="D6:D7" si="0">B6/(100)</f>
        <v>1</v>
      </c>
      <c r="E6" t="s">
        <v>6</v>
      </c>
    </row>
    <row r="7" spans="1:5" x14ac:dyDescent="0.25">
      <c r="A7" s="1" t="s">
        <v>23</v>
      </c>
      <c r="B7">
        <v>14</v>
      </c>
      <c r="C7" t="s">
        <v>5</v>
      </c>
      <c r="D7">
        <f t="shared" si="0"/>
        <v>0.14000000000000001</v>
      </c>
      <c r="E7" t="s">
        <v>6</v>
      </c>
    </row>
    <row r="8" spans="1:5" x14ac:dyDescent="0.25">
      <c r="A8" s="1" t="s">
        <v>24</v>
      </c>
      <c r="B8">
        <f>B5*B6</f>
        <v>12000</v>
      </c>
      <c r="C8" t="s">
        <v>9</v>
      </c>
      <c r="D8">
        <f>B8/(100^2)</f>
        <v>1.2</v>
      </c>
      <c r="E8" t="s">
        <v>10</v>
      </c>
    </row>
    <row r="9" spans="1:5" ht="30" x14ac:dyDescent="0.25">
      <c r="A9" s="9" t="s">
        <v>30</v>
      </c>
      <c r="B9">
        <f>B3/B11</f>
        <v>8</v>
      </c>
      <c r="C9" t="s">
        <v>31</v>
      </c>
    </row>
    <row r="10" spans="1:5" x14ac:dyDescent="0.25">
      <c r="A10" s="42" t="s">
        <v>25</v>
      </c>
      <c r="B10" s="42"/>
      <c r="C10" s="42"/>
    </row>
    <row r="11" spans="1:5" x14ac:dyDescent="0.25">
      <c r="A11" s="1" t="s">
        <v>26</v>
      </c>
      <c r="B11">
        <v>50</v>
      </c>
      <c r="C11" t="s">
        <v>0</v>
      </c>
    </row>
    <row r="12" spans="1:5" x14ac:dyDescent="0.25">
      <c r="A12" s="1" t="s">
        <v>27</v>
      </c>
      <c r="B12">
        <v>60</v>
      </c>
      <c r="C12" t="s">
        <v>5</v>
      </c>
      <c r="D12">
        <f>B12/(100)</f>
        <v>0.6</v>
      </c>
      <c r="E12" t="s">
        <v>6</v>
      </c>
    </row>
    <row r="13" spans="1:5" x14ac:dyDescent="0.25">
      <c r="A13" s="1" t="s">
        <v>28</v>
      </c>
      <c r="B13">
        <v>50</v>
      </c>
      <c r="C13" t="s">
        <v>5</v>
      </c>
      <c r="D13">
        <f>B13/(100)</f>
        <v>0.5</v>
      </c>
      <c r="E13" t="s">
        <v>6</v>
      </c>
    </row>
    <row r="14" spans="1:5" x14ac:dyDescent="0.25">
      <c r="A14" s="1" t="s">
        <v>29</v>
      </c>
      <c r="B14">
        <v>60</v>
      </c>
      <c r="C14" t="s">
        <v>5</v>
      </c>
      <c r="D14">
        <f>B14/(100)</f>
        <v>0.6</v>
      </c>
      <c r="E14" t="s">
        <v>6</v>
      </c>
    </row>
    <row r="16" spans="1:5" x14ac:dyDescent="0.25">
      <c r="A16" s="42" t="s">
        <v>32</v>
      </c>
      <c r="B16" s="42"/>
      <c r="C16" s="42"/>
      <c r="D16" s="42"/>
      <c r="E16" s="42"/>
    </row>
    <row r="17" spans="1:13" x14ac:dyDescent="0.25">
      <c r="A17" s="42" t="s">
        <v>33</v>
      </c>
      <c r="B17" s="42"/>
    </row>
    <row r="18" spans="1:13" x14ac:dyDescent="0.25">
      <c r="A18" s="1" t="s">
        <v>34</v>
      </c>
      <c r="B18">
        <f>B12*B13</f>
        <v>3000</v>
      </c>
      <c r="C18" t="s">
        <v>9</v>
      </c>
      <c r="D18">
        <f>B18/(100^2)</f>
        <v>0.3</v>
      </c>
      <c r="E18" t="s">
        <v>10</v>
      </c>
      <c r="F18" t="s">
        <v>37</v>
      </c>
      <c r="G18" s="10">
        <f>ROUNDDOWN($D$8/D18,0)</f>
        <v>4</v>
      </c>
    </row>
    <row r="19" spans="1:13" x14ac:dyDescent="0.25">
      <c r="A19" s="1" t="s">
        <v>35</v>
      </c>
      <c r="B19">
        <f>B12*B14</f>
        <v>3600</v>
      </c>
      <c r="C19" t="s">
        <v>9</v>
      </c>
      <c r="D19">
        <f>B19/(100^2)</f>
        <v>0.36</v>
      </c>
      <c r="E19" t="s">
        <v>10</v>
      </c>
      <c r="F19" t="s">
        <v>37</v>
      </c>
      <c r="G19">
        <f t="shared" ref="G19:G20" si="1">ROUNDDOWN($D$8/D19,0)</f>
        <v>3</v>
      </c>
      <c r="J19" t="s">
        <v>43</v>
      </c>
      <c r="K19">
        <f>D5</f>
        <v>1.2</v>
      </c>
      <c r="L19" t="s">
        <v>6</v>
      </c>
    </row>
    <row r="20" spans="1:13" x14ac:dyDescent="0.25">
      <c r="A20" s="1" t="s">
        <v>36</v>
      </c>
      <c r="B20">
        <f>B13*B14</f>
        <v>3000</v>
      </c>
      <c r="C20" t="s">
        <v>9</v>
      </c>
      <c r="D20">
        <f>B20/(100^2)</f>
        <v>0.3</v>
      </c>
      <c r="E20" t="s">
        <v>10</v>
      </c>
      <c r="F20" t="s">
        <v>37</v>
      </c>
      <c r="G20" s="10">
        <f t="shared" si="1"/>
        <v>4</v>
      </c>
      <c r="I20" s="1" t="s">
        <v>42</v>
      </c>
      <c r="J20" t="s">
        <v>44</v>
      </c>
      <c r="K20">
        <f>D6</f>
        <v>1</v>
      </c>
      <c r="L20" t="s">
        <v>6</v>
      </c>
    </row>
    <row r="21" spans="1:13" x14ac:dyDescent="0.25">
      <c r="F21" t="s">
        <v>41</v>
      </c>
      <c r="G21">
        <v>300</v>
      </c>
      <c r="J21" t="s">
        <v>45</v>
      </c>
      <c r="K21">
        <f>D7+D14*2</f>
        <v>1.3399999999999999</v>
      </c>
      <c r="L21" t="s">
        <v>6</v>
      </c>
    </row>
    <row r="22" spans="1:13" x14ac:dyDescent="0.25">
      <c r="A22" s="42" t="s">
        <v>38</v>
      </c>
      <c r="B22" s="42"/>
      <c r="C22" s="42"/>
      <c r="D22" s="42"/>
      <c r="F22" t="s">
        <v>40</v>
      </c>
      <c r="G22">
        <f>ROUNDUP(G21/(G20*2),0)</f>
        <v>38</v>
      </c>
    </row>
    <row r="23" spans="1:13" ht="15.75" thickBot="1" x14ac:dyDescent="0.3">
      <c r="A23" s="42" t="s">
        <v>46</v>
      </c>
      <c r="B23" s="42"/>
      <c r="C23" s="42"/>
      <c r="D23" s="42"/>
    </row>
    <row r="24" spans="1:13" ht="15.75" thickBot="1" x14ac:dyDescent="0.3">
      <c r="A24" s="8" t="s">
        <v>12</v>
      </c>
      <c r="B24" s="3">
        <v>5.9</v>
      </c>
      <c r="C24" t="s">
        <v>6</v>
      </c>
      <c r="D24" s="8"/>
      <c r="E24" t="s">
        <v>48</v>
      </c>
      <c r="F24" s="12">
        <f>ROUNDDOWN(B26/D8,0)</f>
        <v>11</v>
      </c>
    </row>
    <row r="25" spans="1:13" ht="15.75" thickBot="1" x14ac:dyDescent="0.3">
      <c r="A25" s="8" t="s">
        <v>13</v>
      </c>
      <c r="B25" s="4">
        <v>2.34</v>
      </c>
      <c r="C25" s="8" t="s">
        <v>6</v>
      </c>
      <c r="D25" s="8"/>
      <c r="E25" t="s">
        <v>49</v>
      </c>
      <c r="F25" s="12">
        <f>ROUNDDOWN(G22/F24,0)</f>
        <v>3</v>
      </c>
    </row>
    <row r="26" spans="1:13" x14ac:dyDescent="0.25">
      <c r="A26" s="8" t="s">
        <v>47</v>
      </c>
      <c r="B26" s="11">
        <f>B24*B25</f>
        <v>13.805999999999999</v>
      </c>
      <c r="C26" s="8" t="s">
        <v>10</v>
      </c>
      <c r="D26" s="8"/>
    </row>
    <row r="27" spans="1:13" ht="15.75" thickBot="1" x14ac:dyDescent="0.3">
      <c r="A27" s="8"/>
      <c r="B27" s="8"/>
      <c r="C27" s="8"/>
      <c r="D27" s="8" t="s">
        <v>52</v>
      </c>
      <c r="E27" t="s">
        <v>16</v>
      </c>
      <c r="F27" t="s">
        <v>53</v>
      </c>
      <c r="G27" s="8" t="s">
        <v>55</v>
      </c>
      <c r="H27" t="s">
        <v>54</v>
      </c>
    </row>
    <row r="28" spans="1:13" x14ac:dyDescent="0.25">
      <c r="A28" s="1" t="s">
        <v>51</v>
      </c>
      <c r="B28" s="5">
        <f>B24</f>
        <v>5.9</v>
      </c>
      <c r="C28" s="6" t="s">
        <v>14</v>
      </c>
      <c r="D28" s="8">
        <f>D5</f>
        <v>1.2</v>
      </c>
      <c r="E28" s="12">
        <f>B28/D28</f>
        <v>4.916666666666667</v>
      </c>
      <c r="F28" s="12">
        <f>ROUNDDOWN(E28,0)</f>
        <v>4</v>
      </c>
      <c r="G28">
        <f>F28*F29</f>
        <v>8</v>
      </c>
      <c r="H28">
        <f>ROUNDDOWN(G22/G28,0)</f>
        <v>4</v>
      </c>
      <c r="I28">
        <f>+G28*400</f>
        <v>3200</v>
      </c>
      <c r="J28">
        <f>4*250</f>
        <v>1000</v>
      </c>
    </row>
    <row r="29" spans="1:13" x14ac:dyDescent="0.25">
      <c r="A29" s="1" t="s">
        <v>50</v>
      </c>
      <c r="B29" s="7">
        <f>B25</f>
        <v>2.34</v>
      </c>
      <c r="C29" s="2" t="s">
        <v>15</v>
      </c>
      <c r="D29" s="8">
        <f>D6</f>
        <v>1</v>
      </c>
      <c r="E29" s="12">
        <f>B29/D29</f>
        <v>2.34</v>
      </c>
      <c r="F29" s="12">
        <f>ROUNDDOWN(E29,0)</f>
        <v>2</v>
      </c>
    </row>
    <row r="30" spans="1:13" x14ac:dyDescent="0.25">
      <c r="B30" s="7"/>
      <c r="C30" s="2"/>
      <c r="D30" s="8"/>
      <c r="H30" s="1" t="s">
        <v>56</v>
      </c>
      <c r="I30">
        <f>G22-(H28*G28)</f>
        <v>6</v>
      </c>
      <c r="J30">
        <f>(I30-1)*400+200</f>
        <v>2200</v>
      </c>
      <c r="K30" t="s">
        <v>0</v>
      </c>
      <c r="L30">
        <f>J30/1000</f>
        <v>2.2000000000000002</v>
      </c>
      <c r="M30" t="s">
        <v>60</v>
      </c>
    </row>
    <row r="31" spans="1:13" ht="15.75" thickBot="1" x14ac:dyDescent="0.3">
      <c r="A31" s="8"/>
      <c r="B31" s="8"/>
      <c r="C31" s="8"/>
      <c r="D31" s="8" t="s">
        <v>52</v>
      </c>
    </row>
    <row r="32" spans="1:13" x14ac:dyDescent="0.25">
      <c r="A32" s="1" t="s">
        <v>51</v>
      </c>
      <c r="B32" s="5">
        <f>B28</f>
        <v>5.9</v>
      </c>
      <c r="C32" s="6" t="s">
        <v>15</v>
      </c>
      <c r="D32" s="8">
        <f>D29</f>
        <v>1</v>
      </c>
      <c r="E32" s="12">
        <f>B32/D32</f>
        <v>5.9</v>
      </c>
      <c r="F32" s="12">
        <f>ROUNDDOWN(E32,0)</f>
        <v>5</v>
      </c>
      <c r="G32">
        <f>F32*F33</f>
        <v>5</v>
      </c>
      <c r="H32">
        <f>ROUNDDOWN(G22/G32,0)</f>
        <v>7</v>
      </c>
    </row>
    <row r="33" spans="1:13" x14ac:dyDescent="0.25">
      <c r="A33" s="1" t="s">
        <v>50</v>
      </c>
      <c r="B33" s="7">
        <f>B29</f>
        <v>2.34</v>
      </c>
      <c r="C33" s="2" t="s">
        <v>14</v>
      </c>
      <c r="D33" s="8">
        <f>D28</f>
        <v>1.2</v>
      </c>
      <c r="E33" s="12">
        <f>B33/D33</f>
        <v>1.95</v>
      </c>
      <c r="F33" s="12">
        <f>ROUNDDOWN(E33,0)</f>
        <v>1</v>
      </c>
    </row>
    <row r="34" spans="1:13" x14ac:dyDescent="0.25">
      <c r="B34" s="7"/>
      <c r="C34" s="2"/>
      <c r="D34" s="8"/>
      <c r="H34" s="1" t="s">
        <v>56</v>
      </c>
      <c r="I34">
        <f>G22-(H32*G32)</f>
        <v>3</v>
      </c>
      <c r="J34">
        <f>(I34-1)*400+200</f>
        <v>1000</v>
      </c>
      <c r="K34" t="s">
        <v>0</v>
      </c>
      <c r="L34">
        <f>J34/1000</f>
        <v>1</v>
      </c>
      <c r="M34" t="s">
        <v>60</v>
      </c>
    </row>
    <row r="36" spans="1:13" x14ac:dyDescent="0.25">
      <c r="A36" s="42" t="s">
        <v>39</v>
      </c>
      <c r="B36" s="42"/>
      <c r="C36" s="42"/>
      <c r="D36" s="42"/>
      <c r="E36" s="42"/>
    </row>
    <row r="37" spans="1:13" x14ac:dyDescent="0.25">
      <c r="A37" s="1" t="s">
        <v>18</v>
      </c>
      <c r="B37">
        <f>2.39-D42</f>
        <v>2.25</v>
      </c>
      <c r="C37" t="s">
        <v>6</v>
      </c>
    </row>
    <row r="38" spans="1:13" x14ac:dyDescent="0.25">
      <c r="A38" s="1" t="s">
        <v>19</v>
      </c>
      <c r="B38">
        <v>400</v>
      </c>
      <c r="C38" t="s">
        <v>0</v>
      </c>
    </row>
    <row r="39" spans="1:13" x14ac:dyDescent="0.25">
      <c r="A39" s="42" t="s">
        <v>20</v>
      </c>
      <c r="B39" s="42"/>
      <c r="C39" s="42"/>
    </row>
    <row r="40" spans="1:13" x14ac:dyDescent="0.25">
      <c r="A40" s="1" t="s">
        <v>21</v>
      </c>
      <c r="B40">
        <v>120</v>
      </c>
      <c r="C40" t="s">
        <v>5</v>
      </c>
      <c r="D40">
        <f>B40/(100)</f>
        <v>1.2</v>
      </c>
    </row>
    <row r="41" spans="1:13" x14ac:dyDescent="0.25">
      <c r="A41" s="1" t="s">
        <v>22</v>
      </c>
      <c r="B41">
        <v>80</v>
      </c>
      <c r="C41" t="s">
        <v>5</v>
      </c>
      <c r="D41">
        <f t="shared" ref="D41:D42" si="2">B41/(100)</f>
        <v>0.8</v>
      </c>
    </row>
    <row r="42" spans="1:13" x14ac:dyDescent="0.25">
      <c r="A42" s="1" t="s">
        <v>23</v>
      </c>
      <c r="B42">
        <v>14</v>
      </c>
      <c r="C42" t="s">
        <v>5</v>
      </c>
      <c r="D42">
        <f t="shared" si="2"/>
        <v>0.14000000000000001</v>
      </c>
    </row>
    <row r="43" spans="1:13" x14ac:dyDescent="0.25">
      <c r="A43" s="1" t="s">
        <v>24</v>
      </c>
      <c r="B43">
        <f>B40*B41</f>
        <v>9600</v>
      </c>
      <c r="C43" t="s">
        <v>9</v>
      </c>
      <c r="D43">
        <f>B43/(100^2)</f>
        <v>0.96</v>
      </c>
      <c r="E43" t="s">
        <v>10</v>
      </c>
    </row>
    <row r="44" spans="1:13" ht="30" x14ac:dyDescent="0.25">
      <c r="A44" s="9" t="s">
        <v>30</v>
      </c>
      <c r="B44">
        <f>B38/B46</f>
        <v>8</v>
      </c>
      <c r="C44" t="s">
        <v>31</v>
      </c>
    </row>
    <row r="45" spans="1:13" x14ac:dyDescent="0.25">
      <c r="A45" s="42" t="s">
        <v>25</v>
      </c>
      <c r="B45" s="42"/>
      <c r="C45" s="42"/>
    </row>
    <row r="46" spans="1:13" x14ac:dyDescent="0.25">
      <c r="A46" s="1" t="s">
        <v>26</v>
      </c>
      <c r="B46">
        <v>50</v>
      </c>
      <c r="C46" t="s">
        <v>0</v>
      </c>
    </row>
    <row r="47" spans="1:13" x14ac:dyDescent="0.25">
      <c r="A47" s="1" t="s">
        <v>27</v>
      </c>
      <c r="B47">
        <v>60</v>
      </c>
      <c r="C47" t="s">
        <v>5</v>
      </c>
      <c r="D47">
        <f>B47/(100)</f>
        <v>0.6</v>
      </c>
      <c r="E47" t="s">
        <v>6</v>
      </c>
    </row>
    <row r="48" spans="1:13" x14ac:dyDescent="0.25">
      <c r="A48" s="1" t="s">
        <v>28</v>
      </c>
      <c r="B48">
        <v>50</v>
      </c>
      <c r="C48" t="s">
        <v>5</v>
      </c>
      <c r="D48">
        <f>B48/(100)</f>
        <v>0.5</v>
      </c>
      <c r="E48" t="s">
        <v>6</v>
      </c>
    </row>
    <row r="49" spans="1:12" x14ac:dyDescent="0.25">
      <c r="A49" s="1" t="s">
        <v>29</v>
      </c>
      <c r="B49">
        <v>60</v>
      </c>
      <c r="C49" t="s">
        <v>5</v>
      </c>
      <c r="D49">
        <f>B49/(100)</f>
        <v>0.6</v>
      </c>
      <c r="E49" t="s">
        <v>6</v>
      </c>
    </row>
    <row r="51" spans="1:12" x14ac:dyDescent="0.25">
      <c r="A51" s="42" t="s">
        <v>32</v>
      </c>
      <c r="B51" s="42"/>
      <c r="C51" s="42"/>
      <c r="D51" s="42"/>
      <c r="E51" s="42"/>
    </row>
    <row r="52" spans="1:12" x14ac:dyDescent="0.25">
      <c r="A52" s="42" t="s">
        <v>33</v>
      </c>
      <c r="B52" s="42"/>
    </row>
    <row r="53" spans="1:12" x14ac:dyDescent="0.25">
      <c r="A53" s="1" t="s">
        <v>34</v>
      </c>
      <c r="B53">
        <f>B47*B48</f>
        <v>3000</v>
      </c>
      <c r="C53" t="s">
        <v>9</v>
      </c>
      <c r="D53">
        <f>B53/(100^2)</f>
        <v>0.3</v>
      </c>
      <c r="E53" t="s">
        <v>10</v>
      </c>
      <c r="F53" t="s">
        <v>37</v>
      </c>
      <c r="G53" s="10">
        <f>ROUNDDOWN($D$43/D53,0)</f>
        <v>3</v>
      </c>
    </row>
    <row r="54" spans="1:12" x14ac:dyDescent="0.25">
      <c r="A54" s="1" t="s">
        <v>35</v>
      </c>
      <c r="B54">
        <f>B47*B49</f>
        <v>3600</v>
      </c>
      <c r="C54" t="s">
        <v>9</v>
      </c>
      <c r="D54">
        <f>B54/(100^2)</f>
        <v>0.36</v>
      </c>
      <c r="E54" t="s">
        <v>10</v>
      </c>
      <c r="F54" t="s">
        <v>37</v>
      </c>
      <c r="G54" s="10">
        <f t="shared" ref="G54:G55" si="3">ROUNDDOWN($D$43/D54,0)</f>
        <v>2</v>
      </c>
      <c r="J54" t="s">
        <v>43</v>
      </c>
      <c r="K54">
        <f>D40</f>
        <v>1.2</v>
      </c>
      <c r="L54" t="s">
        <v>6</v>
      </c>
    </row>
    <row r="55" spans="1:12" x14ac:dyDescent="0.25">
      <c r="A55" s="1" t="s">
        <v>36</v>
      </c>
      <c r="B55">
        <f>B48*B49</f>
        <v>3000</v>
      </c>
      <c r="C55" t="s">
        <v>9</v>
      </c>
      <c r="D55">
        <f>B55/(100^2)</f>
        <v>0.3</v>
      </c>
      <c r="E55" t="s">
        <v>10</v>
      </c>
      <c r="F55" t="s">
        <v>37</v>
      </c>
      <c r="G55" s="10">
        <f t="shared" si="3"/>
        <v>3</v>
      </c>
      <c r="I55" s="1" t="s">
        <v>42</v>
      </c>
      <c r="J55" t="s">
        <v>44</v>
      </c>
      <c r="K55">
        <f>D41</f>
        <v>0.8</v>
      </c>
      <c r="L55" t="s">
        <v>6</v>
      </c>
    </row>
    <row r="56" spans="1:12" x14ac:dyDescent="0.25">
      <c r="F56" t="s">
        <v>41</v>
      </c>
      <c r="G56">
        <v>300</v>
      </c>
      <c r="J56" t="s">
        <v>45</v>
      </c>
      <c r="K56">
        <f>D42+D49*2</f>
        <v>1.3399999999999999</v>
      </c>
      <c r="L56" t="s">
        <v>6</v>
      </c>
    </row>
    <row r="57" spans="1:12" x14ac:dyDescent="0.25">
      <c r="A57" s="42"/>
      <c r="B57" s="42"/>
      <c r="C57" s="42"/>
      <c r="D57" s="42"/>
      <c r="F57" t="s">
        <v>40</v>
      </c>
      <c r="G57">
        <f>ROUNDUP(G56/(G55*2),0)</f>
        <v>50</v>
      </c>
    </row>
    <row r="58" spans="1:12" ht="15.75" thickBot="1" x14ac:dyDescent="0.3">
      <c r="A58" s="42" t="s">
        <v>46</v>
      </c>
      <c r="B58" s="42"/>
      <c r="C58" s="42"/>
      <c r="D58" s="42"/>
    </row>
    <row r="59" spans="1:12" ht="15.75" thickBot="1" x14ac:dyDescent="0.3">
      <c r="A59" s="8" t="s">
        <v>12</v>
      </c>
      <c r="B59" s="3">
        <v>5.9</v>
      </c>
      <c r="C59" t="s">
        <v>6</v>
      </c>
      <c r="D59" s="8"/>
      <c r="E59" t="s">
        <v>48</v>
      </c>
      <c r="F59" s="12">
        <f>ROUNDDOWN(B61/D43,0)</f>
        <v>14</v>
      </c>
    </row>
    <row r="60" spans="1:12" ht="15.75" thickBot="1" x14ac:dyDescent="0.3">
      <c r="A60" s="8" t="s">
        <v>13</v>
      </c>
      <c r="B60" s="4">
        <v>2.34</v>
      </c>
      <c r="C60" s="8" t="s">
        <v>6</v>
      </c>
      <c r="D60" s="8"/>
      <c r="E60" t="s">
        <v>49</v>
      </c>
      <c r="F60" s="12">
        <f>ROUNDDOWN(G57/F59,0)</f>
        <v>3</v>
      </c>
    </row>
    <row r="61" spans="1:12" x14ac:dyDescent="0.25">
      <c r="A61" s="8" t="s">
        <v>47</v>
      </c>
      <c r="B61" s="11">
        <f>B59*B60</f>
        <v>13.805999999999999</v>
      </c>
      <c r="C61" s="8" t="s">
        <v>10</v>
      </c>
      <c r="D61" s="8"/>
    </row>
    <row r="62" spans="1:12" ht="15.75" thickBot="1" x14ac:dyDescent="0.3">
      <c r="A62" s="8"/>
      <c r="B62" s="8"/>
      <c r="C62" s="8"/>
      <c r="D62" s="8" t="s">
        <v>52</v>
      </c>
      <c r="E62" t="s">
        <v>16</v>
      </c>
      <c r="F62" t="s">
        <v>53</v>
      </c>
      <c r="G62" s="8" t="s">
        <v>55</v>
      </c>
      <c r="H62" t="s">
        <v>54</v>
      </c>
    </row>
    <row r="63" spans="1:12" x14ac:dyDescent="0.25">
      <c r="A63" s="1" t="s">
        <v>51</v>
      </c>
      <c r="B63" s="5">
        <f>B59</f>
        <v>5.9</v>
      </c>
      <c r="C63" s="6" t="s">
        <v>14</v>
      </c>
      <c r="D63" s="8">
        <f>D40</f>
        <v>1.2</v>
      </c>
      <c r="E63" s="12">
        <f>B63/D63</f>
        <v>4.916666666666667</v>
      </c>
      <c r="F63" s="12">
        <f>ROUNDDOWN(E63,0)</f>
        <v>4</v>
      </c>
      <c r="G63">
        <f>F63*F64</f>
        <v>8</v>
      </c>
      <c r="H63">
        <f>ROUNDDOWN(G57/G63,0)</f>
        <v>6</v>
      </c>
    </row>
    <row r="64" spans="1:12" x14ac:dyDescent="0.25">
      <c r="A64" s="1" t="s">
        <v>50</v>
      </c>
      <c r="B64" s="7">
        <f>B60</f>
        <v>2.34</v>
      </c>
      <c r="C64" s="2" t="s">
        <v>15</v>
      </c>
      <c r="D64" s="8">
        <f>D41</f>
        <v>0.8</v>
      </c>
      <c r="E64" s="12">
        <f>B64/D64</f>
        <v>2.9249999999999998</v>
      </c>
      <c r="F64" s="12">
        <f>ROUNDDOWN(E64,0)</f>
        <v>2</v>
      </c>
    </row>
    <row r="65" spans="1:13" x14ac:dyDescent="0.25">
      <c r="B65" s="7"/>
      <c r="C65" s="2"/>
      <c r="D65" s="8"/>
      <c r="H65" s="1" t="s">
        <v>56</v>
      </c>
      <c r="I65">
        <f>G57-(H63*G63)</f>
        <v>2</v>
      </c>
      <c r="J65">
        <f>(I65-1)*400+200</f>
        <v>600</v>
      </c>
      <c r="K65" t="s">
        <v>0</v>
      </c>
      <c r="L65">
        <f>J65/1000</f>
        <v>0.6</v>
      </c>
      <c r="M65" t="s">
        <v>60</v>
      </c>
    </row>
    <row r="66" spans="1:13" ht="15.75" thickBot="1" x14ac:dyDescent="0.3">
      <c r="A66" s="8"/>
      <c r="B66" s="8"/>
      <c r="C66" s="8"/>
      <c r="D66" s="8" t="s">
        <v>52</v>
      </c>
    </row>
    <row r="67" spans="1:13" x14ac:dyDescent="0.25">
      <c r="A67" s="1" t="s">
        <v>51</v>
      </c>
      <c r="B67" s="5">
        <f>B63</f>
        <v>5.9</v>
      </c>
      <c r="C67" s="6" t="s">
        <v>15</v>
      </c>
      <c r="D67" s="8">
        <f>D64</f>
        <v>0.8</v>
      </c>
      <c r="E67" s="12">
        <f>B67/D67</f>
        <v>7.375</v>
      </c>
      <c r="F67" s="12">
        <f>ROUNDDOWN(E67,0)</f>
        <v>7</v>
      </c>
      <c r="G67">
        <f>F67*F68</f>
        <v>7</v>
      </c>
      <c r="H67">
        <f>ROUNDDOWN(G57/G67,0)</f>
        <v>7</v>
      </c>
    </row>
    <row r="68" spans="1:13" x14ac:dyDescent="0.25">
      <c r="A68" s="1" t="s">
        <v>50</v>
      </c>
      <c r="B68" s="7">
        <f>B64</f>
        <v>2.34</v>
      </c>
      <c r="C68" s="2" t="s">
        <v>14</v>
      </c>
      <c r="D68" s="8">
        <f>D63</f>
        <v>1.2</v>
      </c>
      <c r="E68" s="12">
        <f>B68/D68</f>
        <v>1.95</v>
      </c>
      <c r="F68" s="12">
        <f>ROUNDDOWN(E68,0)</f>
        <v>1</v>
      </c>
    </row>
    <row r="69" spans="1:13" x14ac:dyDescent="0.25">
      <c r="H69" s="1" t="s">
        <v>56</v>
      </c>
      <c r="I69">
        <f>G57-(H67*G67)</f>
        <v>1</v>
      </c>
      <c r="J69">
        <f>(I69-1)*400+200</f>
        <v>200</v>
      </c>
      <c r="K69" t="s">
        <v>0</v>
      </c>
      <c r="L69">
        <f>J69/1000</f>
        <v>0.2</v>
      </c>
      <c r="M69" t="s">
        <v>60</v>
      </c>
    </row>
  </sheetData>
  <mergeCells count="14">
    <mergeCell ref="A22:D22"/>
    <mergeCell ref="A4:C4"/>
    <mergeCell ref="A10:C10"/>
    <mergeCell ref="A1:E1"/>
    <mergeCell ref="A16:E16"/>
    <mergeCell ref="A17:B17"/>
    <mergeCell ref="A23:D23"/>
    <mergeCell ref="A58:D58"/>
    <mergeCell ref="A36:E36"/>
    <mergeCell ref="A39:C39"/>
    <mergeCell ref="A45:C45"/>
    <mergeCell ref="A51:E51"/>
    <mergeCell ref="A52:B52"/>
    <mergeCell ref="A57:D5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52190-7487-41F6-85BB-084C6F5B52E8}">
  <dimension ref="A1:M70"/>
  <sheetViews>
    <sheetView topLeftCell="A9" workbookViewId="0">
      <selection activeCell="E30" sqref="E30"/>
    </sheetView>
  </sheetViews>
  <sheetFormatPr baseColWidth="10" defaultRowHeight="15" x14ac:dyDescent="0.25"/>
  <cols>
    <col min="1" max="1" width="20.42578125" style="1" bestFit="1" customWidth="1"/>
    <col min="4" max="4" width="18.140625" bestFit="1" customWidth="1"/>
    <col min="5" max="5" width="30.28515625" bestFit="1" customWidth="1"/>
    <col min="6" max="6" width="14.5703125" bestFit="1" customWidth="1"/>
    <col min="7" max="7" width="13" bestFit="1" customWidth="1"/>
    <col min="8" max="8" width="21.5703125" bestFit="1" customWidth="1"/>
  </cols>
  <sheetData>
    <row r="1" spans="1:9" x14ac:dyDescent="0.25">
      <c r="A1" s="42" t="s">
        <v>17</v>
      </c>
      <c r="B1" s="42"/>
      <c r="C1" s="42"/>
      <c r="D1" s="42"/>
      <c r="E1" s="42"/>
    </row>
    <row r="2" spans="1:9" x14ac:dyDescent="0.25">
      <c r="A2" s="1" t="s">
        <v>18</v>
      </c>
      <c r="B2">
        <f>2.39-D7</f>
        <v>2.25</v>
      </c>
      <c r="C2" t="s">
        <v>6</v>
      </c>
    </row>
    <row r="3" spans="1:9" x14ac:dyDescent="0.25">
      <c r="A3" s="1" t="s">
        <v>19</v>
      </c>
      <c r="B3">
        <v>400</v>
      </c>
      <c r="C3" t="s">
        <v>0</v>
      </c>
    </row>
    <row r="4" spans="1:9" x14ac:dyDescent="0.25">
      <c r="A4" s="42" t="s">
        <v>20</v>
      </c>
      <c r="B4" s="42"/>
      <c r="C4" s="42"/>
    </row>
    <row r="5" spans="1:9" x14ac:dyDescent="0.25">
      <c r="A5" s="1" t="s">
        <v>21</v>
      </c>
      <c r="B5">
        <v>120</v>
      </c>
      <c r="C5" t="s">
        <v>5</v>
      </c>
      <c r="D5">
        <f>B5/(100)</f>
        <v>1.2</v>
      </c>
      <c r="E5" t="s">
        <v>6</v>
      </c>
    </row>
    <row r="6" spans="1:9" x14ac:dyDescent="0.25">
      <c r="A6" s="1" t="s">
        <v>22</v>
      </c>
      <c r="B6">
        <v>100</v>
      </c>
      <c r="C6" t="s">
        <v>5</v>
      </c>
      <c r="D6">
        <f t="shared" ref="D6:D7" si="0">B6/(100)</f>
        <v>1</v>
      </c>
      <c r="E6" t="s">
        <v>6</v>
      </c>
    </row>
    <row r="7" spans="1:9" x14ac:dyDescent="0.25">
      <c r="A7" s="1" t="s">
        <v>23</v>
      </c>
      <c r="B7">
        <v>14</v>
      </c>
      <c r="C7" t="s">
        <v>5</v>
      </c>
      <c r="D7">
        <f t="shared" si="0"/>
        <v>0.14000000000000001</v>
      </c>
      <c r="E7" t="s">
        <v>6</v>
      </c>
    </row>
    <row r="8" spans="1:9" x14ac:dyDescent="0.25">
      <c r="A8" s="1" t="s">
        <v>24</v>
      </c>
      <c r="B8">
        <f>B5*B6</f>
        <v>12000</v>
      </c>
      <c r="C8" t="s">
        <v>9</v>
      </c>
      <c r="D8">
        <f>B8/(100^2)</f>
        <v>1.2</v>
      </c>
      <c r="E8" t="s">
        <v>10</v>
      </c>
    </row>
    <row r="9" spans="1:9" ht="30" x14ac:dyDescent="0.25">
      <c r="A9" s="9" t="s">
        <v>30</v>
      </c>
      <c r="B9">
        <f>B3/B11</f>
        <v>8</v>
      </c>
      <c r="C9" t="s">
        <v>31</v>
      </c>
    </row>
    <row r="10" spans="1:9" x14ac:dyDescent="0.25">
      <c r="A10" s="42" t="s">
        <v>25</v>
      </c>
      <c r="B10" s="42"/>
      <c r="C10" s="42"/>
    </row>
    <row r="11" spans="1:9" x14ac:dyDescent="0.25">
      <c r="A11" s="1" t="s">
        <v>26</v>
      </c>
      <c r="B11">
        <v>50</v>
      </c>
      <c r="C11" t="s">
        <v>0</v>
      </c>
    </row>
    <row r="12" spans="1:9" x14ac:dyDescent="0.25">
      <c r="A12" s="1" t="s">
        <v>27</v>
      </c>
      <c r="B12">
        <v>60</v>
      </c>
      <c r="C12" t="s">
        <v>5</v>
      </c>
      <c r="D12">
        <f>B12/(100)</f>
        <v>0.6</v>
      </c>
      <c r="E12" t="s">
        <v>6</v>
      </c>
    </row>
    <row r="13" spans="1:9" x14ac:dyDescent="0.25">
      <c r="A13" s="1" t="s">
        <v>28</v>
      </c>
      <c r="B13">
        <v>50</v>
      </c>
      <c r="C13" t="s">
        <v>5</v>
      </c>
      <c r="D13">
        <f>B13/(100)</f>
        <v>0.5</v>
      </c>
      <c r="E13" t="s">
        <v>6</v>
      </c>
    </row>
    <row r="14" spans="1:9" x14ac:dyDescent="0.25">
      <c r="A14" s="1" t="s">
        <v>29</v>
      </c>
      <c r="B14">
        <v>60</v>
      </c>
      <c r="C14" t="s">
        <v>5</v>
      </c>
      <c r="D14">
        <f>B14/(100)</f>
        <v>0.6</v>
      </c>
      <c r="E14" t="s">
        <v>6</v>
      </c>
    </row>
    <row r="15" spans="1:9" x14ac:dyDescent="0.25">
      <c r="H15">
        <v>15</v>
      </c>
      <c r="I15" t="s">
        <v>60</v>
      </c>
    </row>
    <row r="16" spans="1:9" x14ac:dyDescent="0.25">
      <c r="A16" s="42" t="s">
        <v>32</v>
      </c>
      <c r="B16" s="42"/>
      <c r="C16" s="42"/>
      <c r="D16" s="42"/>
      <c r="E16" s="42"/>
      <c r="I16">
        <f>H15*250</f>
        <v>3750</v>
      </c>
    </row>
    <row r="17" spans="1:13" x14ac:dyDescent="0.25">
      <c r="A17" s="42" t="s">
        <v>33</v>
      </c>
      <c r="B17" s="42"/>
    </row>
    <row r="18" spans="1:13" x14ac:dyDescent="0.25">
      <c r="A18" s="1" t="s">
        <v>34</v>
      </c>
      <c r="B18">
        <f>B12*B13</f>
        <v>3000</v>
      </c>
      <c r="C18" t="s">
        <v>9</v>
      </c>
      <c r="D18">
        <f>B18/(100^2)</f>
        <v>0.3</v>
      </c>
      <c r="E18" t="s">
        <v>10</v>
      </c>
      <c r="F18" t="s">
        <v>37</v>
      </c>
      <c r="G18" s="10">
        <f>ROUNDDOWN($D$8/D18,0)</f>
        <v>4</v>
      </c>
    </row>
    <row r="19" spans="1:13" x14ac:dyDescent="0.25">
      <c r="A19" s="1" t="s">
        <v>35</v>
      </c>
      <c r="B19">
        <f>B12*B14</f>
        <v>3600</v>
      </c>
      <c r="C19" t="s">
        <v>9</v>
      </c>
      <c r="D19">
        <f>B19/(100^2)</f>
        <v>0.36</v>
      </c>
      <c r="E19" t="s">
        <v>10</v>
      </c>
      <c r="F19" t="s">
        <v>37</v>
      </c>
      <c r="G19">
        <f t="shared" ref="G19:G20" si="1">ROUNDDOWN($D$8/D19,0)</f>
        <v>3</v>
      </c>
      <c r="J19" t="s">
        <v>43</v>
      </c>
      <c r="K19">
        <f>D5</f>
        <v>1.2</v>
      </c>
      <c r="L19" t="s">
        <v>6</v>
      </c>
    </row>
    <row r="20" spans="1:13" x14ac:dyDescent="0.25">
      <c r="A20" s="1" t="s">
        <v>36</v>
      </c>
      <c r="B20">
        <f>B13*B14</f>
        <v>3000</v>
      </c>
      <c r="C20" t="s">
        <v>9</v>
      </c>
      <c r="D20">
        <f>B20/(100^2)</f>
        <v>0.3</v>
      </c>
      <c r="E20" t="s">
        <v>10</v>
      </c>
      <c r="F20" t="s">
        <v>37</v>
      </c>
      <c r="G20" s="10">
        <f t="shared" si="1"/>
        <v>4</v>
      </c>
      <c r="I20" s="1" t="s">
        <v>42</v>
      </c>
      <c r="J20" t="s">
        <v>44</v>
      </c>
      <c r="K20">
        <f>D6</f>
        <v>1</v>
      </c>
      <c r="L20" t="s">
        <v>6</v>
      </c>
    </row>
    <row r="21" spans="1:13" x14ac:dyDescent="0.25">
      <c r="F21" t="s">
        <v>41</v>
      </c>
      <c r="G21">
        <v>300</v>
      </c>
      <c r="J21" t="s">
        <v>45</v>
      </c>
      <c r="K21">
        <f>D7+D14*2</f>
        <v>1.3399999999999999</v>
      </c>
      <c r="L21" t="s">
        <v>6</v>
      </c>
    </row>
    <row r="22" spans="1:13" x14ac:dyDescent="0.25">
      <c r="F22" t="s">
        <v>59</v>
      </c>
      <c r="G22">
        <f>G21/(G20*2)</f>
        <v>37.5</v>
      </c>
    </row>
    <row r="23" spans="1:13" x14ac:dyDescent="0.25">
      <c r="A23" s="42" t="s">
        <v>38</v>
      </c>
      <c r="B23" s="42"/>
      <c r="C23" s="42"/>
      <c r="D23" s="42"/>
      <c r="F23" t="s">
        <v>40</v>
      </c>
      <c r="G23">
        <f>ROUNDUP(G21/(G20*2),0)</f>
        <v>38</v>
      </c>
    </row>
    <row r="24" spans="1:13" ht="15.75" thickBot="1" x14ac:dyDescent="0.3">
      <c r="A24" s="42" t="s">
        <v>57</v>
      </c>
      <c r="B24" s="42"/>
      <c r="C24" s="42"/>
      <c r="D24" s="42"/>
    </row>
    <row r="25" spans="1:13" ht="15.75" thickBot="1" x14ac:dyDescent="0.3">
      <c r="A25" s="8" t="s">
        <v>12</v>
      </c>
      <c r="B25" s="3">
        <v>12.03</v>
      </c>
      <c r="C25" t="s">
        <v>6</v>
      </c>
      <c r="D25" s="8"/>
      <c r="E25" t="s">
        <v>48</v>
      </c>
      <c r="F25" s="12">
        <f>ROUNDDOWN(B27/D8,0)</f>
        <v>23</v>
      </c>
    </row>
    <row r="26" spans="1:13" ht="15.75" thickBot="1" x14ac:dyDescent="0.3">
      <c r="A26" s="8" t="s">
        <v>13</v>
      </c>
      <c r="B26" s="4">
        <v>2.34</v>
      </c>
      <c r="C26" s="8" t="s">
        <v>6</v>
      </c>
      <c r="D26" s="8"/>
      <c r="E26" t="s">
        <v>49</v>
      </c>
      <c r="F26" s="12">
        <f>ROUNDDOWN(G23/F25,0)</f>
        <v>1</v>
      </c>
    </row>
    <row r="27" spans="1:13" x14ac:dyDescent="0.25">
      <c r="A27" s="8" t="s">
        <v>47</v>
      </c>
      <c r="B27" s="11">
        <f>B25*B26</f>
        <v>28.150199999999998</v>
      </c>
      <c r="C27" s="8" t="s">
        <v>10</v>
      </c>
      <c r="D27" s="8"/>
    </row>
    <row r="28" spans="1:13" ht="15.75" thickBot="1" x14ac:dyDescent="0.3">
      <c r="A28" s="8"/>
      <c r="B28" s="8"/>
      <c r="C28" s="8"/>
      <c r="D28" s="8" t="s">
        <v>52</v>
      </c>
      <c r="E28" t="s">
        <v>16</v>
      </c>
      <c r="F28" t="s">
        <v>53</v>
      </c>
      <c r="G28" s="8" t="s">
        <v>55</v>
      </c>
      <c r="H28" t="s">
        <v>54</v>
      </c>
      <c r="J28">
        <f>250*8</f>
        <v>2000</v>
      </c>
    </row>
    <row r="29" spans="1:13" x14ac:dyDescent="0.25">
      <c r="A29" s="1" t="s">
        <v>51</v>
      </c>
      <c r="B29" s="5">
        <f>B25</f>
        <v>12.03</v>
      </c>
      <c r="C29" s="6" t="s">
        <v>14</v>
      </c>
      <c r="D29" s="8">
        <f>D5</f>
        <v>1.2</v>
      </c>
      <c r="E29" s="12">
        <f>B29/D29</f>
        <v>10.025</v>
      </c>
      <c r="F29" s="12">
        <f>ROUNDDOWN(E29,0)</f>
        <v>10</v>
      </c>
      <c r="G29">
        <f>F29*F30</f>
        <v>20</v>
      </c>
      <c r="H29">
        <f>ROUNDDOWN(G23/G29,0)</f>
        <v>1</v>
      </c>
      <c r="I29">
        <f>G29*400</f>
        <v>8000</v>
      </c>
    </row>
    <row r="30" spans="1:13" x14ac:dyDescent="0.25">
      <c r="A30" s="1" t="s">
        <v>50</v>
      </c>
      <c r="B30" s="7">
        <f>B26</f>
        <v>2.34</v>
      </c>
      <c r="C30" s="2" t="s">
        <v>15</v>
      </c>
      <c r="D30" s="8">
        <f>D6</f>
        <v>1</v>
      </c>
      <c r="E30" s="12">
        <f>B30/D30</f>
        <v>2.34</v>
      </c>
      <c r="F30" s="12">
        <f>ROUNDDOWN(E30,0)</f>
        <v>2</v>
      </c>
    </row>
    <row r="31" spans="1:13" x14ac:dyDescent="0.25">
      <c r="B31" s="7"/>
      <c r="C31" s="2"/>
      <c r="D31" s="8"/>
      <c r="H31" s="1" t="s">
        <v>56</v>
      </c>
      <c r="I31">
        <f>G23-(H29*G29)</f>
        <v>18</v>
      </c>
      <c r="J31">
        <f>(I31-1)*400+200</f>
        <v>7000</v>
      </c>
      <c r="K31" t="s">
        <v>0</v>
      </c>
      <c r="L31">
        <f>J31/1000</f>
        <v>7</v>
      </c>
      <c r="M31" t="s">
        <v>60</v>
      </c>
    </row>
    <row r="32" spans="1:13" ht="15.75" thickBot="1" x14ac:dyDescent="0.3">
      <c r="A32" s="8"/>
      <c r="B32" s="8"/>
      <c r="C32" s="8"/>
      <c r="D32" s="8" t="s">
        <v>52</v>
      </c>
    </row>
    <row r="33" spans="1:13" x14ac:dyDescent="0.25">
      <c r="A33" s="1" t="s">
        <v>51</v>
      </c>
      <c r="B33" s="5">
        <f>B29</f>
        <v>12.03</v>
      </c>
      <c r="C33" s="6" t="s">
        <v>15</v>
      </c>
      <c r="D33" s="8">
        <f>D30</f>
        <v>1</v>
      </c>
      <c r="E33" s="12">
        <f>B33/D33</f>
        <v>12.03</v>
      </c>
      <c r="F33" s="12">
        <f>ROUNDDOWN(E33,0)</f>
        <v>12</v>
      </c>
      <c r="G33">
        <f>F33*F34</f>
        <v>12</v>
      </c>
      <c r="H33">
        <f>ROUNDDOWN(G23/G33,0)</f>
        <v>3</v>
      </c>
    </row>
    <row r="34" spans="1:13" x14ac:dyDescent="0.25">
      <c r="A34" s="1" t="s">
        <v>50</v>
      </c>
      <c r="B34" s="7">
        <f>B30</f>
        <v>2.34</v>
      </c>
      <c r="C34" s="2" t="s">
        <v>14</v>
      </c>
      <c r="D34" s="8">
        <f>D29</f>
        <v>1.2</v>
      </c>
      <c r="E34" s="12">
        <f>B34/D34</f>
        <v>1.95</v>
      </c>
      <c r="F34" s="12">
        <f>ROUNDDOWN(E34,0)</f>
        <v>1</v>
      </c>
    </row>
    <row r="35" spans="1:13" x14ac:dyDescent="0.25">
      <c r="B35" s="7"/>
      <c r="C35" s="2"/>
      <c r="D35" s="8"/>
      <c r="H35" s="1" t="s">
        <v>56</v>
      </c>
      <c r="I35">
        <f>G23-(H33*G33)</f>
        <v>2</v>
      </c>
      <c r="J35">
        <f>400+200</f>
        <v>600</v>
      </c>
      <c r="K35" t="s">
        <v>0</v>
      </c>
      <c r="L35">
        <f>J35/1000</f>
        <v>0.6</v>
      </c>
      <c r="M35" t="s">
        <v>60</v>
      </c>
    </row>
    <row r="37" spans="1:13" x14ac:dyDescent="0.25">
      <c r="A37" s="42" t="s">
        <v>39</v>
      </c>
      <c r="B37" s="42"/>
      <c r="C37" s="42"/>
      <c r="D37" s="42"/>
      <c r="E37" s="42"/>
    </row>
    <row r="38" spans="1:13" x14ac:dyDescent="0.25">
      <c r="A38" s="1" t="s">
        <v>18</v>
      </c>
      <c r="B38">
        <f>2.39-D43</f>
        <v>2.25</v>
      </c>
      <c r="C38" t="s">
        <v>6</v>
      </c>
    </row>
    <row r="39" spans="1:13" x14ac:dyDescent="0.25">
      <c r="A39" s="1" t="s">
        <v>19</v>
      </c>
      <c r="B39">
        <v>400</v>
      </c>
      <c r="C39" t="s">
        <v>0</v>
      </c>
    </row>
    <row r="40" spans="1:13" x14ac:dyDescent="0.25">
      <c r="A40" s="42" t="s">
        <v>20</v>
      </c>
      <c r="B40" s="42"/>
      <c r="C40" s="42"/>
    </row>
    <row r="41" spans="1:13" x14ac:dyDescent="0.25">
      <c r="A41" s="1" t="s">
        <v>21</v>
      </c>
      <c r="B41">
        <v>120</v>
      </c>
      <c r="C41" t="s">
        <v>5</v>
      </c>
      <c r="D41">
        <f>B41/(100)</f>
        <v>1.2</v>
      </c>
    </row>
    <row r="42" spans="1:13" x14ac:dyDescent="0.25">
      <c r="A42" s="1" t="s">
        <v>22</v>
      </c>
      <c r="B42">
        <v>80</v>
      </c>
      <c r="C42" t="s">
        <v>5</v>
      </c>
      <c r="D42">
        <f t="shared" ref="D42:D43" si="2">B42/(100)</f>
        <v>0.8</v>
      </c>
    </row>
    <row r="43" spans="1:13" x14ac:dyDescent="0.25">
      <c r="A43" s="1" t="s">
        <v>23</v>
      </c>
      <c r="B43">
        <v>14</v>
      </c>
      <c r="C43" t="s">
        <v>5</v>
      </c>
      <c r="D43">
        <f t="shared" si="2"/>
        <v>0.14000000000000001</v>
      </c>
    </row>
    <row r="44" spans="1:13" x14ac:dyDescent="0.25">
      <c r="A44" s="1" t="s">
        <v>24</v>
      </c>
      <c r="B44">
        <f>B41*B42</f>
        <v>9600</v>
      </c>
      <c r="C44" t="s">
        <v>9</v>
      </c>
      <c r="D44">
        <f>B44/(100^2)</f>
        <v>0.96</v>
      </c>
      <c r="E44" t="s">
        <v>10</v>
      </c>
    </row>
    <row r="45" spans="1:13" ht="30" x14ac:dyDescent="0.25">
      <c r="A45" s="9" t="s">
        <v>30</v>
      </c>
      <c r="B45">
        <f>B39/B47</f>
        <v>8</v>
      </c>
      <c r="C45" t="s">
        <v>31</v>
      </c>
    </row>
    <row r="46" spans="1:13" x14ac:dyDescent="0.25">
      <c r="A46" s="42" t="s">
        <v>25</v>
      </c>
      <c r="B46" s="42"/>
      <c r="C46" s="42"/>
    </row>
    <row r="47" spans="1:13" x14ac:dyDescent="0.25">
      <c r="A47" s="1" t="s">
        <v>26</v>
      </c>
      <c r="B47">
        <v>50</v>
      </c>
      <c r="C47" t="s">
        <v>0</v>
      </c>
    </row>
    <row r="48" spans="1:13" x14ac:dyDescent="0.25">
      <c r="A48" s="1" t="s">
        <v>27</v>
      </c>
      <c r="B48">
        <v>60</v>
      </c>
      <c r="C48" t="s">
        <v>5</v>
      </c>
      <c r="D48">
        <f>B48/(100)</f>
        <v>0.6</v>
      </c>
      <c r="E48" t="s">
        <v>6</v>
      </c>
    </row>
    <row r="49" spans="1:12" x14ac:dyDescent="0.25">
      <c r="A49" s="1" t="s">
        <v>28</v>
      </c>
      <c r="B49">
        <v>50</v>
      </c>
      <c r="C49" t="s">
        <v>5</v>
      </c>
      <c r="D49">
        <f>B49/(100)</f>
        <v>0.5</v>
      </c>
      <c r="E49" t="s">
        <v>6</v>
      </c>
    </row>
    <row r="50" spans="1:12" x14ac:dyDescent="0.25">
      <c r="A50" s="1" t="s">
        <v>29</v>
      </c>
      <c r="B50">
        <v>60</v>
      </c>
      <c r="C50" t="s">
        <v>5</v>
      </c>
      <c r="D50">
        <f>B50/(100)</f>
        <v>0.6</v>
      </c>
      <c r="E50" t="s">
        <v>6</v>
      </c>
    </row>
    <row r="52" spans="1:12" x14ac:dyDescent="0.25">
      <c r="A52" s="42" t="s">
        <v>32</v>
      </c>
      <c r="B52" s="42"/>
      <c r="C52" s="42"/>
      <c r="D52" s="42"/>
      <c r="E52" s="42"/>
    </row>
    <row r="53" spans="1:12" x14ac:dyDescent="0.25">
      <c r="A53" s="42" t="s">
        <v>33</v>
      </c>
      <c r="B53" s="42"/>
    </row>
    <row r="54" spans="1:12" x14ac:dyDescent="0.25">
      <c r="A54" s="1" t="s">
        <v>34</v>
      </c>
      <c r="B54">
        <f>B48*B49</f>
        <v>3000</v>
      </c>
      <c r="C54" t="s">
        <v>9</v>
      </c>
      <c r="D54">
        <f>B54/(100^2)</f>
        <v>0.3</v>
      </c>
      <c r="E54" t="s">
        <v>10</v>
      </c>
      <c r="F54" t="s">
        <v>37</v>
      </c>
      <c r="G54" s="10">
        <f>ROUNDDOWN($D$44/D54,0)</f>
        <v>3</v>
      </c>
    </row>
    <row r="55" spans="1:12" x14ac:dyDescent="0.25">
      <c r="A55" s="1" t="s">
        <v>35</v>
      </c>
      <c r="B55">
        <f>B48*B50</f>
        <v>3600</v>
      </c>
      <c r="C55" t="s">
        <v>9</v>
      </c>
      <c r="D55">
        <f>B55/(100^2)</f>
        <v>0.36</v>
      </c>
      <c r="E55" t="s">
        <v>10</v>
      </c>
      <c r="F55" t="s">
        <v>37</v>
      </c>
      <c r="G55" s="10">
        <f t="shared" ref="G55:G56" si="3">ROUNDDOWN($D$44/D55,0)</f>
        <v>2</v>
      </c>
      <c r="J55" t="s">
        <v>43</v>
      </c>
      <c r="K55">
        <f>D41</f>
        <v>1.2</v>
      </c>
      <c r="L55" t="s">
        <v>6</v>
      </c>
    </row>
    <row r="56" spans="1:12" x14ac:dyDescent="0.25">
      <c r="A56" s="1" t="s">
        <v>36</v>
      </c>
      <c r="B56">
        <f>B49*B50</f>
        <v>3000</v>
      </c>
      <c r="C56" t="s">
        <v>9</v>
      </c>
      <c r="D56">
        <f>B56/(100^2)</f>
        <v>0.3</v>
      </c>
      <c r="E56" t="s">
        <v>10</v>
      </c>
      <c r="F56" t="s">
        <v>37</v>
      </c>
      <c r="G56" s="10">
        <f t="shared" si="3"/>
        <v>3</v>
      </c>
      <c r="I56" s="1" t="s">
        <v>42</v>
      </c>
      <c r="J56" t="s">
        <v>44</v>
      </c>
      <c r="K56">
        <f>D42</f>
        <v>0.8</v>
      </c>
      <c r="L56" t="s">
        <v>6</v>
      </c>
    </row>
    <row r="57" spans="1:12" x14ac:dyDescent="0.25">
      <c r="F57" t="s">
        <v>41</v>
      </c>
      <c r="G57">
        <v>300</v>
      </c>
      <c r="J57" t="s">
        <v>45</v>
      </c>
      <c r="K57">
        <f>D43+D50*2</f>
        <v>1.3399999999999999</v>
      </c>
      <c r="L57" t="s">
        <v>6</v>
      </c>
    </row>
    <row r="58" spans="1:12" x14ac:dyDescent="0.25">
      <c r="A58" s="42"/>
      <c r="B58" s="42"/>
      <c r="C58" s="42"/>
      <c r="D58" s="42"/>
      <c r="F58" t="s">
        <v>40</v>
      </c>
      <c r="G58">
        <f>ROUNDUP(G57/(G56*2),0)</f>
        <v>50</v>
      </c>
    </row>
    <row r="59" spans="1:12" ht="15.75" thickBot="1" x14ac:dyDescent="0.3">
      <c r="A59" s="42" t="s">
        <v>57</v>
      </c>
      <c r="B59" s="42"/>
      <c r="C59" s="42"/>
      <c r="D59" s="42"/>
    </row>
    <row r="60" spans="1:12" ht="15.75" thickBot="1" x14ac:dyDescent="0.3">
      <c r="A60" s="8" t="s">
        <v>12</v>
      </c>
      <c r="B60" s="3">
        <f>B25</f>
        <v>12.03</v>
      </c>
      <c r="C60" t="s">
        <v>6</v>
      </c>
      <c r="D60" s="8"/>
      <c r="E60" t="s">
        <v>48</v>
      </c>
      <c r="F60" s="12">
        <f>ROUNDDOWN(B62/D44,0)</f>
        <v>29</v>
      </c>
    </row>
    <row r="61" spans="1:12" ht="15.75" thickBot="1" x14ac:dyDescent="0.3">
      <c r="A61" s="8" t="s">
        <v>13</v>
      </c>
      <c r="B61" s="4">
        <f>B26</f>
        <v>2.34</v>
      </c>
      <c r="C61" s="8" t="s">
        <v>6</v>
      </c>
      <c r="D61" s="8"/>
      <c r="E61" t="s">
        <v>49</v>
      </c>
      <c r="F61" s="12">
        <f>ROUNDDOWN(G58/F60,0)</f>
        <v>1</v>
      </c>
    </row>
    <row r="62" spans="1:12" x14ac:dyDescent="0.25">
      <c r="A62" s="8" t="s">
        <v>47</v>
      </c>
      <c r="B62" s="11">
        <f>B60*B61</f>
        <v>28.150199999999998</v>
      </c>
      <c r="C62" s="8" t="s">
        <v>10</v>
      </c>
      <c r="D62" s="8"/>
    </row>
    <row r="63" spans="1:12" ht="15.75" thickBot="1" x14ac:dyDescent="0.3">
      <c r="A63" s="8"/>
      <c r="B63" s="8"/>
      <c r="C63" s="8"/>
      <c r="D63" s="8" t="s">
        <v>52</v>
      </c>
      <c r="E63" t="s">
        <v>16</v>
      </c>
      <c r="F63" t="s">
        <v>53</v>
      </c>
      <c r="G63" s="8" t="s">
        <v>55</v>
      </c>
      <c r="H63" t="s">
        <v>54</v>
      </c>
    </row>
    <row r="64" spans="1:12" x14ac:dyDescent="0.25">
      <c r="A64" s="1" t="s">
        <v>51</v>
      </c>
      <c r="B64" s="5">
        <f>B60</f>
        <v>12.03</v>
      </c>
      <c r="C64" s="6" t="s">
        <v>14</v>
      </c>
      <c r="D64" s="8">
        <f>D41</f>
        <v>1.2</v>
      </c>
      <c r="E64" s="12">
        <f>B64/D64</f>
        <v>10.025</v>
      </c>
      <c r="F64" s="12">
        <f>ROUNDDOWN(E64,0)</f>
        <v>10</v>
      </c>
      <c r="G64">
        <f>F64*F65</f>
        <v>20</v>
      </c>
      <c r="H64">
        <f>ROUNDDOWN(G58/G64,0)</f>
        <v>2</v>
      </c>
    </row>
    <row r="65" spans="1:13" x14ac:dyDescent="0.25">
      <c r="A65" s="1" t="s">
        <v>50</v>
      </c>
      <c r="B65" s="7">
        <f>B61</f>
        <v>2.34</v>
      </c>
      <c r="C65" s="2" t="s">
        <v>15</v>
      </c>
      <c r="D65" s="8">
        <f>D42</f>
        <v>0.8</v>
      </c>
      <c r="E65" s="12">
        <f>B65/D65</f>
        <v>2.9249999999999998</v>
      </c>
      <c r="F65" s="12">
        <f>ROUNDDOWN(E65,0)</f>
        <v>2</v>
      </c>
    </row>
    <row r="66" spans="1:13" x14ac:dyDescent="0.25">
      <c r="B66" s="7"/>
      <c r="C66" s="2"/>
      <c r="D66" s="8"/>
      <c r="H66" s="1" t="s">
        <v>56</v>
      </c>
      <c r="I66">
        <f>G58-(H64*G64)</f>
        <v>10</v>
      </c>
      <c r="J66">
        <f>(I66-1)*400+200</f>
        <v>3800</v>
      </c>
      <c r="K66" t="s">
        <v>0</v>
      </c>
      <c r="L66">
        <f>J66/1000</f>
        <v>3.8</v>
      </c>
      <c r="M66" t="s">
        <v>60</v>
      </c>
    </row>
    <row r="67" spans="1:13" ht="15.75" thickBot="1" x14ac:dyDescent="0.3">
      <c r="A67" s="8"/>
      <c r="B67" s="8"/>
      <c r="C67" s="8"/>
      <c r="D67" s="8" t="s">
        <v>52</v>
      </c>
    </row>
    <row r="68" spans="1:13" x14ac:dyDescent="0.25">
      <c r="A68" s="1" t="s">
        <v>51</v>
      </c>
      <c r="B68" s="5">
        <f>B64</f>
        <v>12.03</v>
      </c>
      <c r="C68" s="6" t="s">
        <v>15</v>
      </c>
      <c r="D68" s="8">
        <f>D65</f>
        <v>0.8</v>
      </c>
      <c r="E68" s="12">
        <f>B68/D68</f>
        <v>15.037499999999998</v>
      </c>
      <c r="F68" s="12">
        <f>ROUNDDOWN(E68,0)</f>
        <v>15</v>
      </c>
      <c r="G68">
        <f>F68*F69</f>
        <v>15</v>
      </c>
      <c r="H68">
        <f>ROUNDDOWN(G58/G68,0)</f>
        <v>3</v>
      </c>
    </row>
    <row r="69" spans="1:13" x14ac:dyDescent="0.25">
      <c r="A69" s="1" t="s">
        <v>50</v>
      </c>
      <c r="B69" s="7">
        <f>B65</f>
        <v>2.34</v>
      </c>
      <c r="C69" s="2" t="s">
        <v>14</v>
      </c>
      <c r="D69" s="8">
        <f>D64</f>
        <v>1.2</v>
      </c>
      <c r="E69" s="12">
        <f>B69/D69</f>
        <v>1.95</v>
      </c>
      <c r="F69" s="12">
        <f>ROUNDDOWN(E69,0)</f>
        <v>1</v>
      </c>
    </row>
    <row r="70" spans="1:13" x14ac:dyDescent="0.25">
      <c r="H70" s="1" t="s">
        <v>56</v>
      </c>
      <c r="I70">
        <f>G58-(H68*G68)</f>
        <v>5</v>
      </c>
      <c r="J70">
        <f>(I70-1)*400+200</f>
        <v>1800</v>
      </c>
      <c r="K70" t="s">
        <v>0</v>
      </c>
      <c r="L70">
        <f>J70/1000</f>
        <v>1.8</v>
      </c>
      <c r="M70" t="s">
        <v>60</v>
      </c>
    </row>
  </sheetData>
  <mergeCells count="14">
    <mergeCell ref="A23:D23"/>
    <mergeCell ref="A1:E1"/>
    <mergeCell ref="A4:C4"/>
    <mergeCell ref="A10:C10"/>
    <mergeCell ref="A16:E16"/>
    <mergeCell ref="A17:B17"/>
    <mergeCell ref="A58:D58"/>
    <mergeCell ref="A59:D59"/>
    <mergeCell ref="A24:D24"/>
    <mergeCell ref="A37:E37"/>
    <mergeCell ref="A40:C40"/>
    <mergeCell ref="A46:C46"/>
    <mergeCell ref="A52:E52"/>
    <mergeCell ref="A53:B5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82D8-F49E-40FF-A657-9E1D773E8437}">
  <dimension ref="A1:I14"/>
  <sheetViews>
    <sheetView workbookViewId="0">
      <selection activeCell="F15" sqref="F15"/>
    </sheetView>
  </sheetViews>
  <sheetFormatPr baseColWidth="10" defaultRowHeight="15" x14ac:dyDescent="0.25"/>
  <cols>
    <col min="1" max="1" width="15.7109375" bestFit="1" customWidth="1"/>
    <col min="2" max="2" width="13.5703125" bestFit="1" customWidth="1"/>
    <col min="3" max="3" width="19.28515625" bestFit="1" customWidth="1"/>
    <col min="4" max="4" width="21" bestFit="1" customWidth="1"/>
    <col min="5" max="5" width="19" bestFit="1" customWidth="1"/>
    <col min="7" max="8" width="17" bestFit="1" customWidth="1"/>
  </cols>
  <sheetData>
    <row r="1" spans="1:9" x14ac:dyDescent="0.25">
      <c r="A1" t="s">
        <v>58</v>
      </c>
      <c r="B1" s="13">
        <v>1800</v>
      </c>
      <c r="C1" t="s">
        <v>74</v>
      </c>
      <c r="D1" s="13">
        <v>3050</v>
      </c>
      <c r="E1" t="s">
        <v>76</v>
      </c>
      <c r="F1" s="13">
        <v>250</v>
      </c>
    </row>
    <row r="2" spans="1:9" x14ac:dyDescent="0.25">
      <c r="B2" t="s">
        <v>61</v>
      </c>
      <c r="C2" t="s">
        <v>62</v>
      </c>
      <c r="D2" t="s">
        <v>63</v>
      </c>
      <c r="E2" t="s">
        <v>72</v>
      </c>
      <c r="F2" t="s">
        <v>73</v>
      </c>
      <c r="G2" t="s">
        <v>77</v>
      </c>
      <c r="H2" t="s">
        <v>75</v>
      </c>
      <c r="I2" t="s">
        <v>78</v>
      </c>
    </row>
    <row r="3" spans="1:9" x14ac:dyDescent="0.25">
      <c r="A3" t="s">
        <v>64</v>
      </c>
      <c r="B3">
        <f>'Análisis de palletsContenedor20'!H28</f>
        <v>4</v>
      </c>
      <c r="C3">
        <f>'Análisis de palletsContenedor20'!G28</f>
        <v>8</v>
      </c>
      <c r="D3">
        <f>'Análisis de palletsContenedor20'!I30</f>
        <v>6</v>
      </c>
      <c r="E3">
        <f>C3*8</f>
        <v>64</v>
      </c>
      <c r="F3" s="13">
        <f>B3*$B$1</f>
        <v>7200</v>
      </c>
      <c r="G3">
        <f>((D3*400)-200)/1000</f>
        <v>2.2000000000000002</v>
      </c>
      <c r="H3" s="14">
        <f>G3*$F$1</f>
        <v>550</v>
      </c>
      <c r="I3" s="14">
        <f>H3+F3</f>
        <v>7750</v>
      </c>
    </row>
    <row r="4" spans="1:9" x14ac:dyDescent="0.25">
      <c r="A4" t="s">
        <v>65</v>
      </c>
      <c r="B4">
        <f>'Análisis de palletsContenedor20'!H32</f>
        <v>7</v>
      </c>
      <c r="C4">
        <f>'Análisis de palletsContenedor20'!G32</f>
        <v>5</v>
      </c>
      <c r="D4">
        <f>'Análisis de palletsContenedor20'!I34</f>
        <v>3</v>
      </c>
      <c r="E4">
        <f t="shared" ref="E4:E10" si="0">C4*8</f>
        <v>40</v>
      </c>
      <c r="F4" s="13">
        <f t="shared" ref="F4:F6" si="1">B4*$B$1</f>
        <v>12600</v>
      </c>
      <c r="G4">
        <f t="shared" ref="G4:G10" si="2">((D4*400)-200)/1000</f>
        <v>1</v>
      </c>
      <c r="H4" s="14">
        <v>500</v>
      </c>
      <c r="I4" s="14">
        <f t="shared" ref="I4:I10" si="3">H4+F4</f>
        <v>13100</v>
      </c>
    </row>
    <row r="5" spans="1:9" x14ac:dyDescent="0.25">
      <c r="A5" t="s">
        <v>66</v>
      </c>
      <c r="B5">
        <f>'Análisis de palletsContenedor20'!H63</f>
        <v>6</v>
      </c>
      <c r="C5">
        <f>'Análisis de palletsContenedor20'!G63</f>
        <v>8</v>
      </c>
      <c r="D5">
        <f>'Análisis de palletsContenedor20'!I65</f>
        <v>2</v>
      </c>
      <c r="E5">
        <f t="shared" si="0"/>
        <v>64</v>
      </c>
      <c r="F5" s="13">
        <f t="shared" si="1"/>
        <v>10800</v>
      </c>
      <c r="G5">
        <f t="shared" si="2"/>
        <v>0.6</v>
      </c>
      <c r="H5" s="14">
        <v>500</v>
      </c>
      <c r="I5" s="14">
        <f t="shared" si="3"/>
        <v>11300</v>
      </c>
    </row>
    <row r="6" spans="1:9" x14ac:dyDescent="0.25">
      <c r="A6" t="s">
        <v>67</v>
      </c>
      <c r="B6">
        <f>'Análisis de palletsContenedor20'!H67</f>
        <v>7</v>
      </c>
      <c r="C6">
        <f>'Análisis de palletsContenedor20'!G67</f>
        <v>7</v>
      </c>
      <c r="D6">
        <f>'Análisis de palletsContenedor20'!I69</f>
        <v>1</v>
      </c>
      <c r="E6">
        <f t="shared" si="0"/>
        <v>56</v>
      </c>
      <c r="F6" s="13">
        <f t="shared" si="1"/>
        <v>12600</v>
      </c>
      <c r="G6">
        <f t="shared" si="2"/>
        <v>0.2</v>
      </c>
      <c r="H6" s="14">
        <v>500</v>
      </c>
      <c r="I6" s="14">
        <f t="shared" si="3"/>
        <v>13100</v>
      </c>
    </row>
    <row r="7" spans="1:9" x14ac:dyDescent="0.25">
      <c r="A7" t="s">
        <v>68</v>
      </c>
      <c r="B7">
        <f>'Análisis de palletsContened 40'!H29</f>
        <v>1</v>
      </c>
      <c r="C7">
        <f>'Análisis de palletsContened 40'!G29</f>
        <v>20</v>
      </c>
      <c r="D7">
        <f>'Análisis de palletsContened 40'!I31</f>
        <v>18</v>
      </c>
      <c r="E7">
        <f t="shared" si="0"/>
        <v>160</v>
      </c>
      <c r="F7" s="14">
        <f>B7*$D$1</f>
        <v>3050</v>
      </c>
      <c r="G7">
        <f>((D7*400)-200)/1000</f>
        <v>7</v>
      </c>
      <c r="H7" s="14">
        <f t="shared" ref="H7:H9" si="4">G7*$F$1</f>
        <v>1750</v>
      </c>
      <c r="I7" s="14">
        <f t="shared" si="3"/>
        <v>4800</v>
      </c>
    </row>
    <row r="8" spans="1:9" x14ac:dyDescent="0.25">
      <c r="A8" t="s">
        <v>69</v>
      </c>
      <c r="B8">
        <f>'Análisis de palletsContened 40'!H33</f>
        <v>3</v>
      </c>
      <c r="C8">
        <f>'Análisis de palletsContened 40'!G33</f>
        <v>12</v>
      </c>
      <c r="D8">
        <f>'Análisis de palletsContened 40'!I35</f>
        <v>2</v>
      </c>
      <c r="E8">
        <f t="shared" si="0"/>
        <v>96</v>
      </c>
      <c r="F8" s="14">
        <f t="shared" ref="F8:F10" si="5">B8*$D$1</f>
        <v>9150</v>
      </c>
      <c r="G8">
        <f t="shared" si="2"/>
        <v>0.6</v>
      </c>
      <c r="H8" s="14">
        <v>500</v>
      </c>
      <c r="I8" s="14">
        <f t="shared" si="3"/>
        <v>9650</v>
      </c>
    </row>
    <row r="9" spans="1:9" x14ac:dyDescent="0.25">
      <c r="A9" t="s">
        <v>70</v>
      </c>
      <c r="B9">
        <f>'Análisis de palletsContened 40'!H64</f>
        <v>2</v>
      </c>
      <c r="C9">
        <f>'Análisis de palletsContened 40'!G64</f>
        <v>20</v>
      </c>
      <c r="D9">
        <f>'Análisis de palletsContened 40'!I66</f>
        <v>10</v>
      </c>
      <c r="E9">
        <f t="shared" si="0"/>
        <v>160</v>
      </c>
      <c r="F9" s="14">
        <f t="shared" si="5"/>
        <v>6100</v>
      </c>
      <c r="G9">
        <f t="shared" si="2"/>
        <v>3.8</v>
      </c>
      <c r="H9" s="14">
        <f t="shared" si="4"/>
        <v>950</v>
      </c>
      <c r="I9" s="14">
        <f t="shared" si="3"/>
        <v>7050</v>
      </c>
    </row>
    <row r="10" spans="1:9" x14ac:dyDescent="0.25">
      <c r="A10" t="s">
        <v>71</v>
      </c>
      <c r="B10">
        <f>'Análisis de palletsContened 40'!H68</f>
        <v>3</v>
      </c>
      <c r="C10">
        <f>'Análisis de palletsContened 40'!G68</f>
        <v>15</v>
      </c>
      <c r="D10">
        <f>'Análisis de palletsContenedor20'!I69</f>
        <v>1</v>
      </c>
      <c r="E10">
        <f t="shared" si="0"/>
        <v>120</v>
      </c>
      <c r="F10" s="14">
        <f t="shared" si="5"/>
        <v>9150</v>
      </c>
      <c r="G10">
        <f t="shared" si="2"/>
        <v>0.2</v>
      </c>
      <c r="H10" s="14">
        <v>500</v>
      </c>
      <c r="I10" s="14">
        <f t="shared" si="3"/>
        <v>9650</v>
      </c>
    </row>
    <row r="14" spans="1:9" x14ac:dyDescent="0.25">
      <c r="D14" t="s">
        <v>79</v>
      </c>
      <c r="E14">
        <f>300*50</f>
        <v>15000</v>
      </c>
      <c r="F14">
        <f>E14*250/1000</f>
        <v>3750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2A35B-2749-40FD-AA63-77D96B5802F2}">
  <dimension ref="A16:F36"/>
  <sheetViews>
    <sheetView topLeftCell="A23" workbookViewId="0">
      <selection activeCell="C25" sqref="C25"/>
    </sheetView>
  </sheetViews>
  <sheetFormatPr baseColWidth="10" defaultRowHeight="15" x14ac:dyDescent="0.25"/>
  <cols>
    <col min="1" max="1" width="23.85546875" bestFit="1" customWidth="1"/>
  </cols>
  <sheetData>
    <row r="16" ht="15.75" thickBot="1" x14ac:dyDescent="0.3"/>
    <row r="17" spans="1:6" x14ac:dyDescent="0.25">
      <c r="A17" s="19" t="s">
        <v>95</v>
      </c>
      <c r="B17" s="38">
        <v>120</v>
      </c>
      <c r="C17" s="18"/>
      <c r="D17" s="16"/>
      <c r="E17" s="16"/>
      <c r="F17" s="16"/>
    </row>
    <row r="18" spans="1:6" ht="15.75" thickBot="1" x14ac:dyDescent="0.3">
      <c r="A18" s="23" t="s">
        <v>80</v>
      </c>
      <c r="B18" s="39">
        <f>B17*B20</f>
        <v>4560</v>
      </c>
      <c r="C18" s="24"/>
      <c r="D18" s="37" t="e">
        <v>#DIV/0!</v>
      </c>
      <c r="E18" s="16"/>
      <c r="F18" s="16"/>
    </row>
    <row r="19" spans="1:6" x14ac:dyDescent="0.25">
      <c r="A19" s="16" t="s">
        <v>96</v>
      </c>
      <c r="B19" s="16">
        <v>400</v>
      </c>
      <c r="C19" s="16" t="s">
        <v>0</v>
      </c>
      <c r="D19" s="16"/>
      <c r="E19" s="16"/>
      <c r="F19" s="16"/>
    </row>
    <row r="20" spans="1:6" ht="15.75" thickBot="1" x14ac:dyDescent="0.3">
      <c r="A20" s="16" t="s">
        <v>97</v>
      </c>
      <c r="B20" s="16">
        <v>38</v>
      </c>
      <c r="C20" s="16" t="s">
        <v>1</v>
      </c>
      <c r="D20" s="16"/>
      <c r="E20" s="16"/>
      <c r="F20" s="16"/>
    </row>
    <row r="21" spans="1:6" x14ac:dyDescent="0.25">
      <c r="A21" s="25" t="s">
        <v>81</v>
      </c>
      <c r="B21" s="26">
        <f>B19*B20-200</f>
        <v>15000</v>
      </c>
      <c r="C21" s="27" t="s">
        <v>0</v>
      </c>
      <c r="D21" s="16"/>
      <c r="E21" s="16"/>
      <c r="F21" s="16"/>
    </row>
    <row r="22" spans="1:6" ht="15.75" thickBot="1" x14ac:dyDescent="0.3">
      <c r="A22" s="28" t="s">
        <v>3</v>
      </c>
      <c r="B22" s="29">
        <f>B21/1000</f>
        <v>15</v>
      </c>
      <c r="C22" s="30" t="s">
        <v>11</v>
      </c>
      <c r="D22" s="16"/>
      <c r="E22" s="16"/>
      <c r="F22" s="16"/>
    </row>
    <row r="24" spans="1:6" x14ac:dyDescent="0.25">
      <c r="A24" s="16" t="s">
        <v>4</v>
      </c>
      <c r="B24" s="16">
        <v>60</v>
      </c>
      <c r="C24" s="16" t="s">
        <v>5</v>
      </c>
      <c r="D24" s="16"/>
      <c r="E24" s="16"/>
      <c r="F24" s="16"/>
    </row>
    <row r="25" spans="1:6" x14ac:dyDescent="0.25">
      <c r="A25" s="16" t="s">
        <v>7</v>
      </c>
      <c r="B25" s="16">
        <v>50</v>
      </c>
      <c r="C25" s="16" t="s">
        <v>5</v>
      </c>
      <c r="D25" s="16"/>
      <c r="E25" s="16"/>
      <c r="F25" s="16"/>
    </row>
    <row r="26" spans="1:6" ht="15.75" thickBot="1" x14ac:dyDescent="0.3">
      <c r="A26" s="16" t="s">
        <v>8</v>
      </c>
      <c r="B26" s="16">
        <v>60</v>
      </c>
      <c r="C26" s="16" t="s">
        <v>5</v>
      </c>
      <c r="D26" s="16">
        <f>(B24*B25*B26)/6000</f>
        <v>30</v>
      </c>
      <c r="E26" s="16"/>
      <c r="F26" s="16"/>
    </row>
    <row r="27" spans="1:6" ht="15.75" thickBot="1" x14ac:dyDescent="0.3">
      <c r="A27" s="20" t="s">
        <v>82</v>
      </c>
      <c r="B27" s="21">
        <f>((B24*B25*B26)/6000)*B20</f>
        <v>1140</v>
      </c>
      <c r="C27" s="22" t="s">
        <v>83</v>
      </c>
      <c r="D27" s="16"/>
      <c r="E27" s="16"/>
      <c r="F27" s="17"/>
    </row>
    <row r="28" spans="1:6" x14ac:dyDescent="0.25">
      <c r="A28" s="16"/>
      <c r="B28" s="16"/>
      <c r="C28" s="16"/>
      <c r="D28" s="16"/>
      <c r="E28" s="17"/>
      <c r="F28" s="17"/>
    </row>
    <row r="29" spans="1:6" x14ac:dyDescent="0.25">
      <c r="A29" s="41" t="s">
        <v>84</v>
      </c>
      <c r="B29" s="31">
        <v>3.5</v>
      </c>
      <c r="C29" s="31" t="s">
        <v>83</v>
      </c>
      <c r="D29" s="40">
        <f>B29*$B$21</f>
        <v>52500</v>
      </c>
      <c r="E29" s="16"/>
      <c r="F29" s="16"/>
    </row>
    <row r="30" spans="1:6" x14ac:dyDescent="0.25">
      <c r="A30" s="41" t="s">
        <v>85</v>
      </c>
      <c r="B30" s="31">
        <v>0.45</v>
      </c>
      <c r="C30" s="31" t="s">
        <v>83</v>
      </c>
      <c r="D30" s="40">
        <f t="shared" ref="D30:D31" si="0">B30*$B$21</f>
        <v>6750</v>
      </c>
      <c r="E30" s="16"/>
      <c r="F30" s="16"/>
    </row>
    <row r="31" spans="1:6" x14ac:dyDescent="0.25">
      <c r="A31" s="41" t="s">
        <v>86</v>
      </c>
      <c r="B31" s="31">
        <v>0.1</v>
      </c>
      <c r="C31" s="31" t="s">
        <v>83</v>
      </c>
      <c r="D31" s="40">
        <f t="shared" si="0"/>
        <v>1500</v>
      </c>
      <c r="E31" s="16"/>
      <c r="F31" s="16"/>
    </row>
    <row r="32" spans="1:6" x14ac:dyDescent="0.25">
      <c r="A32" s="41" t="s">
        <v>87</v>
      </c>
      <c r="B32" s="31">
        <v>0.04</v>
      </c>
      <c r="C32" s="31" t="s">
        <v>88</v>
      </c>
      <c r="D32" s="40">
        <f>B32*$B$21</f>
        <v>600</v>
      </c>
      <c r="E32" s="16"/>
      <c r="F32" s="16"/>
    </row>
    <row r="33" spans="1:6" ht="15.75" thickBot="1" x14ac:dyDescent="0.3">
      <c r="A33" s="16"/>
      <c r="B33" s="28" t="s">
        <v>89</v>
      </c>
      <c r="C33" s="29"/>
      <c r="D33" s="15">
        <f>SUM(D29:D32)</f>
        <v>61350</v>
      </c>
      <c r="E33" s="16"/>
      <c r="F33" s="16"/>
    </row>
    <row r="34" spans="1:6" ht="15.75" thickBot="1" x14ac:dyDescent="0.3">
      <c r="A34" s="16"/>
      <c r="B34" s="16"/>
      <c r="C34" s="16"/>
      <c r="D34" s="16"/>
      <c r="E34" s="16"/>
      <c r="F34" s="16"/>
    </row>
    <row r="35" spans="1:6" x14ac:dyDescent="0.25">
      <c r="A35" s="19"/>
      <c r="B35" s="32" t="s">
        <v>2</v>
      </c>
      <c r="C35" s="33" t="s">
        <v>90</v>
      </c>
      <c r="D35" s="32"/>
      <c r="E35" s="32" t="s">
        <v>91</v>
      </c>
      <c r="F35" s="35" t="s">
        <v>92</v>
      </c>
    </row>
    <row r="36" spans="1:6" ht="15.75" thickBot="1" x14ac:dyDescent="0.3">
      <c r="A36" s="34" t="s">
        <v>93</v>
      </c>
      <c r="B36" s="31"/>
      <c r="C36" s="31">
        <v>250</v>
      </c>
      <c r="D36" s="31">
        <v>0</v>
      </c>
      <c r="E36" s="31">
        <v>600</v>
      </c>
      <c r="F36" s="36" t="s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RESUMEN</vt:lpstr>
      <vt:lpstr>Análisis de palletsContenedor20</vt:lpstr>
      <vt:lpstr>Análisis de palletsContened 40</vt:lpstr>
      <vt:lpstr>COSTO OPCIONES MAR</vt:lpstr>
      <vt:lpstr>FLETE AEREO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Salgado</dc:creator>
  <cp:lastModifiedBy>Francisco Salgado</cp:lastModifiedBy>
  <dcterms:created xsi:type="dcterms:W3CDTF">2020-05-27T02:06:34Z</dcterms:created>
  <dcterms:modified xsi:type="dcterms:W3CDTF">2020-06-02T14:20:16Z</dcterms:modified>
</cp:coreProperties>
</file>