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zevedo\Documents\work\qr\modeling\"/>
    </mc:Choice>
  </mc:AlternateContent>
  <xr:revisionPtr revIDLastSave="0" documentId="13_ncr:1_{A90A34D0-C694-4FE5-B3C3-8832DFB52443}" xr6:coauthVersionLast="47" xr6:coauthVersionMax="47" xr10:uidLastSave="{00000000-0000-0000-0000-000000000000}"/>
  <bookViews>
    <workbookView xWindow="-32570" yWindow="1140" windowWidth="29010" windowHeight="15320" activeTab="1" xr2:uid="{00000000-000D-0000-FFFF-FFFF00000000}"/>
  </bookViews>
  <sheets>
    <sheet name="CRR" sheetId="1" r:id="rId1"/>
    <sheet name="DK" sheetId="8" r:id="rId2"/>
    <sheet name="Trajetórias" sheetId="13" r:id="rId3"/>
    <sheet name="Gaf trajetórias" sheetId="14" r:id="rId4"/>
    <sheet name="Distribuições" sheetId="10" r:id="rId5"/>
    <sheet name="Payoff Auto-Call" sheetId="12" r:id="rId6"/>
    <sheet name="Auto Call" sheetId="11" r:id="rId7"/>
    <sheet name="Put Americana" sheetId="15" r:id="rId8"/>
  </sheets>
  <definedNames>
    <definedName name="cupom">'Auto Call'!$C$2</definedName>
    <definedName name="dk_ad">DK!$H$12:$L$16</definedName>
    <definedName name="dk_market">DK!$H$5:$L$9</definedName>
    <definedName name="dk_prices">DK!$B$5:$F$9</definedName>
    <definedName name="dk_probs">DK!$B$12:$F$16</definedName>
    <definedName name="dk_real_probs">DK!$H$12:$L$16</definedName>
    <definedName name="fatdown">'Auto Call'!$C$4</definedName>
    <definedName name="fatup">'Auto Call'!$C$3</definedName>
    <definedName name="KI">'Auto Call'!$C$5</definedName>
    <definedName name="probup1">CRR!#REF!</definedName>
    <definedName name="probup10">CRR!#REF!</definedName>
    <definedName name="probup2">CRR!#REF!</definedName>
    <definedName name="probup3">CRR!#REF!</definedName>
    <definedName name="probup4">CRR!#REF!</definedName>
    <definedName name="probup5">CRR!#REF!</definedName>
    <definedName name="probup6">CRR!#REF!</definedName>
    <definedName name="probup7">CRR!#REF!</definedName>
    <definedName name="probup8">CRR!#REF!</definedName>
    <definedName name="probup9">CRR!#REF!</definedName>
    <definedName name="q">CRR!#REF!</definedName>
    <definedName name="rf">CRR!$C$2</definedName>
    <definedName name="sigma">DK!$B$2</definedName>
    <definedName name="So">CRR!$C$1</definedName>
    <definedName name="solver_adj" localSheetId="0" hidden="1">CRR!$C$3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CRR!$G$3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">CRR!$C$4</definedName>
    <definedName name="vol">CRR!$C$3</definedName>
    <definedName name="X">'Put Americana'!$C$1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8" l="1"/>
  <c r="I14" i="1"/>
  <c r="I15" i="1"/>
  <c r="C7" i="1"/>
  <c r="G2" i="1"/>
  <c r="L7" i="15" l="1"/>
  <c r="L9" i="13"/>
  <c r="L10" i="13"/>
  <c r="L11" i="13"/>
  <c r="L12" i="13"/>
  <c r="L13" i="13"/>
  <c r="L8" i="13"/>
  <c r="J8" i="13"/>
  <c r="J9" i="13"/>
  <c r="J10" i="13"/>
  <c r="J11" i="13"/>
  <c r="J12" i="13"/>
  <c r="J13" i="13"/>
  <c r="J14" i="13"/>
  <c r="J7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3" i="13"/>
  <c r="P11" i="11" l="1"/>
  <c r="O10" i="11"/>
  <c r="N10" i="11"/>
  <c r="M9" i="11"/>
  <c r="J11" i="11"/>
  <c r="I10" i="11"/>
  <c r="H10" i="11"/>
  <c r="G9" i="11"/>
  <c r="B10" i="11"/>
  <c r="B11" i="11" s="1"/>
  <c r="D10" i="11"/>
  <c r="D9" i="11"/>
  <c r="C9" i="11"/>
  <c r="G1" i="1"/>
  <c r="K7" i="8"/>
  <c r="K6" i="8"/>
  <c r="E15" i="1"/>
  <c r="I5" i="8"/>
  <c r="C5" i="8" s="1"/>
  <c r="G3" i="1" l="1"/>
  <c r="J5" i="8"/>
  <c r="I3" i="13"/>
  <c r="I4" i="13"/>
  <c r="I5" i="13"/>
  <c r="I6" i="13"/>
  <c r="I7" i="13"/>
  <c r="I8" i="13"/>
  <c r="I9" i="13"/>
  <c r="I10" i="13"/>
  <c r="C6" i="8"/>
  <c r="B12" i="11"/>
  <c r="C12" i="11" s="1"/>
  <c r="D11" i="11"/>
  <c r="C11" i="11"/>
  <c r="C10" i="11"/>
  <c r="B14" i="1"/>
  <c r="E14" i="1"/>
  <c r="E17" i="1"/>
  <c r="D14" i="1"/>
  <c r="C14" i="1"/>
  <c r="C15" i="1"/>
  <c r="D16" i="1"/>
  <c r="D15" i="1"/>
  <c r="E16" i="1"/>
  <c r="B7" i="1"/>
  <c r="J7" i="8" l="1"/>
  <c r="B12" i="8"/>
  <c r="B13" i="11"/>
  <c r="D13" i="11" s="1"/>
  <c r="D12" i="11"/>
  <c r="C4" i="13"/>
  <c r="C5" i="13"/>
  <c r="C6" i="13"/>
  <c r="C7" i="13"/>
  <c r="C8" i="13"/>
  <c r="C9" i="13"/>
  <c r="C10" i="13"/>
  <c r="C3" i="13"/>
  <c r="I11" i="13"/>
  <c r="I12" i="13"/>
  <c r="I13" i="13"/>
  <c r="I14" i="13"/>
  <c r="I15" i="13"/>
  <c r="I16" i="13"/>
  <c r="I17" i="13"/>
  <c r="I18" i="13"/>
  <c r="B14" i="11"/>
  <c r="C13" i="11"/>
  <c r="J16" i="1"/>
  <c r="D7" i="1"/>
  <c r="D8" i="1"/>
  <c r="C8" i="1"/>
  <c r="D9" i="1" l="1"/>
  <c r="C12" i="13"/>
  <c r="C13" i="13"/>
  <c r="C14" i="13"/>
  <c r="C15" i="13"/>
  <c r="C16" i="13"/>
  <c r="C17" i="13"/>
  <c r="C18" i="13"/>
  <c r="C11" i="13"/>
  <c r="E9" i="1"/>
  <c r="D12" i="13"/>
  <c r="D13" i="13"/>
  <c r="D14" i="13"/>
  <c r="D7" i="13"/>
  <c r="D8" i="13"/>
  <c r="D9" i="13"/>
  <c r="D10" i="13"/>
  <c r="D11" i="13"/>
  <c r="D4" i="13"/>
  <c r="D5" i="13"/>
  <c r="D6" i="13"/>
  <c r="D3" i="13"/>
  <c r="D14" i="11"/>
  <c r="C14" i="11"/>
  <c r="B15" i="11"/>
  <c r="J15" i="1"/>
  <c r="J14" i="1"/>
  <c r="K14" i="1" s="1"/>
  <c r="L14" i="1" s="1"/>
  <c r="K17" i="1"/>
  <c r="I12" i="8"/>
  <c r="D5" i="8" s="1"/>
  <c r="I13" i="8"/>
  <c r="D7" i="8" s="1"/>
  <c r="E7" i="1"/>
  <c r="E8" i="1"/>
  <c r="K16" i="1" l="1"/>
  <c r="K15" i="1"/>
  <c r="K8" i="8"/>
  <c r="J16" i="13"/>
  <c r="J17" i="13"/>
  <c r="J18" i="13"/>
  <c r="J15" i="13"/>
  <c r="C13" i="8"/>
  <c r="F9" i="1"/>
  <c r="F7" i="15" s="1"/>
  <c r="E7" i="15" s="1"/>
  <c r="E6" i="13"/>
  <c r="E7" i="13"/>
  <c r="E8" i="13"/>
  <c r="E9" i="13"/>
  <c r="E10" i="13"/>
  <c r="E5" i="13"/>
  <c r="E4" i="13"/>
  <c r="E3" i="13"/>
  <c r="F10" i="1"/>
  <c r="F8" i="15" s="1"/>
  <c r="E12" i="13"/>
  <c r="E13" i="13"/>
  <c r="E14" i="13"/>
  <c r="E15" i="13"/>
  <c r="E16" i="13"/>
  <c r="E11" i="13"/>
  <c r="E10" i="1"/>
  <c r="D16" i="13"/>
  <c r="D17" i="13"/>
  <c r="D18" i="13"/>
  <c r="D15" i="13"/>
  <c r="D15" i="11"/>
  <c r="C15" i="11"/>
  <c r="B16" i="11"/>
  <c r="L18" i="1"/>
  <c r="L15" i="1"/>
  <c r="C12" i="8"/>
  <c r="F8" i="1"/>
  <c r="F6" i="15" s="1"/>
  <c r="E6" i="15" s="1"/>
  <c r="F7" i="1"/>
  <c r="D6" i="15" l="1"/>
  <c r="F3" i="13"/>
  <c r="F5" i="15"/>
  <c r="E5" i="15" s="1"/>
  <c r="D5" i="15" s="1"/>
  <c r="C5" i="15" s="1"/>
  <c r="L16" i="1"/>
  <c r="L17" i="1"/>
  <c r="J14" i="8"/>
  <c r="F17" i="13"/>
  <c r="F15" i="13"/>
  <c r="F16" i="13"/>
  <c r="F14" i="13"/>
  <c r="J12" i="11"/>
  <c r="F11" i="1"/>
  <c r="F9" i="15" s="1"/>
  <c r="E8" i="15" s="1"/>
  <c r="D7" i="15" s="1"/>
  <c r="C6" i="15" s="1"/>
  <c r="E18" i="13"/>
  <c r="E17" i="13"/>
  <c r="F12" i="13"/>
  <c r="F13" i="13"/>
  <c r="F8" i="13"/>
  <c r="F9" i="13"/>
  <c r="F10" i="13"/>
  <c r="F11" i="13"/>
  <c r="F5" i="13"/>
  <c r="F6" i="13"/>
  <c r="F7" i="13"/>
  <c r="F4" i="13"/>
  <c r="K5" i="8"/>
  <c r="J3" i="13"/>
  <c r="J4" i="13"/>
  <c r="J5" i="13"/>
  <c r="J6" i="13"/>
  <c r="J12" i="8"/>
  <c r="D16" i="11"/>
  <c r="B17" i="11"/>
  <c r="C16" i="11"/>
  <c r="B5" i="15" l="1"/>
  <c r="F18" i="13"/>
  <c r="J13" i="11"/>
  <c r="I12" i="11" s="1"/>
  <c r="I11" i="11"/>
  <c r="J13" i="8"/>
  <c r="E6" i="8" s="1"/>
  <c r="D17" i="11"/>
  <c r="C17" i="11"/>
  <c r="B18" i="11"/>
  <c r="H11" i="11" l="1"/>
  <c r="G10" i="11" s="1"/>
  <c r="F9" i="11" s="1"/>
  <c r="E7" i="8"/>
  <c r="K6" i="13"/>
  <c r="K7" i="13"/>
  <c r="K8" i="13"/>
  <c r="K9" i="13"/>
  <c r="K10" i="13"/>
  <c r="K5" i="13"/>
  <c r="L6" i="8"/>
  <c r="E5" i="8"/>
  <c r="L5" i="8" s="1"/>
  <c r="B19" i="11"/>
  <c r="D18" i="11"/>
  <c r="C18" i="11"/>
  <c r="D12" i="8" l="1"/>
  <c r="K12" i="8" s="1"/>
  <c r="K3" i="13"/>
  <c r="K4" i="13"/>
  <c r="K11" i="13"/>
  <c r="K12" i="13"/>
  <c r="K13" i="13"/>
  <c r="K14" i="13"/>
  <c r="K15" i="13"/>
  <c r="K16" i="13"/>
  <c r="E8" i="8"/>
  <c r="L8" i="8"/>
  <c r="D13" i="8"/>
  <c r="B20" i="11"/>
  <c r="D19" i="11"/>
  <c r="C19" i="11"/>
  <c r="K13" i="8" l="1"/>
  <c r="F6" i="8" s="1"/>
  <c r="K18" i="13"/>
  <c r="K17" i="13"/>
  <c r="D14" i="8"/>
  <c r="L9" i="8"/>
  <c r="D20" i="11"/>
  <c r="B21" i="11"/>
  <c r="C20" i="11"/>
  <c r="L6" i="15" l="1"/>
  <c r="F5" i="8"/>
  <c r="L5" i="15" s="1"/>
  <c r="L6" i="13"/>
  <c r="L4" i="13"/>
  <c r="L5" i="13"/>
  <c r="E13" i="8"/>
  <c r="L7" i="13"/>
  <c r="K15" i="8"/>
  <c r="K14" i="8"/>
  <c r="D21" i="11"/>
  <c r="B22" i="11"/>
  <c r="C21" i="11"/>
  <c r="F8" i="8" l="1"/>
  <c r="L8" i="15" s="1"/>
  <c r="K6" i="15"/>
  <c r="P12" i="11"/>
  <c r="L17" i="13"/>
  <c r="L15" i="13"/>
  <c r="L16" i="13"/>
  <c r="L14" i="13"/>
  <c r="E14" i="8"/>
  <c r="F9" i="8"/>
  <c r="L9" i="15" s="1"/>
  <c r="E12" i="8"/>
  <c r="L12" i="8" s="1"/>
  <c r="L3" i="13"/>
  <c r="D22" i="11"/>
  <c r="C22" i="11"/>
  <c r="B23" i="11"/>
  <c r="O11" i="11" l="1"/>
  <c r="L14" i="8"/>
  <c r="K7" i="15"/>
  <c r="K5" i="15"/>
  <c r="J5" i="15" s="1"/>
  <c r="L18" i="13"/>
  <c r="E15" i="8"/>
  <c r="K8" i="15" s="1"/>
  <c r="P13" i="11"/>
  <c r="L13" i="8"/>
  <c r="C23" i="11"/>
  <c r="D23" i="11"/>
  <c r="B24" i="11"/>
  <c r="J7" i="15" l="1"/>
  <c r="J6" i="15"/>
  <c r="L16" i="8"/>
  <c r="L15" i="8"/>
  <c r="O12" i="11"/>
  <c r="N11" i="11" s="1"/>
  <c r="M10" i="11" s="1"/>
  <c r="L9" i="11" s="1"/>
  <c r="D24" i="11"/>
  <c r="B25" i="11"/>
  <c r="C24" i="11"/>
  <c r="I6" i="15" l="1"/>
  <c r="I5" i="15"/>
  <c r="D25" i="11"/>
  <c r="B26" i="11"/>
  <c r="C25" i="11"/>
  <c r="H5" i="15" l="1"/>
  <c r="B27" i="11"/>
  <c r="D26" i="11"/>
  <c r="C26" i="11"/>
  <c r="B28" i="11" l="1"/>
  <c r="D27" i="11"/>
  <c r="C27" i="11"/>
  <c r="D28" i="11" l="1"/>
  <c r="B29" i="11"/>
  <c r="C28" i="11"/>
  <c r="D29" i="11" l="1"/>
  <c r="B30" i="11"/>
  <c r="C29" i="11"/>
  <c r="D30" i="11" l="1"/>
  <c r="C30" i="11"/>
  <c r="B31" i="11"/>
  <c r="C31" i="11" l="1"/>
  <c r="D31" i="11"/>
  <c r="B32" i="11"/>
  <c r="D32" i="11" l="1"/>
  <c r="B33" i="11"/>
  <c r="C32" i="11"/>
  <c r="D33" i="11" l="1"/>
  <c r="B34" i="11"/>
  <c r="C33" i="11"/>
  <c r="B35" i="11" l="1"/>
  <c r="D34" i="11"/>
  <c r="C34" i="11"/>
  <c r="B36" i="11" l="1"/>
  <c r="D35" i="11"/>
  <c r="C35" i="11"/>
  <c r="D36" i="11" l="1"/>
  <c r="B37" i="11"/>
  <c r="C36" i="11"/>
  <c r="D37" i="11" l="1"/>
  <c r="B38" i="11"/>
  <c r="C37" i="11"/>
  <c r="D38" i="11" l="1"/>
  <c r="C38" i="11"/>
  <c r="B39" i="11"/>
  <c r="D39" i="11" l="1"/>
  <c r="C39" i="11"/>
  <c r="B40" i="11"/>
  <c r="D40" i="11" l="1"/>
  <c r="B41" i="11"/>
  <c r="C40" i="11"/>
  <c r="D41" i="11" l="1"/>
  <c r="B42" i="11"/>
  <c r="C41" i="11"/>
  <c r="B43" i="11" l="1"/>
  <c r="D42" i="11"/>
  <c r="C42" i="11"/>
  <c r="B44" i="11" l="1"/>
  <c r="D43" i="11"/>
  <c r="C43" i="11"/>
  <c r="D44" i="11" l="1"/>
  <c r="B45" i="11"/>
  <c r="C44" i="11"/>
  <c r="D45" i="11" l="1"/>
  <c r="B46" i="11"/>
  <c r="C45" i="11"/>
  <c r="D46" i="11" l="1"/>
  <c r="C46" i="11"/>
  <c r="B47" i="11"/>
  <c r="C47" i="11" l="1"/>
  <c r="D47" i="11"/>
  <c r="B48" i="11"/>
  <c r="D48" i="11" l="1"/>
  <c r="B49" i="11"/>
  <c r="C48" i="11"/>
  <c r="D49" i="11" l="1"/>
  <c r="B50" i="11"/>
  <c r="C49" i="11"/>
  <c r="B51" i="11" l="1"/>
  <c r="D50" i="11"/>
  <c r="C50" i="11"/>
  <c r="B52" i="11" l="1"/>
  <c r="D51" i="11"/>
  <c r="C51" i="11"/>
  <c r="D52" i="11" l="1"/>
  <c r="B53" i="11"/>
  <c r="C52" i="11"/>
  <c r="D53" i="11" l="1"/>
  <c r="B54" i="11"/>
  <c r="C53" i="11"/>
  <c r="D54" i="11" l="1"/>
  <c r="C54" i="11"/>
  <c r="B55" i="11"/>
  <c r="C55" i="11" l="1"/>
  <c r="D55" i="11"/>
  <c r="B56" i="11"/>
  <c r="D56" i="11" l="1"/>
  <c r="B57" i="11"/>
  <c r="C56" i="11"/>
  <c r="D57" i="11" l="1"/>
  <c r="B58" i="11"/>
  <c r="C57" i="11"/>
  <c r="B59" i="11" l="1"/>
  <c r="D58" i="11"/>
  <c r="C58" i="11"/>
  <c r="B60" i="11" l="1"/>
  <c r="D59" i="11"/>
  <c r="C59" i="11"/>
  <c r="D60" i="11" l="1"/>
  <c r="B61" i="11"/>
  <c r="C60" i="11"/>
  <c r="D61" i="11" l="1"/>
  <c r="B62" i="11"/>
  <c r="C61" i="11"/>
  <c r="D62" i="11" l="1"/>
  <c r="C62" i="11"/>
  <c r="B63" i="11"/>
  <c r="D63" i="11" l="1"/>
  <c r="B64" i="11"/>
  <c r="C63" i="11"/>
  <c r="D64" i="11" l="1"/>
  <c r="B65" i="11"/>
  <c r="C64" i="11"/>
  <c r="D65" i="11" l="1"/>
  <c r="B66" i="11"/>
  <c r="C65" i="11"/>
  <c r="B67" i="11" l="1"/>
  <c r="D66" i="11"/>
  <c r="C66" i="11"/>
  <c r="B68" i="11" l="1"/>
  <c r="D67" i="11"/>
  <c r="C67" i="11"/>
  <c r="D68" i="11" l="1"/>
  <c r="B69" i="11"/>
  <c r="C68" i="11"/>
  <c r="D69" i="11" l="1"/>
  <c r="B70" i="11"/>
  <c r="C69" i="11"/>
  <c r="D70" i="11" l="1"/>
  <c r="C70" i="11"/>
  <c r="B71" i="11"/>
  <c r="D71" i="11" l="1"/>
  <c r="B72" i="11"/>
  <c r="C71" i="11"/>
  <c r="D72" i="11" l="1"/>
  <c r="B73" i="11"/>
  <c r="C72" i="11"/>
  <c r="D73" i="11" l="1"/>
  <c r="B74" i="11"/>
  <c r="C73" i="11"/>
  <c r="B75" i="11" l="1"/>
  <c r="D74" i="11"/>
  <c r="C74" i="11"/>
  <c r="B76" i="11" l="1"/>
  <c r="D75" i="11"/>
  <c r="C75" i="11"/>
  <c r="D76" i="11" l="1"/>
  <c r="B77" i="11"/>
  <c r="C76" i="11"/>
  <c r="D77" i="11" l="1"/>
  <c r="B78" i="11"/>
  <c r="C77" i="11"/>
  <c r="D78" i="11" l="1"/>
  <c r="C78" i="11"/>
  <c r="B79" i="11"/>
  <c r="D79" i="11" l="1"/>
  <c r="B80" i="11"/>
  <c r="C79" i="11"/>
  <c r="D80" i="11" l="1"/>
  <c r="B81" i="11"/>
  <c r="C80" i="11"/>
  <c r="D81" i="11" l="1"/>
  <c r="B82" i="11"/>
  <c r="C81" i="11"/>
  <c r="B83" i="11" l="1"/>
  <c r="D82" i="11"/>
  <c r="C82" i="11"/>
  <c r="B84" i="11" l="1"/>
  <c r="D83" i="11"/>
  <c r="C83" i="11"/>
  <c r="D84" i="11" l="1"/>
  <c r="B85" i="11"/>
  <c r="C84" i="11"/>
  <c r="D85" i="11" l="1"/>
  <c r="B86" i="11"/>
  <c r="C85" i="11"/>
  <c r="D86" i="11" l="1"/>
  <c r="C86" i="11"/>
  <c r="B87" i="11"/>
  <c r="D87" i="11" l="1"/>
  <c r="B88" i="11"/>
  <c r="C87" i="11"/>
  <c r="D88" i="11" l="1"/>
  <c r="B89" i="11"/>
  <c r="C88" i="11"/>
  <c r="D89" i="11" l="1"/>
  <c r="B90" i="11"/>
  <c r="C89" i="11"/>
  <c r="B91" i="11" l="1"/>
  <c r="D90" i="11"/>
  <c r="C90" i="11"/>
  <c r="B92" i="11" l="1"/>
  <c r="D91" i="11"/>
  <c r="C91" i="11"/>
  <c r="D92" i="11" l="1"/>
  <c r="B93" i="11"/>
  <c r="C92" i="11"/>
  <c r="D93" i="11" l="1"/>
  <c r="B94" i="11"/>
  <c r="C93" i="11"/>
  <c r="D94" i="11" l="1"/>
  <c r="C94" i="11"/>
  <c r="B95" i="11"/>
  <c r="D95" i="11" l="1"/>
  <c r="B96" i="11"/>
  <c r="C95" i="11"/>
  <c r="D96" i="11" l="1"/>
  <c r="B97" i="11"/>
  <c r="C96" i="11"/>
  <c r="D97" i="11" l="1"/>
  <c r="B98" i="11"/>
  <c r="C97" i="11"/>
  <c r="B99" i="11" l="1"/>
  <c r="D98" i="11"/>
  <c r="C98" i="11"/>
  <c r="B100" i="11" l="1"/>
  <c r="D99" i="11"/>
  <c r="C99" i="11"/>
  <c r="D100" i="11" l="1"/>
  <c r="B101" i="11"/>
  <c r="C100" i="11"/>
  <c r="D101" i="11" l="1"/>
  <c r="B102" i="11"/>
  <c r="C101" i="11"/>
  <c r="D102" i="11" l="1"/>
  <c r="C102" i="11"/>
  <c r="B103" i="11"/>
  <c r="D103" i="11" l="1"/>
  <c r="B104" i="11"/>
  <c r="C103" i="11"/>
  <c r="D104" i="11" l="1"/>
  <c r="B105" i="11"/>
  <c r="C104" i="11"/>
  <c r="D105" i="11" l="1"/>
  <c r="B106" i="11"/>
  <c r="C105" i="11"/>
  <c r="B107" i="11" l="1"/>
  <c r="D106" i="11"/>
  <c r="C106" i="11"/>
  <c r="B108" i="11" l="1"/>
  <c r="D107" i="11"/>
  <c r="C107" i="11"/>
  <c r="D108" i="11" l="1"/>
  <c r="B109" i="11"/>
  <c r="C108" i="11"/>
  <c r="D109" i="11" l="1"/>
  <c r="B110" i="11"/>
  <c r="C109" i="11"/>
  <c r="D110" i="11" l="1"/>
  <c r="C110" i="11"/>
  <c r="B111" i="11"/>
  <c r="D111" i="11" l="1"/>
  <c r="B112" i="11"/>
  <c r="C111" i="11"/>
  <c r="D112" i="11" l="1"/>
  <c r="B113" i="11"/>
  <c r="C112" i="11"/>
  <c r="D113" i="11" l="1"/>
  <c r="B114" i="11"/>
  <c r="C113" i="11"/>
  <c r="B115" i="11" l="1"/>
  <c r="D114" i="11"/>
  <c r="C114" i="11"/>
  <c r="B116" i="11" l="1"/>
  <c r="D115" i="11"/>
  <c r="C115" i="11"/>
  <c r="D116" i="11" l="1"/>
  <c r="B117" i="11"/>
  <c r="C116" i="11"/>
  <c r="D117" i="11" l="1"/>
  <c r="B118" i="11"/>
  <c r="C117" i="11"/>
  <c r="D118" i="11" l="1"/>
  <c r="C118" i="11"/>
  <c r="B119" i="11"/>
  <c r="D119" i="11" l="1"/>
  <c r="B120" i="11"/>
  <c r="C119" i="11"/>
  <c r="D120" i="11" l="1"/>
  <c r="B121" i="11"/>
  <c r="C120" i="11"/>
  <c r="D121" i="11" l="1"/>
  <c r="B122" i="11"/>
  <c r="C121" i="11"/>
  <c r="B123" i="11" l="1"/>
  <c r="D122" i="11"/>
  <c r="C122" i="11"/>
  <c r="B124" i="11" l="1"/>
  <c r="D123" i="11"/>
  <c r="C123" i="11"/>
  <c r="D124" i="11" l="1"/>
  <c r="B125" i="11"/>
  <c r="C124" i="11"/>
  <c r="D125" i="11" l="1"/>
  <c r="B126" i="11"/>
  <c r="C125" i="11"/>
  <c r="D126" i="11" l="1"/>
  <c r="C126" i="11"/>
  <c r="B127" i="11"/>
  <c r="D127" i="11" l="1"/>
  <c r="B128" i="11"/>
  <c r="C127" i="11"/>
  <c r="D128" i="11" l="1"/>
  <c r="B129" i="11"/>
  <c r="C128" i="11"/>
  <c r="D129" i="11" l="1"/>
  <c r="B130" i="11"/>
  <c r="C129" i="11"/>
  <c r="B131" i="11" l="1"/>
  <c r="D130" i="11"/>
  <c r="C130" i="11"/>
  <c r="B132" i="11" l="1"/>
  <c r="C131" i="11"/>
  <c r="D131" i="11"/>
  <c r="D132" i="11" l="1"/>
  <c r="B133" i="11"/>
  <c r="C132" i="11"/>
  <c r="D133" i="11" l="1"/>
  <c r="B134" i="11"/>
  <c r="C133" i="11"/>
  <c r="D134" i="11" l="1"/>
  <c r="C134" i="11"/>
  <c r="B135" i="11"/>
  <c r="D135" i="11" l="1"/>
  <c r="B136" i="11"/>
  <c r="C135" i="11"/>
  <c r="D136" i="11" l="1"/>
  <c r="B137" i="11"/>
  <c r="C136" i="11"/>
  <c r="D137" i="11" l="1"/>
  <c r="B138" i="11"/>
  <c r="C137" i="11"/>
  <c r="B139" i="11" l="1"/>
  <c r="D138" i="11"/>
  <c r="C138" i="11"/>
  <c r="B140" i="11" l="1"/>
  <c r="C139" i="11"/>
  <c r="D139" i="11"/>
  <c r="D140" i="11" l="1"/>
  <c r="B141" i="11"/>
  <c r="C140" i="11"/>
  <c r="D141" i="11" l="1"/>
  <c r="B142" i="11"/>
  <c r="C141" i="11"/>
  <c r="D142" i="11" l="1"/>
  <c r="C142" i="11"/>
  <c r="B143" i="11"/>
  <c r="D143" i="11" l="1"/>
  <c r="B144" i="11"/>
  <c r="C143" i="11"/>
  <c r="D144" i="11" l="1"/>
  <c r="B145" i="11"/>
  <c r="C144" i="11"/>
  <c r="D145" i="11" l="1"/>
  <c r="B146" i="11"/>
  <c r="C145" i="11"/>
  <c r="B147" i="11" l="1"/>
  <c r="D146" i="11"/>
  <c r="C146" i="11"/>
  <c r="B148" i="11" l="1"/>
  <c r="C147" i="11"/>
  <c r="D147" i="11"/>
  <c r="D148" i="11" l="1"/>
  <c r="B149" i="11"/>
  <c r="C148" i="11"/>
  <c r="D149" i="11" l="1"/>
  <c r="B150" i="11"/>
  <c r="C149" i="11"/>
  <c r="D150" i="11" l="1"/>
  <c r="C150" i="11"/>
  <c r="B151" i="11"/>
  <c r="D151" i="11" l="1"/>
  <c r="B152" i="11"/>
  <c r="C151" i="11"/>
  <c r="D152" i="11" l="1"/>
  <c r="B153" i="11"/>
  <c r="C152" i="11"/>
  <c r="D153" i="11" l="1"/>
  <c r="B154" i="11"/>
  <c r="C153" i="11"/>
  <c r="B155" i="11" l="1"/>
  <c r="D154" i="11"/>
  <c r="C154" i="11"/>
  <c r="B156" i="11" l="1"/>
  <c r="D155" i="11"/>
  <c r="C155" i="11"/>
  <c r="D156" i="11" l="1"/>
  <c r="B157" i="11"/>
  <c r="C156" i="11"/>
  <c r="D157" i="11" l="1"/>
  <c r="B158" i="11"/>
  <c r="C157" i="11"/>
  <c r="D158" i="11" l="1"/>
  <c r="C158" i="11"/>
  <c r="B159" i="11"/>
  <c r="D159" i="11" l="1"/>
  <c r="B160" i="11"/>
  <c r="C159" i="11"/>
  <c r="D160" i="11" l="1"/>
  <c r="B161" i="11"/>
  <c r="C160" i="11"/>
  <c r="D161" i="11" l="1"/>
  <c r="B162" i="11"/>
  <c r="C161" i="11"/>
  <c r="B163" i="11" l="1"/>
  <c r="D162" i="11"/>
  <c r="C162" i="11"/>
  <c r="B164" i="11" l="1"/>
  <c r="D163" i="11"/>
  <c r="C163" i="11"/>
  <c r="D164" i="11" l="1"/>
  <c r="B165" i="11"/>
  <c r="C164" i="11"/>
  <c r="D165" i="11" l="1"/>
  <c r="B166" i="11"/>
  <c r="C165" i="11"/>
  <c r="D166" i="11" l="1"/>
  <c r="C166" i="11"/>
  <c r="B167" i="11"/>
  <c r="D167" i="11" l="1"/>
  <c r="B168" i="11"/>
  <c r="C167" i="11"/>
  <c r="D168" i="11" l="1"/>
  <c r="B169" i="11"/>
  <c r="C168" i="11"/>
  <c r="D169" i="11" l="1"/>
  <c r="B170" i="11"/>
  <c r="C169" i="11"/>
  <c r="B171" i="11" l="1"/>
  <c r="D170" i="11"/>
  <c r="C170" i="11"/>
  <c r="B172" i="11" l="1"/>
  <c r="D171" i="11"/>
  <c r="C171" i="11"/>
  <c r="D172" i="11" l="1"/>
  <c r="B173" i="11"/>
  <c r="C172" i="11"/>
  <c r="D173" i="11" l="1"/>
  <c r="B174" i="11"/>
  <c r="C173" i="11"/>
  <c r="D174" i="11" l="1"/>
  <c r="C174" i="11"/>
  <c r="B175" i="11"/>
  <c r="D175" i="11" l="1"/>
  <c r="B176" i="11"/>
  <c r="C175" i="11"/>
  <c r="D176" i="11" l="1"/>
  <c r="B177" i="11"/>
  <c r="C176" i="11"/>
  <c r="D177" i="11" l="1"/>
  <c r="B178" i="11"/>
  <c r="C177" i="11"/>
  <c r="B179" i="11" l="1"/>
  <c r="D178" i="11"/>
  <c r="C178" i="11"/>
  <c r="B180" i="11" l="1"/>
  <c r="D179" i="11"/>
  <c r="C179" i="11"/>
  <c r="D180" i="11" l="1"/>
  <c r="B181" i="11"/>
  <c r="C180" i="11"/>
  <c r="D181" i="11" l="1"/>
  <c r="B182" i="11"/>
  <c r="C181" i="11"/>
  <c r="D182" i="11" l="1"/>
  <c r="C182" i="11"/>
  <c r="B183" i="11"/>
  <c r="D183" i="11" l="1"/>
  <c r="B184" i="11"/>
  <c r="C183" i="11"/>
  <c r="D184" i="11" l="1"/>
  <c r="B185" i="11"/>
  <c r="C184" i="11"/>
  <c r="D185" i="11" l="1"/>
  <c r="B186" i="11"/>
  <c r="C185" i="11"/>
  <c r="B187" i="11" l="1"/>
  <c r="D186" i="11"/>
  <c r="C186" i="11"/>
  <c r="B188" i="11" l="1"/>
  <c r="D187" i="11"/>
  <c r="C187" i="11"/>
  <c r="D188" i="11" l="1"/>
  <c r="B189" i="11"/>
  <c r="C188" i="11"/>
  <c r="D189" i="11" l="1"/>
  <c r="B190" i="11"/>
  <c r="C189" i="11"/>
  <c r="D190" i="11" l="1"/>
  <c r="C190" i="11"/>
  <c r="B191" i="11"/>
  <c r="D191" i="11" l="1"/>
  <c r="B192" i="11"/>
  <c r="C191" i="11"/>
  <c r="D192" i="11" l="1"/>
  <c r="B193" i="11"/>
  <c r="C192" i="11"/>
  <c r="D193" i="11" l="1"/>
  <c r="B194" i="11"/>
  <c r="C193" i="11"/>
  <c r="B195" i="11" l="1"/>
  <c r="D194" i="11"/>
  <c r="C194" i="11"/>
  <c r="B196" i="11" l="1"/>
  <c r="C195" i="11"/>
  <c r="D195" i="11"/>
  <c r="D196" i="11" l="1"/>
  <c r="B197" i="11"/>
  <c r="C196" i="11"/>
  <c r="D197" i="11" l="1"/>
  <c r="B198" i="11"/>
  <c r="C197" i="11"/>
  <c r="D198" i="11" l="1"/>
  <c r="C198" i="11"/>
  <c r="B199" i="11"/>
  <c r="D199" i="11" l="1"/>
  <c r="B200" i="11"/>
  <c r="C199" i="11"/>
  <c r="D200" i="11" l="1"/>
  <c r="B201" i="11"/>
  <c r="C200" i="11"/>
  <c r="D201" i="11" l="1"/>
  <c r="B202" i="11"/>
  <c r="C201" i="11"/>
  <c r="B203" i="11" l="1"/>
  <c r="D202" i="11"/>
  <c r="C202" i="11"/>
  <c r="B204" i="11" l="1"/>
  <c r="C203" i="11"/>
  <c r="D203" i="11"/>
  <c r="D204" i="11" l="1"/>
  <c r="B205" i="11"/>
  <c r="C204" i="11"/>
  <c r="D205" i="11" l="1"/>
  <c r="B206" i="11"/>
  <c r="C205" i="11"/>
  <c r="D206" i="11" l="1"/>
  <c r="C206" i="11"/>
  <c r="B207" i="11"/>
  <c r="D207" i="11" l="1"/>
  <c r="B208" i="11"/>
  <c r="C207" i="11"/>
  <c r="D208" i="11" l="1"/>
  <c r="C208" i="11"/>
</calcChain>
</file>

<file path=xl/sharedStrings.xml><?xml version="1.0" encoding="utf-8"?>
<sst xmlns="http://schemas.openxmlformats.org/spreadsheetml/2006/main" count="29" uniqueCount="22">
  <si>
    <t>Spot</t>
  </si>
  <si>
    <t>risk free</t>
  </si>
  <si>
    <t>T</t>
  </si>
  <si>
    <t>BS</t>
  </si>
  <si>
    <t>CRR</t>
  </si>
  <si>
    <t>Preços</t>
  </si>
  <si>
    <t>Prob(subir)</t>
  </si>
  <si>
    <t>Vol</t>
  </si>
  <si>
    <t>Sigma</t>
  </si>
  <si>
    <t>Arrow Debreu (lâmbdas)</t>
  </si>
  <si>
    <t>True</t>
  </si>
  <si>
    <t>Erro Quad</t>
  </si>
  <si>
    <t xml:space="preserve">Cupom </t>
  </si>
  <si>
    <t>upside</t>
  </si>
  <si>
    <t>Downside</t>
  </si>
  <si>
    <t>KI down</t>
  </si>
  <si>
    <t>Long</t>
  </si>
  <si>
    <t>Auto call</t>
  </si>
  <si>
    <t>DK</t>
  </si>
  <si>
    <t>Strike</t>
  </si>
  <si>
    <t>Calls/puts Mkt</t>
  </si>
  <si>
    <t>Arrow Debreu (Prob cenários descontados pelo juros)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</si>
</sst>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.0_-;\-* #,##0.0_-;_-* &quot;-&quot;??_-;_-@_-"/>
    <numFmt numFmtId="165" formatCode="0.0"/>
    <numFmt numFmtId="166" formatCode="_-* #,##0.00000_-;\-* #,##0.00000_-;_-* &quot;-&quot;?_-;_-@_-"/>
    <numFmt numFmtId="167" formatCode="_-* #,##0.00000_-;\-* #,##0.00000_-;_-* &quot;-&quot;??_-;_-@_-"/>
    <numFmt numFmtId="168" formatCode="0.00000"/>
    <numFmt numFmtId="169" formatCode="_-* #,##0.0_-;\-* #,##0.0_-;_-* &quot;-&quot;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165" fontId="0" fillId="4" borderId="0" xfId="0" applyNumberFormat="1" applyFill="1"/>
    <xf numFmtId="164" fontId="0" fillId="4" borderId="0" xfId="1" applyNumberFormat="1" applyFont="1" applyFill="1" applyBorder="1"/>
    <xf numFmtId="2" fontId="0" fillId="4" borderId="0" xfId="0" applyNumberFormat="1" applyFill="1"/>
    <xf numFmtId="0" fontId="0" fillId="3" borderId="0" xfId="0" applyFill="1"/>
    <xf numFmtId="10" fontId="0" fillId="4" borderId="0" xfId="2" applyNumberFormat="1" applyFont="1" applyFill="1"/>
    <xf numFmtId="43" fontId="0" fillId="4" borderId="0" xfId="1" applyFont="1" applyFill="1"/>
    <xf numFmtId="164" fontId="0" fillId="5" borderId="0" xfId="1" applyNumberFormat="1" applyFont="1" applyFill="1" applyBorder="1"/>
    <xf numFmtId="165" fontId="0" fillId="5" borderId="0" xfId="0" applyNumberFormat="1" applyFill="1"/>
    <xf numFmtId="43" fontId="0" fillId="5" borderId="0" xfId="1" applyFont="1" applyFill="1" applyBorder="1"/>
    <xf numFmtId="166" fontId="0" fillId="2" borderId="0" xfId="0" applyNumberFormat="1" applyFill="1"/>
    <xf numFmtId="167" fontId="0" fillId="2" borderId="0" xfId="0" applyNumberFormat="1" applyFill="1"/>
    <xf numFmtId="168" fontId="0" fillId="2" borderId="0" xfId="0" applyNumberFormat="1" applyFill="1"/>
    <xf numFmtId="43" fontId="0" fillId="4" borderId="0" xfId="1" applyFont="1" applyFill="1" applyBorder="1"/>
    <xf numFmtId="0" fontId="0" fillId="8" borderId="0" xfId="0" applyFill="1"/>
    <xf numFmtId="9" fontId="0" fillId="8" borderId="0" xfId="0" applyNumberFormat="1" applyFill="1"/>
    <xf numFmtId="164" fontId="0" fillId="8" borderId="0" xfId="1" applyNumberFormat="1" applyFont="1" applyFill="1" applyBorder="1"/>
    <xf numFmtId="165" fontId="0" fillId="8" borderId="0" xfId="0" applyNumberFormat="1" applyFill="1"/>
    <xf numFmtId="165" fontId="3" fillId="8" borderId="0" xfId="0" applyNumberFormat="1" applyFont="1" applyFill="1"/>
    <xf numFmtId="165" fontId="0" fillId="8" borderId="0" xfId="1" applyNumberFormat="1" applyFont="1" applyFill="1" applyBorder="1"/>
    <xf numFmtId="164" fontId="3" fillId="8" borderId="0" xfId="1" applyNumberFormat="1" applyFont="1" applyFill="1" applyBorder="1"/>
    <xf numFmtId="164" fontId="0" fillId="8" borderId="0" xfId="0" applyNumberFormat="1" applyFill="1"/>
    <xf numFmtId="0" fontId="3" fillId="2" borderId="0" xfId="0" applyFont="1" applyFill="1"/>
    <xf numFmtId="165" fontId="0" fillId="2" borderId="0" xfId="0" applyNumberFormat="1" applyFill="1"/>
    <xf numFmtId="169" fontId="0" fillId="2" borderId="0" xfId="0" applyNumberFormat="1" applyFill="1"/>
    <xf numFmtId="0" fontId="5" fillId="9" borderId="0" xfId="0" applyFont="1" applyFill="1"/>
    <xf numFmtId="0" fontId="5" fillId="7" borderId="0" xfId="0" applyFont="1" applyFill="1"/>
    <xf numFmtId="0" fontId="5" fillId="6" borderId="0" xfId="0" applyFont="1" applyFill="1"/>
    <xf numFmtId="0" fontId="0" fillId="3" borderId="0" xfId="0" applyFill="1" applyAlignment="1">
      <alignment horizontal="center"/>
    </xf>
    <xf numFmtId="0" fontId="5" fillId="6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2.xml"/><Relationship Id="rId10" Type="http://schemas.openxmlformats.org/officeDocument/2006/relationships/styles" Target="styles.xml"/><Relationship Id="rId4" Type="http://schemas.openxmlformats.org/officeDocument/2006/relationships/chartsheet" Target="chartsheets/sheet1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Trajetórias!$B$3:$F$3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122.30556136754093</c:v>
                </c:pt>
                <c:pt idx="2">
                  <c:v>149.58650341429322</c:v>
                </c:pt>
                <c:pt idx="3">
                  <c:v>182.95261273092711</c:v>
                </c:pt>
                <c:pt idx="4">
                  <c:v>223.76122003714357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7B-4DDD-930B-7861264B2071}"/>
            </c:ext>
          </c:extLst>
        </c:ser>
        <c:ser>
          <c:idx val="1"/>
          <c:order val="1"/>
          <c:spPr>
            <a:ln>
              <a:solidFill>
                <a:schemeClr val="tx2"/>
              </a:solidFill>
            </a:ln>
          </c:spPr>
          <c:marker>
            <c:symbol val="none"/>
          </c:marker>
          <c:val>
            <c:numRef>
              <c:f>Trajetórias!$B$4:$F$4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122.30556136754093</c:v>
                </c:pt>
                <c:pt idx="2">
                  <c:v>149.58650341429322</c:v>
                </c:pt>
                <c:pt idx="3">
                  <c:v>182.95261273092711</c:v>
                </c:pt>
                <c:pt idx="4">
                  <c:v>149.58650341429322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7B-4DDD-930B-7861264B2071}"/>
            </c:ext>
          </c:extLst>
        </c:ser>
        <c:ser>
          <c:idx val="2"/>
          <c:order val="2"/>
          <c:marker>
            <c:symbol val="none"/>
          </c:marker>
          <c:val>
            <c:numRef>
              <c:f>Trajetórias!$B$5:$F$5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122.30556136754093</c:v>
                </c:pt>
                <c:pt idx="2">
                  <c:v>149.58650341429322</c:v>
                </c:pt>
                <c:pt idx="3">
                  <c:v>122.30556136754093</c:v>
                </c:pt>
                <c:pt idx="4">
                  <c:v>149.58650341429322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7B-4DDD-930B-7861264B2071}"/>
            </c:ext>
          </c:extLst>
        </c:ser>
        <c:ser>
          <c:idx val="3"/>
          <c:order val="3"/>
          <c:marker>
            <c:symbol val="none"/>
          </c:marker>
          <c:val>
            <c:numRef>
              <c:f>Trajetórias!$B$6:$F$6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122.30556136754093</c:v>
                </c:pt>
                <c:pt idx="2">
                  <c:v>149.58650341429322</c:v>
                </c:pt>
                <c:pt idx="3">
                  <c:v>122.30556136754093</c:v>
                </c:pt>
                <c:pt idx="4">
                  <c:v>149.58650341429322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7B-4DDD-930B-7861264B2071}"/>
            </c:ext>
          </c:extLst>
        </c:ser>
        <c:ser>
          <c:idx val="4"/>
          <c:order val="4"/>
          <c:spPr>
            <a:ln>
              <a:solidFill>
                <a:schemeClr val="tx2"/>
              </a:solidFill>
            </a:ln>
          </c:spPr>
          <c:marker>
            <c:symbol val="none"/>
          </c:marker>
          <c:val>
            <c:numRef>
              <c:f>Trajetórias!$B$7:$F$7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122.30556136754093</c:v>
                </c:pt>
                <c:pt idx="2">
                  <c:v>100</c:v>
                </c:pt>
                <c:pt idx="3">
                  <c:v>122.30556136754093</c:v>
                </c:pt>
                <c:pt idx="4">
                  <c:v>149.58650341429322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7B-4DDD-930B-7861264B2071}"/>
            </c:ext>
          </c:extLst>
        </c:ser>
        <c:ser>
          <c:idx val="5"/>
          <c:order val="5"/>
          <c:marker>
            <c:symbol val="none"/>
          </c:marker>
          <c:val>
            <c:numRef>
              <c:f>Trajetórias!$B$8:$F$8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122.30556136754093</c:v>
                </c:pt>
                <c:pt idx="2">
                  <c:v>100</c:v>
                </c:pt>
                <c:pt idx="3">
                  <c:v>122.30556136754093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7B-4DDD-930B-7861264B2071}"/>
            </c:ext>
          </c:extLst>
        </c:ser>
        <c:ser>
          <c:idx val="6"/>
          <c:order val="6"/>
          <c:marker>
            <c:symbol val="none"/>
          </c:marker>
          <c:val>
            <c:numRef>
              <c:f>Trajetórias!$B$9:$F$9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122.30556136754093</c:v>
                </c:pt>
                <c:pt idx="2">
                  <c:v>100</c:v>
                </c:pt>
                <c:pt idx="3">
                  <c:v>122.30556136754093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7B-4DDD-930B-7861264B2071}"/>
            </c:ext>
          </c:extLst>
        </c:ser>
        <c:ser>
          <c:idx val="7"/>
          <c:order val="7"/>
          <c:spPr>
            <a:ln>
              <a:solidFill>
                <a:schemeClr val="tx2"/>
              </a:solidFill>
            </a:ln>
          </c:spPr>
          <c:marker>
            <c:symbol val="none"/>
          </c:marker>
          <c:val>
            <c:numRef>
              <c:f>Trajetórias!$B$10:$F$10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122.30556136754093</c:v>
                </c:pt>
                <c:pt idx="2">
                  <c:v>100</c:v>
                </c:pt>
                <c:pt idx="3">
                  <c:v>122.30556136754093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C7B-4DDD-930B-7861264B2071}"/>
            </c:ext>
          </c:extLst>
        </c:ser>
        <c:ser>
          <c:idx val="8"/>
          <c:order val="8"/>
          <c:spPr>
            <a:ln>
              <a:solidFill>
                <a:schemeClr val="tx2"/>
              </a:solidFill>
            </a:ln>
          </c:spPr>
          <c:marker>
            <c:symbol val="none"/>
          </c:marker>
          <c:val>
            <c:numRef>
              <c:f>Trajetórias!$B$11:$F$11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81.762430818243487</c:v>
                </c:pt>
                <c:pt idx="2">
                  <c:v>100</c:v>
                </c:pt>
                <c:pt idx="3">
                  <c:v>81.762430818243487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C7B-4DDD-930B-7861264B2071}"/>
            </c:ext>
          </c:extLst>
        </c:ser>
        <c:ser>
          <c:idx val="9"/>
          <c:order val="9"/>
          <c:spPr>
            <a:ln>
              <a:solidFill>
                <a:schemeClr val="tx2"/>
              </a:solidFill>
            </a:ln>
          </c:spPr>
          <c:marker>
            <c:symbol val="none"/>
          </c:marker>
          <c:val>
            <c:numRef>
              <c:f>Trajetórias!$B$12:$F$12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81.762430818243487</c:v>
                </c:pt>
                <c:pt idx="2">
                  <c:v>100</c:v>
                </c:pt>
                <c:pt idx="3">
                  <c:v>81.762430818243487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C7B-4DDD-930B-7861264B2071}"/>
            </c:ext>
          </c:extLst>
        </c:ser>
        <c:ser>
          <c:idx val="10"/>
          <c:order val="10"/>
          <c:spPr>
            <a:ln>
              <a:solidFill>
                <a:schemeClr val="tx2"/>
              </a:solidFill>
            </a:ln>
          </c:spPr>
          <c:marker>
            <c:symbol val="none"/>
          </c:marker>
          <c:val>
            <c:numRef>
              <c:f>Trajetórias!$B$13:$F$13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81.762430818243487</c:v>
                </c:pt>
                <c:pt idx="2">
                  <c:v>100</c:v>
                </c:pt>
                <c:pt idx="3">
                  <c:v>81.762430818243487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C7B-4DDD-930B-7861264B2071}"/>
            </c:ext>
          </c:extLst>
        </c:ser>
        <c:ser>
          <c:idx val="11"/>
          <c:order val="11"/>
          <c:spPr>
            <a:ln>
              <a:solidFill>
                <a:schemeClr val="tx2"/>
              </a:solidFill>
            </a:ln>
          </c:spPr>
          <c:marker>
            <c:symbol val="none"/>
          </c:marker>
          <c:val>
            <c:numRef>
              <c:f>Trajetórias!$B$14:$F$14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81.762430818243487</c:v>
                </c:pt>
                <c:pt idx="2">
                  <c:v>100</c:v>
                </c:pt>
                <c:pt idx="3">
                  <c:v>81.762430818243487</c:v>
                </c:pt>
                <c:pt idx="4">
                  <c:v>66.850950933080526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C7B-4DDD-930B-7861264B2071}"/>
            </c:ext>
          </c:extLst>
        </c:ser>
        <c:ser>
          <c:idx val="12"/>
          <c:order val="12"/>
          <c:marker>
            <c:symbol val="none"/>
          </c:marker>
          <c:val>
            <c:numRef>
              <c:f>Trajetórias!$B$15:$F$15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81.762430818243487</c:v>
                </c:pt>
                <c:pt idx="2">
                  <c:v>66.850950933080526</c:v>
                </c:pt>
                <c:pt idx="3">
                  <c:v>81.762430818243487</c:v>
                </c:pt>
                <c:pt idx="4">
                  <c:v>66.850950933080526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C7B-4DDD-930B-7861264B2071}"/>
            </c:ext>
          </c:extLst>
        </c:ser>
        <c:ser>
          <c:idx val="13"/>
          <c:order val="13"/>
          <c:spPr>
            <a:ln>
              <a:solidFill>
                <a:schemeClr val="tx2"/>
              </a:solidFill>
            </a:ln>
          </c:spPr>
          <c:marker>
            <c:symbol val="none"/>
          </c:marker>
          <c:val>
            <c:numRef>
              <c:f>Trajetórias!$B$16:$F$16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81.762430818243487</c:v>
                </c:pt>
                <c:pt idx="2">
                  <c:v>66.850950933080526</c:v>
                </c:pt>
                <c:pt idx="3">
                  <c:v>81.762430818243487</c:v>
                </c:pt>
                <c:pt idx="4">
                  <c:v>66.850950933080526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C7B-4DDD-930B-7861264B2071}"/>
            </c:ext>
          </c:extLst>
        </c:ser>
        <c:ser>
          <c:idx val="14"/>
          <c:order val="14"/>
          <c:spPr>
            <a:ln>
              <a:solidFill>
                <a:schemeClr val="tx2"/>
              </a:solidFill>
            </a:ln>
          </c:spPr>
          <c:marker>
            <c:symbol val="none"/>
          </c:marker>
          <c:val>
            <c:numRef>
              <c:f>Trajetórias!$B$17:$F$17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81.762430818243487</c:v>
                </c:pt>
                <c:pt idx="2">
                  <c:v>66.850950933080526</c:v>
                </c:pt>
                <c:pt idx="3">
                  <c:v>54.65896250799787</c:v>
                </c:pt>
                <c:pt idx="4">
                  <c:v>66.850950933080526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C7B-4DDD-930B-7861264B2071}"/>
            </c:ext>
          </c:extLst>
        </c:ser>
        <c:ser>
          <c:idx val="15"/>
          <c:order val="15"/>
          <c:spPr>
            <a:ln>
              <a:solidFill>
                <a:schemeClr val="tx2"/>
              </a:solidFill>
            </a:ln>
          </c:spPr>
          <c:marker>
            <c:symbol val="none"/>
          </c:marker>
          <c:val>
            <c:numRef>
              <c:f>Trajetórias!$B$18:$F$18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81.762430818243487</c:v>
                </c:pt>
                <c:pt idx="2">
                  <c:v>66.850950933080526</c:v>
                </c:pt>
                <c:pt idx="3">
                  <c:v>54.65896250799787</c:v>
                </c:pt>
                <c:pt idx="4">
                  <c:v>44.690496406571405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C7B-4DDD-930B-7861264B2071}"/>
            </c:ext>
          </c:extLst>
        </c:ser>
        <c:ser>
          <c:idx val="16"/>
          <c:order val="16"/>
          <c:spPr>
            <a:ln>
              <a:solidFill>
                <a:srgbClr val="C00000"/>
              </a:solidFill>
            </a:ln>
          </c:spPr>
          <c:marker>
            <c:symbol val="none"/>
          </c:marker>
          <c:val>
            <c:numRef>
              <c:f>Trajetórias!$H$3:$L$3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117.30012812553579</c:v>
                </c:pt>
                <c:pt idx="2">
                  <c:v>141.44482896900968</c:v>
                </c:pt>
                <c:pt idx="3">
                  <c:v>160.50398907556308</c:v>
                </c:pt>
                <c:pt idx="4">
                  <c:v>182.92996910273069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C7B-4DDD-930B-7861264B2071}"/>
            </c:ext>
          </c:extLst>
        </c:ser>
        <c:ser>
          <c:idx val="17"/>
          <c:order val="17"/>
          <c:spPr>
            <a:ln>
              <a:solidFill>
                <a:srgbClr val="C00000"/>
              </a:solidFill>
            </a:ln>
          </c:spPr>
          <c:marker>
            <c:symbol val="none"/>
          </c:marker>
          <c:val>
            <c:numRef>
              <c:f>Trajetórias!$H$4:$L$4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117.30012812553579</c:v>
                </c:pt>
                <c:pt idx="2">
                  <c:v>141.44482896900968</c:v>
                </c:pt>
                <c:pt idx="3">
                  <c:v>160.50398907556308</c:v>
                </c:pt>
                <c:pt idx="4">
                  <c:v>139.0332841750936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C7B-4DDD-930B-7861264B2071}"/>
            </c:ext>
          </c:extLst>
        </c:ser>
        <c:ser>
          <c:idx val="18"/>
          <c:order val="18"/>
          <c:marker>
            <c:symbol val="none"/>
          </c:marker>
          <c:val>
            <c:numRef>
              <c:f>Trajetórias!$H$5:$L$5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117.30012812553579</c:v>
                </c:pt>
                <c:pt idx="2">
                  <c:v>141.44482896900968</c:v>
                </c:pt>
                <c:pt idx="3">
                  <c:v>120.03714912176451</c:v>
                </c:pt>
                <c:pt idx="4">
                  <c:v>139.0332841750936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C7B-4DDD-930B-7861264B2071}"/>
            </c:ext>
          </c:extLst>
        </c:ser>
        <c:ser>
          <c:idx val="19"/>
          <c:order val="19"/>
          <c:spPr>
            <a:ln>
              <a:solidFill>
                <a:srgbClr val="C00000"/>
              </a:solidFill>
            </a:ln>
          </c:spPr>
          <c:marker>
            <c:symbol val="none"/>
          </c:marker>
          <c:val>
            <c:numRef>
              <c:f>Trajetórias!$H$6:$L$6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117.30012812553579</c:v>
                </c:pt>
                <c:pt idx="2">
                  <c:v>141.44482896900968</c:v>
                </c:pt>
                <c:pt idx="3">
                  <c:v>120.03714912176451</c:v>
                </c:pt>
                <c:pt idx="4">
                  <c:v>139.0332841750936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C7B-4DDD-930B-7861264B2071}"/>
            </c:ext>
          </c:extLst>
        </c:ser>
        <c:ser>
          <c:idx val="20"/>
          <c:order val="20"/>
          <c:spPr>
            <a:ln>
              <a:solidFill>
                <a:srgbClr val="C00000"/>
              </a:solidFill>
            </a:ln>
          </c:spPr>
          <c:marker>
            <c:symbol val="none"/>
          </c:marker>
          <c:val>
            <c:numRef>
              <c:f>Trajetórias!$H$7:$L$7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117.30012812553579</c:v>
                </c:pt>
                <c:pt idx="2">
                  <c:v>100</c:v>
                </c:pt>
                <c:pt idx="3">
                  <c:v>120.03714912176451</c:v>
                </c:pt>
                <c:pt idx="4">
                  <c:v>139.0332841750936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C7B-4DDD-930B-7861264B2071}"/>
            </c:ext>
          </c:extLst>
        </c:ser>
        <c:ser>
          <c:idx val="21"/>
          <c:order val="21"/>
          <c:spPr>
            <a:ln>
              <a:solidFill>
                <a:srgbClr val="C00000"/>
              </a:solidFill>
            </a:ln>
          </c:spPr>
          <c:marker>
            <c:symbol val="none"/>
          </c:marker>
          <c:val>
            <c:numRef>
              <c:f>Trajetórias!$H$8:$L$8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117.30012812553579</c:v>
                </c:pt>
                <c:pt idx="2">
                  <c:v>100</c:v>
                </c:pt>
                <c:pt idx="3">
                  <c:v>120.03714912176451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C7B-4DDD-930B-7861264B2071}"/>
            </c:ext>
          </c:extLst>
        </c:ser>
        <c:ser>
          <c:idx val="22"/>
          <c:order val="22"/>
          <c:marker>
            <c:symbol val="none"/>
          </c:marker>
          <c:val>
            <c:numRef>
              <c:f>Trajetórias!$H$9:$L$9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117.30012812553579</c:v>
                </c:pt>
                <c:pt idx="2">
                  <c:v>100</c:v>
                </c:pt>
                <c:pt idx="3">
                  <c:v>120.03714912176451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C7B-4DDD-930B-7861264B2071}"/>
            </c:ext>
          </c:extLst>
        </c:ser>
        <c:ser>
          <c:idx val="23"/>
          <c:order val="23"/>
          <c:spPr>
            <a:ln>
              <a:solidFill>
                <a:srgbClr val="C00000"/>
              </a:solidFill>
            </a:ln>
          </c:spPr>
          <c:marker>
            <c:symbol val="none"/>
          </c:marker>
          <c:val>
            <c:numRef>
              <c:f>Trajetórias!$H$10:$L$10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117.30012812553579</c:v>
                </c:pt>
                <c:pt idx="2">
                  <c:v>100</c:v>
                </c:pt>
                <c:pt idx="3">
                  <c:v>120.03714912176451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C7B-4DDD-930B-7861264B2071}"/>
            </c:ext>
          </c:extLst>
        </c:ser>
        <c:ser>
          <c:idx val="24"/>
          <c:order val="24"/>
          <c:spPr>
            <a:ln>
              <a:solidFill>
                <a:srgbClr val="C00000"/>
              </a:solidFill>
            </a:ln>
          </c:spPr>
          <c:marker>
            <c:symbol val="none"/>
          </c:marker>
          <c:val>
            <c:numRef>
              <c:f>Trajetórias!$H$11:$L$11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85.251398781916919</c:v>
                </c:pt>
                <c:pt idx="2">
                  <c:v>100</c:v>
                </c:pt>
                <c:pt idx="3">
                  <c:v>83.307543316078849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C7B-4DDD-930B-7861264B2071}"/>
            </c:ext>
          </c:extLst>
        </c:ser>
        <c:ser>
          <c:idx val="25"/>
          <c:order val="25"/>
          <c:spPr>
            <a:ln>
              <a:solidFill>
                <a:srgbClr val="C00000"/>
              </a:solidFill>
            </a:ln>
          </c:spPr>
          <c:marker>
            <c:symbol val="none"/>
          </c:marker>
          <c:val>
            <c:numRef>
              <c:f>Trajetórias!$H$12:$L$12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85.251398781916919</c:v>
                </c:pt>
                <c:pt idx="2">
                  <c:v>100</c:v>
                </c:pt>
                <c:pt idx="3">
                  <c:v>83.307543316078849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C7B-4DDD-930B-7861264B2071}"/>
            </c:ext>
          </c:extLst>
        </c:ser>
        <c:ser>
          <c:idx val="26"/>
          <c:order val="26"/>
          <c:spPr>
            <a:ln>
              <a:solidFill>
                <a:srgbClr val="C00000"/>
              </a:solidFill>
            </a:ln>
          </c:spPr>
          <c:marker>
            <c:symbol val="none"/>
          </c:marker>
          <c:val>
            <c:numRef>
              <c:f>Trajetórias!$H$13:$L$13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85.251398781916919</c:v>
                </c:pt>
                <c:pt idx="2">
                  <c:v>100</c:v>
                </c:pt>
                <c:pt idx="3">
                  <c:v>83.307543316078849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0C7B-4DDD-930B-7861264B2071}"/>
            </c:ext>
          </c:extLst>
        </c:ser>
        <c:ser>
          <c:idx val="27"/>
          <c:order val="27"/>
          <c:spPr>
            <a:ln>
              <a:solidFill>
                <a:srgbClr val="C00000"/>
              </a:solidFill>
            </a:ln>
          </c:spPr>
          <c:marker>
            <c:symbol val="none"/>
          </c:marker>
          <c:val>
            <c:numRef>
              <c:f>Trajetórias!$H$14:$L$14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85.251398781916919</c:v>
                </c:pt>
                <c:pt idx="2">
                  <c:v>100</c:v>
                </c:pt>
                <c:pt idx="3">
                  <c:v>83.307543316078849</c:v>
                </c:pt>
                <c:pt idx="4">
                  <c:v>60.657203044398322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0C7B-4DDD-930B-7861264B2071}"/>
            </c:ext>
          </c:extLst>
        </c:ser>
        <c:ser>
          <c:idx val="28"/>
          <c:order val="28"/>
          <c:spPr>
            <a:ln>
              <a:solidFill>
                <a:srgbClr val="C00000"/>
              </a:solidFill>
            </a:ln>
          </c:spPr>
          <c:marker>
            <c:symbol val="none"/>
          </c:marker>
          <c:val>
            <c:numRef>
              <c:f>Trajetórias!$H$15:$L$15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85.251398781916919</c:v>
                </c:pt>
                <c:pt idx="2">
                  <c:v>53.742054028363142</c:v>
                </c:pt>
                <c:pt idx="3">
                  <c:v>83.307543316078849</c:v>
                </c:pt>
                <c:pt idx="4">
                  <c:v>60.657203044398322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0C7B-4DDD-930B-7861264B2071}"/>
            </c:ext>
          </c:extLst>
        </c:ser>
        <c:ser>
          <c:idx val="29"/>
          <c:order val="29"/>
          <c:spPr>
            <a:ln>
              <a:solidFill>
                <a:srgbClr val="C00000"/>
              </a:solidFill>
            </a:ln>
          </c:spPr>
          <c:marker>
            <c:symbol val="none"/>
          </c:marker>
          <c:val>
            <c:numRef>
              <c:f>Trajetórias!$H$16:$L$16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85.251398781916919</c:v>
                </c:pt>
                <c:pt idx="2">
                  <c:v>53.742054028363142</c:v>
                </c:pt>
                <c:pt idx="3">
                  <c:v>83.307543316078849</c:v>
                </c:pt>
                <c:pt idx="4">
                  <c:v>60.657203044398322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0C7B-4DDD-930B-7861264B2071}"/>
            </c:ext>
          </c:extLst>
        </c:ser>
        <c:ser>
          <c:idx val="30"/>
          <c:order val="30"/>
          <c:spPr>
            <a:ln>
              <a:solidFill>
                <a:srgbClr val="C00000"/>
              </a:solidFill>
            </a:ln>
          </c:spPr>
          <c:marker>
            <c:symbol val="none"/>
          </c:marker>
          <c:val>
            <c:numRef>
              <c:f>Trajetórias!$H$17:$L$17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85.251398781916919</c:v>
                </c:pt>
                <c:pt idx="2">
                  <c:v>53.742054028363142</c:v>
                </c:pt>
                <c:pt idx="3">
                  <c:v>42.256165815237701</c:v>
                </c:pt>
                <c:pt idx="4">
                  <c:v>60.657203044398322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0C7B-4DDD-930B-7861264B2071}"/>
            </c:ext>
          </c:extLst>
        </c:ser>
        <c:ser>
          <c:idx val="31"/>
          <c:order val="31"/>
          <c:spPr>
            <a:ln>
              <a:solidFill>
                <a:srgbClr val="C00000"/>
              </a:solidFill>
            </a:ln>
          </c:spPr>
          <c:marker>
            <c:symbol val="none"/>
          </c:marker>
          <c:val>
            <c:numRef>
              <c:f>Trajetórias!$H$18:$L$18</c:f>
              <c:numCache>
                <c:formatCode>0.0</c:formatCode>
                <c:ptCount val="5"/>
                <c:pt idx="0" formatCode="_-* #,##0.0_-;\-* #,##0.0_-;_-* &quot;-&quot;??_-;_-@_-">
                  <c:v>100</c:v>
                </c:pt>
                <c:pt idx="1">
                  <c:v>85.251398781916919</c:v>
                </c:pt>
                <c:pt idx="2">
                  <c:v>53.742054028363142</c:v>
                </c:pt>
                <c:pt idx="3">
                  <c:v>42.256165815237701</c:v>
                </c:pt>
                <c:pt idx="4">
                  <c:v>18.449979053985142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0C7B-4DDD-930B-7861264B2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45696"/>
        <c:axId val="167247232"/>
      </c:lineChart>
      <c:catAx>
        <c:axId val="167245696"/>
        <c:scaling>
          <c:orientation val="minMax"/>
        </c:scaling>
        <c:delete val="0"/>
        <c:axPos val="b"/>
        <c:majorTickMark val="out"/>
        <c:minorTickMark val="none"/>
        <c:tickLblPos val="nextTo"/>
        <c:crossAx val="167247232"/>
        <c:crosses val="autoZero"/>
        <c:auto val="1"/>
        <c:lblAlgn val="ctr"/>
        <c:lblOffset val="100"/>
        <c:noMultiLvlLbl val="0"/>
      </c:catAx>
      <c:valAx>
        <c:axId val="167247232"/>
        <c:scaling>
          <c:orientation val="minMax"/>
        </c:scaling>
        <c:delete val="0"/>
        <c:axPos val="l"/>
        <c:numFmt formatCode="_-* #,##0.0_-;\-* #,##0.0_-;_-* &quot;-&quot;??_-;_-@_-" sourceLinked="1"/>
        <c:majorTickMark val="out"/>
        <c:minorTickMark val="none"/>
        <c:tickLblPos val="nextTo"/>
        <c:crossAx val="167245696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DK</c:v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DK!$F$5:$F$9</c:f>
              <c:numCache>
                <c:formatCode>0.0</c:formatCode>
                <c:ptCount val="5"/>
                <c:pt idx="0">
                  <c:v>182.92996910273069</c:v>
                </c:pt>
                <c:pt idx="1">
                  <c:v>139.0332841750936</c:v>
                </c:pt>
                <c:pt idx="2">
                  <c:v>100</c:v>
                </c:pt>
                <c:pt idx="3">
                  <c:v>60.657203044398322</c:v>
                </c:pt>
                <c:pt idx="4">
                  <c:v>18.449979053985142</c:v>
                </c:pt>
              </c:numCache>
            </c:numRef>
          </c:xVal>
          <c:yVal>
            <c:numRef>
              <c:f>DK!$L$12:$L$16</c:f>
              <c:numCache>
                <c:formatCode>_(* #,##0.00_);_(* \(#,##0.00\);_(* "-"??_);_(@_)</c:formatCode>
                <c:ptCount val="5"/>
                <c:pt idx="0">
                  <c:v>5.5830802075885165E-2</c:v>
                </c:pt>
                <c:pt idx="1">
                  <c:v>0.25587576129542838</c:v>
                </c:pt>
                <c:pt idx="2">
                  <c:v>0.39975681923658385</c:v>
                </c:pt>
                <c:pt idx="3">
                  <c:v>0.21981505491951614</c:v>
                </c:pt>
                <c:pt idx="4">
                  <c:v>4.8920235779341792E-2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EA-459E-8ABF-2031168DBD1B}"/>
            </c:ext>
          </c:extLst>
        </c:ser>
        <c:ser>
          <c:idx val="1"/>
          <c:order val="1"/>
          <c:tx>
            <c:v>CRR</c:v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xVal>
            <c:numRef>
              <c:f>CRR!$F$7:$F$11</c:f>
              <c:numCache>
                <c:formatCode>0.0</c:formatCode>
                <c:ptCount val="5"/>
                <c:pt idx="0">
                  <c:v>223.76122003714357</c:v>
                </c:pt>
                <c:pt idx="1">
                  <c:v>149.58650341429322</c:v>
                </c:pt>
                <c:pt idx="2">
                  <c:v>100</c:v>
                </c:pt>
                <c:pt idx="3">
                  <c:v>66.850950933080526</c:v>
                </c:pt>
                <c:pt idx="4">
                  <c:v>44.690496406571405</c:v>
                </c:pt>
              </c:numCache>
            </c:numRef>
          </c:xVal>
          <c:yVal>
            <c:numRef>
              <c:f>CRR!$L$14:$L$18</c:f>
              <c:numCache>
                <c:formatCode>_(* #,##0.00_);_(* \(#,##0.00\);_(* "-"??_);_(@_)</c:formatCode>
                <c:ptCount val="5"/>
                <c:pt idx="0">
                  <c:v>4.4731562295744494E-2</c:v>
                </c:pt>
                <c:pt idx="1">
                  <c:v>0.20819683479813619</c:v>
                </c:pt>
                <c:pt idx="2">
                  <c:v>0.36338370321200003</c:v>
                </c:pt>
                <c:pt idx="3">
                  <c:v>0.28188648366361352</c:v>
                </c:pt>
                <c:pt idx="4">
                  <c:v>8.2000089337260995E-2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EA-459E-8ABF-2031168DB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288832"/>
        <c:axId val="167290368"/>
      </c:scatterChart>
      <c:valAx>
        <c:axId val="167288832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167290368"/>
        <c:crosses val="autoZero"/>
        <c:crossBetween val="midCat"/>
      </c:valAx>
      <c:valAx>
        <c:axId val="167290368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167288832"/>
        <c:crosses val="autoZero"/>
        <c:crossBetween val="midCat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'Auto Call'!$C$8</c:f>
              <c:strCache>
                <c:ptCount val="1"/>
                <c:pt idx="0">
                  <c:v>Long</c:v>
                </c:pt>
              </c:strCache>
            </c:strRef>
          </c:tx>
          <c:marker>
            <c:symbol val="none"/>
          </c:marker>
          <c:cat>
            <c:numRef>
              <c:f>'Auto Call'!$B$9:$B$208</c:f>
              <c:numCache>
                <c:formatCode>General</c:formatCode>
                <c:ptCount val="200"/>
                <c:pt idx="0">
                  <c:v>50</c:v>
                </c:pt>
                <c:pt idx="1">
                  <c:v>50.5</c:v>
                </c:pt>
                <c:pt idx="2">
                  <c:v>51</c:v>
                </c:pt>
                <c:pt idx="3">
                  <c:v>51.5</c:v>
                </c:pt>
                <c:pt idx="4">
                  <c:v>52</c:v>
                </c:pt>
                <c:pt idx="5">
                  <c:v>52.5</c:v>
                </c:pt>
                <c:pt idx="6">
                  <c:v>53</c:v>
                </c:pt>
                <c:pt idx="7">
                  <c:v>53.5</c:v>
                </c:pt>
                <c:pt idx="8">
                  <c:v>54</c:v>
                </c:pt>
                <c:pt idx="9">
                  <c:v>54.5</c:v>
                </c:pt>
                <c:pt idx="10">
                  <c:v>55</c:v>
                </c:pt>
                <c:pt idx="11">
                  <c:v>55.5</c:v>
                </c:pt>
                <c:pt idx="12">
                  <c:v>56</c:v>
                </c:pt>
                <c:pt idx="13">
                  <c:v>56.5</c:v>
                </c:pt>
                <c:pt idx="14">
                  <c:v>57</c:v>
                </c:pt>
                <c:pt idx="15">
                  <c:v>57.5</c:v>
                </c:pt>
                <c:pt idx="16">
                  <c:v>58</c:v>
                </c:pt>
                <c:pt idx="17">
                  <c:v>58.5</c:v>
                </c:pt>
                <c:pt idx="18">
                  <c:v>59</c:v>
                </c:pt>
                <c:pt idx="19">
                  <c:v>59.5</c:v>
                </c:pt>
                <c:pt idx="20">
                  <c:v>60</c:v>
                </c:pt>
                <c:pt idx="21">
                  <c:v>60.5</c:v>
                </c:pt>
                <c:pt idx="22">
                  <c:v>61</c:v>
                </c:pt>
                <c:pt idx="23">
                  <c:v>61.5</c:v>
                </c:pt>
                <c:pt idx="24">
                  <c:v>62</c:v>
                </c:pt>
                <c:pt idx="25">
                  <c:v>62.5</c:v>
                </c:pt>
                <c:pt idx="26">
                  <c:v>63</c:v>
                </c:pt>
                <c:pt idx="27">
                  <c:v>63.5</c:v>
                </c:pt>
                <c:pt idx="28">
                  <c:v>64</c:v>
                </c:pt>
                <c:pt idx="29">
                  <c:v>64.5</c:v>
                </c:pt>
                <c:pt idx="30">
                  <c:v>65</c:v>
                </c:pt>
                <c:pt idx="31">
                  <c:v>65.5</c:v>
                </c:pt>
                <c:pt idx="32">
                  <c:v>66</c:v>
                </c:pt>
                <c:pt idx="33">
                  <c:v>66.5</c:v>
                </c:pt>
                <c:pt idx="34">
                  <c:v>67</c:v>
                </c:pt>
                <c:pt idx="35">
                  <c:v>67.5</c:v>
                </c:pt>
                <c:pt idx="36">
                  <c:v>68</c:v>
                </c:pt>
                <c:pt idx="37">
                  <c:v>68.5</c:v>
                </c:pt>
                <c:pt idx="38">
                  <c:v>69</c:v>
                </c:pt>
                <c:pt idx="39">
                  <c:v>69.5</c:v>
                </c:pt>
                <c:pt idx="40">
                  <c:v>70</c:v>
                </c:pt>
                <c:pt idx="41">
                  <c:v>70.5</c:v>
                </c:pt>
                <c:pt idx="42">
                  <c:v>71</c:v>
                </c:pt>
                <c:pt idx="43">
                  <c:v>71.5</c:v>
                </c:pt>
                <c:pt idx="44">
                  <c:v>72</c:v>
                </c:pt>
                <c:pt idx="45">
                  <c:v>72.5</c:v>
                </c:pt>
                <c:pt idx="46">
                  <c:v>73</c:v>
                </c:pt>
                <c:pt idx="47">
                  <c:v>73.5</c:v>
                </c:pt>
                <c:pt idx="48">
                  <c:v>74</c:v>
                </c:pt>
                <c:pt idx="49">
                  <c:v>74.5</c:v>
                </c:pt>
                <c:pt idx="50">
                  <c:v>75</c:v>
                </c:pt>
                <c:pt idx="51">
                  <c:v>75.5</c:v>
                </c:pt>
                <c:pt idx="52">
                  <c:v>76</c:v>
                </c:pt>
                <c:pt idx="53">
                  <c:v>76.5</c:v>
                </c:pt>
                <c:pt idx="54">
                  <c:v>77</c:v>
                </c:pt>
                <c:pt idx="55">
                  <c:v>77.5</c:v>
                </c:pt>
                <c:pt idx="56">
                  <c:v>78</c:v>
                </c:pt>
                <c:pt idx="57">
                  <c:v>78.5</c:v>
                </c:pt>
                <c:pt idx="58">
                  <c:v>79</c:v>
                </c:pt>
                <c:pt idx="59">
                  <c:v>79.5</c:v>
                </c:pt>
                <c:pt idx="60">
                  <c:v>80</c:v>
                </c:pt>
                <c:pt idx="61">
                  <c:v>80.5</c:v>
                </c:pt>
                <c:pt idx="62">
                  <c:v>81</c:v>
                </c:pt>
                <c:pt idx="63">
                  <c:v>81.5</c:v>
                </c:pt>
                <c:pt idx="64">
                  <c:v>82</c:v>
                </c:pt>
                <c:pt idx="65">
                  <c:v>82.5</c:v>
                </c:pt>
                <c:pt idx="66">
                  <c:v>83</c:v>
                </c:pt>
                <c:pt idx="67">
                  <c:v>83.5</c:v>
                </c:pt>
                <c:pt idx="68">
                  <c:v>84</c:v>
                </c:pt>
                <c:pt idx="69">
                  <c:v>84.5</c:v>
                </c:pt>
                <c:pt idx="70">
                  <c:v>85</c:v>
                </c:pt>
                <c:pt idx="71">
                  <c:v>85.5</c:v>
                </c:pt>
                <c:pt idx="72">
                  <c:v>86</c:v>
                </c:pt>
                <c:pt idx="73">
                  <c:v>86.5</c:v>
                </c:pt>
                <c:pt idx="74">
                  <c:v>87</c:v>
                </c:pt>
                <c:pt idx="75">
                  <c:v>87.5</c:v>
                </c:pt>
                <c:pt idx="76">
                  <c:v>88</c:v>
                </c:pt>
                <c:pt idx="77">
                  <c:v>88.5</c:v>
                </c:pt>
                <c:pt idx="78">
                  <c:v>89</c:v>
                </c:pt>
                <c:pt idx="79">
                  <c:v>89.5</c:v>
                </c:pt>
                <c:pt idx="80">
                  <c:v>90</c:v>
                </c:pt>
                <c:pt idx="81">
                  <c:v>90.5</c:v>
                </c:pt>
                <c:pt idx="82">
                  <c:v>91</c:v>
                </c:pt>
                <c:pt idx="83">
                  <c:v>91.5</c:v>
                </c:pt>
                <c:pt idx="84">
                  <c:v>92</c:v>
                </c:pt>
                <c:pt idx="85">
                  <c:v>92.5</c:v>
                </c:pt>
                <c:pt idx="86">
                  <c:v>93</c:v>
                </c:pt>
                <c:pt idx="87">
                  <c:v>93.5</c:v>
                </c:pt>
                <c:pt idx="88">
                  <c:v>94</c:v>
                </c:pt>
                <c:pt idx="89">
                  <c:v>94.5</c:v>
                </c:pt>
                <c:pt idx="90">
                  <c:v>95</c:v>
                </c:pt>
                <c:pt idx="91">
                  <c:v>95.5</c:v>
                </c:pt>
                <c:pt idx="92">
                  <c:v>96</c:v>
                </c:pt>
                <c:pt idx="93">
                  <c:v>96.5</c:v>
                </c:pt>
                <c:pt idx="94">
                  <c:v>97</c:v>
                </c:pt>
                <c:pt idx="95">
                  <c:v>97.5</c:v>
                </c:pt>
                <c:pt idx="96">
                  <c:v>98</c:v>
                </c:pt>
                <c:pt idx="97">
                  <c:v>98.5</c:v>
                </c:pt>
                <c:pt idx="98">
                  <c:v>99</c:v>
                </c:pt>
                <c:pt idx="99">
                  <c:v>99.5</c:v>
                </c:pt>
                <c:pt idx="100">
                  <c:v>100</c:v>
                </c:pt>
                <c:pt idx="101">
                  <c:v>100.5</c:v>
                </c:pt>
                <c:pt idx="102">
                  <c:v>101</c:v>
                </c:pt>
                <c:pt idx="103">
                  <c:v>101.5</c:v>
                </c:pt>
                <c:pt idx="104">
                  <c:v>102</c:v>
                </c:pt>
                <c:pt idx="105">
                  <c:v>102.5</c:v>
                </c:pt>
                <c:pt idx="106">
                  <c:v>103</c:v>
                </c:pt>
                <c:pt idx="107">
                  <c:v>103.5</c:v>
                </c:pt>
                <c:pt idx="108">
                  <c:v>104</c:v>
                </c:pt>
                <c:pt idx="109">
                  <c:v>104.5</c:v>
                </c:pt>
                <c:pt idx="110">
                  <c:v>105</c:v>
                </c:pt>
                <c:pt idx="111">
                  <c:v>105.5</c:v>
                </c:pt>
                <c:pt idx="112">
                  <c:v>106</c:v>
                </c:pt>
                <c:pt idx="113">
                  <c:v>106.5</c:v>
                </c:pt>
                <c:pt idx="114">
                  <c:v>107</c:v>
                </c:pt>
                <c:pt idx="115">
                  <c:v>107.5</c:v>
                </c:pt>
                <c:pt idx="116">
                  <c:v>108</c:v>
                </c:pt>
                <c:pt idx="117">
                  <c:v>108.5</c:v>
                </c:pt>
                <c:pt idx="118">
                  <c:v>109</c:v>
                </c:pt>
                <c:pt idx="119">
                  <c:v>109.5</c:v>
                </c:pt>
                <c:pt idx="120">
                  <c:v>110</c:v>
                </c:pt>
                <c:pt idx="121">
                  <c:v>110.5</c:v>
                </c:pt>
                <c:pt idx="122">
                  <c:v>111</c:v>
                </c:pt>
                <c:pt idx="123">
                  <c:v>111.5</c:v>
                </c:pt>
                <c:pt idx="124">
                  <c:v>112</c:v>
                </c:pt>
                <c:pt idx="125">
                  <c:v>112.5</c:v>
                </c:pt>
                <c:pt idx="126">
                  <c:v>113</c:v>
                </c:pt>
                <c:pt idx="127">
                  <c:v>113.5</c:v>
                </c:pt>
                <c:pt idx="128">
                  <c:v>114</c:v>
                </c:pt>
                <c:pt idx="129">
                  <c:v>114.5</c:v>
                </c:pt>
                <c:pt idx="130">
                  <c:v>115</c:v>
                </c:pt>
                <c:pt idx="131">
                  <c:v>115.5</c:v>
                </c:pt>
                <c:pt idx="132">
                  <c:v>116</c:v>
                </c:pt>
                <c:pt idx="133">
                  <c:v>116.5</c:v>
                </c:pt>
                <c:pt idx="134">
                  <c:v>117</c:v>
                </c:pt>
                <c:pt idx="135">
                  <c:v>117.5</c:v>
                </c:pt>
                <c:pt idx="136">
                  <c:v>118</c:v>
                </c:pt>
                <c:pt idx="137">
                  <c:v>118.5</c:v>
                </c:pt>
                <c:pt idx="138">
                  <c:v>119</c:v>
                </c:pt>
                <c:pt idx="139">
                  <c:v>119.5</c:v>
                </c:pt>
                <c:pt idx="140">
                  <c:v>120</c:v>
                </c:pt>
                <c:pt idx="141">
                  <c:v>120.5</c:v>
                </c:pt>
                <c:pt idx="142">
                  <c:v>121</c:v>
                </c:pt>
                <c:pt idx="143">
                  <c:v>121.5</c:v>
                </c:pt>
                <c:pt idx="144">
                  <c:v>122</c:v>
                </c:pt>
                <c:pt idx="145">
                  <c:v>122.5</c:v>
                </c:pt>
                <c:pt idx="146">
                  <c:v>123</c:v>
                </c:pt>
                <c:pt idx="147">
                  <c:v>123.5</c:v>
                </c:pt>
                <c:pt idx="148">
                  <c:v>124</c:v>
                </c:pt>
                <c:pt idx="149">
                  <c:v>124.5</c:v>
                </c:pt>
                <c:pt idx="150">
                  <c:v>125</c:v>
                </c:pt>
                <c:pt idx="151">
                  <c:v>125.5</c:v>
                </c:pt>
                <c:pt idx="152">
                  <c:v>126</c:v>
                </c:pt>
                <c:pt idx="153">
                  <c:v>126.5</c:v>
                </c:pt>
                <c:pt idx="154">
                  <c:v>127</c:v>
                </c:pt>
                <c:pt idx="155">
                  <c:v>127.5</c:v>
                </c:pt>
                <c:pt idx="156">
                  <c:v>128</c:v>
                </c:pt>
                <c:pt idx="157">
                  <c:v>128.5</c:v>
                </c:pt>
                <c:pt idx="158">
                  <c:v>129</c:v>
                </c:pt>
                <c:pt idx="159">
                  <c:v>129.5</c:v>
                </c:pt>
                <c:pt idx="160">
                  <c:v>130</c:v>
                </c:pt>
                <c:pt idx="161">
                  <c:v>130.5</c:v>
                </c:pt>
                <c:pt idx="162">
                  <c:v>131</c:v>
                </c:pt>
                <c:pt idx="163">
                  <c:v>131.5</c:v>
                </c:pt>
                <c:pt idx="164">
                  <c:v>132</c:v>
                </c:pt>
                <c:pt idx="165">
                  <c:v>132.5</c:v>
                </c:pt>
                <c:pt idx="166">
                  <c:v>133</c:v>
                </c:pt>
                <c:pt idx="167">
                  <c:v>133.5</c:v>
                </c:pt>
                <c:pt idx="168">
                  <c:v>134</c:v>
                </c:pt>
                <c:pt idx="169">
                  <c:v>134.5</c:v>
                </c:pt>
                <c:pt idx="170">
                  <c:v>135</c:v>
                </c:pt>
                <c:pt idx="171">
                  <c:v>135.5</c:v>
                </c:pt>
                <c:pt idx="172">
                  <c:v>136</c:v>
                </c:pt>
                <c:pt idx="173">
                  <c:v>136.5</c:v>
                </c:pt>
                <c:pt idx="174">
                  <c:v>137</c:v>
                </c:pt>
                <c:pt idx="175">
                  <c:v>137.5</c:v>
                </c:pt>
                <c:pt idx="176">
                  <c:v>138</c:v>
                </c:pt>
                <c:pt idx="177">
                  <c:v>138.5</c:v>
                </c:pt>
                <c:pt idx="178">
                  <c:v>139</c:v>
                </c:pt>
                <c:pt idx="179">
                  <c:v>139.5</c:v>
                </c:pt>
                <c:pt idx="180">
                  <c:v>140</c:v>
                </c:pt>
                <c:pt idx="181">
                  <c:v>140.5</c:v>
                </c:pt>
                <c:pt idx="182">
                  <c:v>141</c:v>
                </c:pt>
                <c:pt idx="183">
                  <c:v>141.5</c:v>
                </c:pt>
                <c:pt idx="184">
                  <c:v>142</c:v>
                </c:pt>
                <c:pt idx="185">
                  <c:v>142.5</c:v>
                </c:pt>
                <c:pt idx="186">
                  <c:v>143</c:v>
                </c:pt>
                <c:pt idx="187">
                  <c:v>143.5</c:v>
                </c:pt>
                <c:pt idx="188">
                  <c:v>144</c:v>
                </c:pt>
                <c:pt idx="189">
                  <c:v>144.5</c:v>
                </c:pt>
                <c:pt idx="190">
                  <c:v>145</c:v>
                </c:pt>
                <c:pt idx="191">
                  <c:v>145.5</c:v>
                </c:pt>
                <c:pt idx="192">
                  <c:v>146</c:v>
                </c:pt>
                <c:pt idx="193">
                  <c:v>146.5</c:v>
                </c:pt>
                <c:pt idx="194">
                  <c:v>147</c:v>
                </c:pt>
                <c:pt idx="195">
                  <c:v>147.5</c:v>
                </c:pt>
                <c:pt idx="196">
                  <c:v>148</c:v>
                </c:pt>
                <c:pt idx="197">
                  <c:v>148.5</c:v>
                </c:pt>
                <c:pt idx="198">
                  <c:v>149</c:v>
                </c:pt>
                <c:pt idx="199">
                  <c:v>149.5</c:v>
                </c:pt>
              </c:numCache>
            </c:numRef>
          </c:cat>
          <c:val>
            <c:numRef>
              <c:f>'Auto Call'!$C$9:$C$208</c:f>
              <c:numCache>
                <c:formatCode>General</c:formatCode>
                <c:ptCount val="200"/>
                <c:pt idx="0">
                  <c:v>-50</c:v>
                </c:pt>
                <c:pt idx="1">
                  <c:v>-49.5</c:v>
                </c:pt>
                <c:pt idx="2">
                  <c:v>-49</c:v>
                </c:pt>
                <c:pt idx="3">
                  <c:v>-48.5</c:v>
                </c:pt>
                <c:pt idx="4">
                  <c:v>-48</c:v>
                </c:pt>
                <c:pt idx="5">
                  <c:v>-47.5</c:v>
                </c:pt>
                <c:pt idx="6">
                  <c:v>-47</c:v>
                </c:pt>
                <c:pt idx="7">
                  <c:v>-46.5</c:v>
                </c:pt>
                <c:pt idx="8">
                  <c:v>-46</c:v>
                </c:pt>
                <c:pt idx="9">
                  <c:v>-45.5</c:v>
                </c:pt>
                <c:pt idx="10">
                  <c:v>-45</c:v>
                </c:pt>
                <c:pt idx="11">
                  <c:v>-44.5</c:v>
                </c:pt>
                <c:pt idx="12">
                  <c:v>-44</c:v>
                </c:pt>
                <c:pt idx="13">
                  <c:v>-43.5</c:v>
                </c:pt>
                <c:pt idx="14">
                  <c:v>-43</c:v>
                </c:pt>
                <c:pt idx="15">
                  <c:v>-42.5</c:v>
                </c:pt>
                <c:pt idx="16">
                  <c:v>-42</c:v>
                </c:pt>
                <c:pt idx="17">
                  <c:v>-41.5</c:v>
                </c:pt>
                <c:pt idx="18">
                  <c:v>-41</c:v>
                </c:pt>
                <c:pt idx="19">
                  <c:v>-40.5</c:v>
                </c:pt>
                <c:pt idx="20">
                  <c:v>-40</c:v>
                </c:pt>
                <c:pt idx="21">
                  <c:v>-39.5</c:v>
                </c:pt>
                <c:pt idx="22">
                  <c:v>-39</c:v>
                </c:pt>
                <c:pt idx="23">
                  <c:v>-38.5</c:v>
                </c:pt>
                <c:pt idx="24">
                  <c:v>-38</c:v>
                </c:pt>
                <c:pt idx="25">
                  <c:v>-37.5</c:v>
                </c:pt>
                <c:pt idx="26">
                  <c:v>-37</c:v>
                </c:pt>
                <c:pt idx="27">
                  <c:v>-36.5</c:v>
                </c:pt>
                <c:pt idx="28">
                  <c:v>-36</c:v>
                </c:pt>
                <c:pt idx="29">
                  <c:v>-35.5</c:v>
                </c:pt>
                <c:pt idx="30">
                  <c:v>-35</c:v>
                </c:pt>
                <c:pt idx="31">
                  <c:v>-34.5</c:v>
                </c:pt>
                <c:pt idx="32">
                  <c:v>-34</c:v>
                </c:pt>
                <c:pt idx="33">
                  <c:v>-33.5</c:v>
                </c:pt>
                <c:pt idx="34">
                  <c:v>-33</c:v>
                </c:pt>
                <c:pt idx="35">
                  <c:v>-32.5</c:v>
                </c:pt>
                <c:pt idx="36">
                  <c:v>-32</c:v>
                </c:pt>
                <c:pt idx="37">
                  <c:v>-31.5</c:v>
                </c:pt>
                <c:pt idx="38">
                  <c:v>-31</c:v>
                </c:pt>
                <c:pt idx="39">
                  <c:v>-30.5</c:v>
                </c:pt>
                <c:pt idx="40">
                  <c:v>-30</c:v>
                </c:pt>
                <c:pt idx="41">
                  <c:v>-29.5</c:v>
                </c:pt>
                <c:pt idx="42">
                  <c:v>-29</c:v>
                </c:pt>
                <c:pt idx="43">
                  <c:v>-28.5</c:v>
                </c:pt>
                <c:pt idx="44">
                  <c:v>-28</c:v>
                </c:pt>
                <c:pt idx="45">
                  <c:v>-27.5</c:v>
                </c:pt>
                <c:pt idx="46">
                  <c:v>-27</c:v>
                </c:pt>
                <c:pt idx="47">
                  <c:v>-26.5</c:v>
                </c:pt>
                <c:pt idx="48">
                  <c:v>-26</c:v>
                </c:pt>
                <c:pt idx="49">
                  <c:v>-25.5</c:v>
                </c:pt>
                <c:pt idx="50">
                  <c:v>-25</c:v>
                </c:pt>
                <c:pt idx="51">
                  <c:v>-24.5</c:v>
                </c:pt>
                <c:pt idx="52">
                  <c:v>-24</c:v>
                </c:pt>
                <c:pt idx="53">
                  <c:v>-23.5</c:v>
                </c:pt>
                <c:pt idx="54">
                  <c:v>-23</c:v>
                </c:pt>
                <c:pt idx="55">
                  <c:v>-22.5</c:v>
                </c:pt>
                <c:pt idx="56">
                  <c:v>-22</c:v>
                </c:pt>
                <c:pt idx="57">
                  <c:v>-21.5</c:v>
                </c:pt>
                <c:pt idx="58">
                  <c:v>-21</c:v>
                </c:pt>
                <c:pt idx="59">
                  <c:v>-20.5</c:v>
                </c:pt>
                <c:pt idx="60">
                  <c:v>-20</c:v>
                </c:pt>
                <c:pt idx="61">
                  <c:v>-19.5</c:v>
                </c:pt>
                <c:pt idx="62">
                  <c:v>-19</c:v>
                </c:pt>
                <c:pt idx="63">
                  <c:v>-18.5</c:v>
                </c:pt>
                <c:pt idx="64">
                  <c:v>-18</c:v>
                </c:pt>
                <c:pt idx="65">
                  <c:v>-17.5</c:v>
                </c:pt>
                <c:pt idx="66">
                  <c:v>-17</c:v>
                </c:pt>
                <c:pt idx="67">
                  <c:v>-16.5</c:v>
                </c:pt>
                <c:pt idx="68">
                  <c:v>-16</c:v>
                </c:pt>
                <c:pt idx="69">
                  <c:v>-15.5</c:v>
                </c:pt>
                <c:pt idx="70">
                  <c:v>-15</c:v>
                </c:pt>
                <c:pt idx="71">
                  <c:v>-14.5</c:v>
                </c:pt>
                <c:pt idx="72">
                  <c:v>-14</c:v>
                </c:pt>
                <c:pt idx="73">
                  <c:v>-13.5</c:v>
                </c:pt>
                <c:pt idx="74">
                  <c:v>-13</c:v>
                </c:pt>
                <c:pt idx="75">
                  <c:v>-12.5</c:v>
                </c:pt>
                <c:pt idx="76">
                  <c:v>-12</c:v>
                </c:pt>
                <c:pt idx="77">
                  <c:v>-11.5</c:v>
                </c:pt>
                <c:pt idx="78">
                  <c:v>-11</c:v>
                </c:pt>
                <c:pt idx="79">
                  <c:v>-10.5</c:v>
                </c:pt>
                <c:pt idx="80">
                  <c:v>-10</c:v>
                </c:pt>
                <c:pt idx="81">
                  <c:v>-9.5</c:v>
                </c:pt>
                <c:pt idx="82">
                  <c:v>-9</c:v>
                </c:pt>
                <c:pt idx="83">
                  <c:v>-8.5</c:v>
                </c:pt>
                <c:pt idx="84">
                  <c:v>-8</c:v>
                </c:pt>
                <c:pt idx="85">
                  <c:v>-7.5</c:v>
                </c:pt>
                <c:pt idx="86">
                  <c:v>-7</c:v>
                </c:pt>
                <c:pt idx="87">
                  <c:v>-6.5</c:v>
                </c:pt>
                <c:pt idx="88">
                  <c:v>-6</c:v>
                </c:pt>
                <c:pt idx="89">
                  <c:v>-5.5</c:v>
                </c:pt>
                <c:pt idx="90">
                  <c:v>-5</c:v>
                </c:pt>
                <c:pt idx="91">
                  <c:v>-4.5</c:v>
                </c:pt>
                <c:pt idx="92">
                  <c:v>-4</c:v>
                </c:pt>
                <c:pt idx="93">
                  <c:v>-3.5</c:v>
                </c:pt>
                <c:pt idx="94">
                  <c:v>-3</c:v>
                </c:pt>
                <c:pt idx="95">
                  <c:v>-2.5</c:v>
                </c:pt>
                <c:pt idx="96">
                  <c:v>-2</c:v>
                </c:pt>
                <c:pt idx="97">
                  <c:v>-1.5</c:v>
                </c:pt>
                <c:pt idx="98">
                  <c:v>-1</c:v>
                </c:pt>
                <c:pt idx="99">
                  <c:v>-0.5</c:v>
                </c:pt>
                <c:pt idx="100">
                  <c:v>0</c:v>
                </c:pt>
                <c:pt idx="101">
                  <c:v>0.5</c:v>
                </c:pt>
                <c:pt idx="102">
                  <c:v>1</c:v>
                </c:pt>
                <c:pt idx="103">
                  <c:v>1.5</c:v>
                </c:pt>
                <c:pt idx="104">
                  <c:v>2</c:v>
                </c:pt>
                <c:pt idx="105">
                  <c:v>2.5</c:v>
                </c:pt>
                <c:pt idx="106">
                  <c:v>3</c:v>
                </c:pt>
                <c:pt idx="107">
                  <c:v>3.5</c:v>
                </c:pt>
                <c:pt idx="108">
                  <c:v>4</c:v>
                </c:pt>
                <c:pt idx="109">
                  <c:v>4.5</c:v>
                </c:pt>
                <c:pt idx="110">
                  <c:v>5</c:v>
                </c:pt>
                <c:pt idx="111">
                  <c:v>5.5</c:v>
                </c:pt>
                <c:pt idx="112">
                  <c:v>6</c:v>
                </c:pt>
                <c:pt idx="113">
                  <c:v>6.5</c:v>
                </c:pt>
                <c:pt idx="114">
                  <c:v>7</c:v>
                </c:pt>
                <c:pt idx="115">
                  <c:v>7.5</c:v>
                </c:pt>
                <c:pt idx="116">
                  <c:v>8</c:v>
                </c:pt>
                <c:pt idx="117">
                  <c:v>8.5</c:v>
                </c:pt>
                <c:pt idx="118">
                  <c:v>9</c:v>
                </c:pt>
                <c:pt idx="119">
                  <c:v>9.5</c:v>
                </c:pt>
                <c:pt idx="120">
                  <c:v>10</c:v>
                </c:pt>
                <c:pt idx="121">
                  <c:v>10.5</c:v>
                </c:pt>
                <c:pt idx="122">
                  <c:v>11</c:v>
                </c:pt>
                <c:pt idx="123">
                  <c:v>11.5</c:v>
                </c:pt>
                <c:pt idx="124">
                  <c:v>12</c:v>
                </c:pt>
                <c:pt idx="125">
                  <c:v>12.5</c:v>
                </c:pt>
                <c:pt idx="126">
                  <c:v>13</c:v>
                </c:pt>
                <c:pt idx="127">
                  <c:v>13.5</c:v>
                </c:pt>
                <c:pt idx="128">
                  <c:v>14</c:v>
                </c:pt>
                <c:pt idx="129">
                  <c:v>14.5</c:v>
                </c:pt>
                <c:pt idx="130">
                  <c:v>15</c:v>
                </c:pt>
                <c:pt idx="131">
                  <c:v>15.5</c:v>
                </c:pt>
                <c:pt idx="132">
                  <c:v>16</c:v>
                </c:pt>
                <c:pt idx="133">
                  <c:v>16.5</c:v>
                </c:pt>
                <c:pt idx="134">
                  <c:v>17</c:v>
                </c:pt>
                <c:pt idx="135">
                  <c:v>17.5</c:v>
                </c:pt>
                <c:pt idx="136">
                  <c:v>18</c:v>
                </c:pt>
                <c:pt idx="137">
                  <c:v>18.5</c:v>
                </c:pt>
                <c:pt idx="138">
                  <c:v>19</c:v>
                </c:pt>
                <c:pt idx="139">
                  <c:v>19.5</c:v>
                </c:pt>
                <c:pt idx="140">
                  <c:v>20</c:v>
                </c:pt>
                <c:pt idx="141">
                  <c:v>20.5</c:v>
                </c:pt>
                <c:pt idx="142">
                  <c:v>21</c:v>
                </c:pt>
                <c:pt idx="143">
                  <c:v>21.5</c:v>
                </c:pt>
                <c:pt idx="144">
                  <c:v>22</c:v>
                </c:pt>
                <c:pt idx="145">
                  <c:v>22.5</c:v>
                </c:pt>
                <c:pt idx="146">
                  <c:v>23</c:v>
                </c:pt>
                <c:pt idx="147">
                  <c:v>23.5</c:v>
                </c:pt>
                <c:pt idx="148">
                  <c:v>24</c:v>
                </c:pt>
                <c:pt idx="149">
                  <c:v>24.5</c:v>
                </c:pt>
                <c:pt idx="150">
                  <c:v>25</c:v>
                </c:pt>
                <c:pt idx="151">
                  <c:v>25.5</c:v>
                </c:pt>
                <c:pt idx="152">
                  <c:v>26</c:v>
                </c:pt>
                <c:pt idx="153">
                  <c:v>26.5</c:v>
                </c:pt>
                <c:pt idx="154">
                  <c:v>27</c:v>
                </c:pt>
                <c:pt idx="155">
                  <c:v>27.5</c:v>
                </c:pt>
                <c:pt idx="156">
                  <c:v>28</c:v>
                </c:pt>
                <c:pt idx="157">
                  <c:v>28.5</c:v>
                </c:pt>
                <c:pt idx="158">
                  <c:v>29</c:v>
                </c:pt>
                <c:pt idx="159">
                  <c:v>29.5</c:v>
                </c:pt>
                <c:pt idx="160">
                  <c:v>30</c:v>
                </c:pt>
                <c:pt idx="161">
                  <c:v>30.5</c:v>
                </c:pt>
                <c:pt idx="162">
                  <c:v>31</c:v>
                </c:pt>
                <c:pt idx="163">
                  <c:v>31.5</c:v>
                </c:pt>
                <c:pt idx="164">
                  <c:v>32</c:v>
                </c:pt>
                <c:pt idx="165">
                  <c:v>32.5</c:v>
                </c:pt>
                <c:pt idx="166">
                  <c:v>33</c:v>
                </c:pt>
                <c:pt idx="167">
                  <c:v>33.5</c:v>
                </c:pt>
                <c:pt idx="168">
                  <c:v>34</c:v>
                </c:pt>
                <c:pt idx="169">
                  <c:v>34.5</c:v>
                </c:pt>
                <c:pt idx="170">
                  <c:v>35</c:v>
                </c:pt>
                <c:pt idx="171">
                  <c:v>35.5</c:v>
                </c:pt>
                <c:pt idx="172">
                  <c:v>36</c:v>
                </c:pt>
                <c:pt idx="173">
                  <c:v>36.5</c:v>
                </c:pt>
                <c:pt idx="174">
                  <c:v>37</c:v>
                </c:pt>
                <c:pt idx="175">
                  <c:v>37.5</c:v>
                </c:pt>
                <c:pt idx="176">
                  <c:v>38</c:v>
                </c:pt>
                <c:pt idx="177">
                  <c:v>38.5</c:v>
                </c:pt>
                <c:pt idx="178">
                  <c:v>39</c:v>
                </c:pt>
                <c:pt idx="179">
                  <c:v>39.5</c:v>
                </c:pt>
                <c:pt idx="180">
                  <c:v>40</c:v>
                </c:pt>
                <c:pt idx="181">
                  <c:v>40.5</c:v>
                </c:pt>
                <c:pt idx="182">
                  <c:v>41</c:v>
                </c:pt>
                <c:pt idx="183">
                  <c:v>41.5</c:v>
                </c:pt>
                <c:pt idx="184">
                  <c:v>42</c:v>
                </c:pt>
                <c:pt idx="185">
                  <c:v>42.5</c:v>
                </c:pt>
                <c:pt idx="186">
                  <c:v>43</c:v>
                </c:pt>
                <c:pt idx="187">
                  <c:v>43.5</c:v>
                </c:pt>
                <c:pt idx="188">
                  <c:v>44</c:v>
                </c:pt>
                <c:pt idx="189">
                  <c:v>44.5</c:v>
                </c:pt>
                <c:pt idx="190">
                  <c:v>45</c:v>
                </c:pt>
                <c:pt idx="191">
                  <c:v>45.5</c:v>
                </c:pt>
                <c:pt idx="192">
                  <c:v>46</c:v>
                </c:pt>
                <c:pt idx="193">
                  <c:v>46.5</c:v>
                </c:pt>
                <c:pt idx="194">
                  <c:v>47</c:v>
                </c:pt>
                <c:pt idx="195">
                  <c:v>47.5</c:v>
                </c:pt>
                <c:pt idx="196">
                  <c:v>48</c:v>
                </c:pt>
                <c:pt idx="197">
                  <c:v>48.5</c:v>
                </c:pt>
                <c:pt idx="198">
                  <c:v>49</c:v>
                </c:pt>
                <c:pt idx="199">
                  <c:v>49.5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7C-43DD-A033-6C64BEC991E6}"/>
            </c:ext>
          </c:extLst>
        </c:ser>
        <c:ser>
          <c:idx val="1"/>
          <c:order val="1"/>
          <c:tx>
            <c:strRef>
              <c:f>'Auto Call'!$D$8</c:f>
              <c:strCache>
                <c:ptCount val="1"/>
                <c:pt idx="0">
                  <c:v>Auto call</c:v>
                </c:pt>
              </c:strCache>
            </c:strRef>
          </c:tx>
          <c:marker>
            <c:symbol val="none"/>
          </c:marker>
          <c:cat>
            <c:numRef>
              <c:f>'Auto Call'!$B$9:$B$208</c:f>
              <c:numCache>
                <c:formatCode>General</c:formatCode>
                <c:ptCount val="200"/>
                <c:pt idx="0">
                  <c:v>50</c:v>
                </c:pt>
                <c:pt idx="1">
                  <c:v>50.5</c:v>
                </c:pt>
                <c:pt idx="2">
                  <c:v>51</c:v>
                </c:pt>
                <c:pt idx="3">
                  <c:v>51.5</c:v>
                </c:pt>
                <c:pt idx="4">
                  <c:v>52</c:v>
                </c:pt>
                <c:pt idx="5">
                  <c:v>52.5</c:v>
                </c:pt>
                <c:pt idx="6">
                  <c:v>53</c:v>
                </c:pt>
                <c:pt idx="7">
                  <c:v>53.5</c:v>
                </c:pt>
                <c:pt idx="8">
                  <c:v>54</c:v>
                </c:pt>
                <c:pt idx="9">
                  <c:v>54.5</c:v>
                </c:pt>
                <c:pt idx="10">
                  <c:v>55</c:v>
                </c:pt>
                <c:pt idx="11">
                  <c:v>55.5</c:v>
                </c:pt>
                <c:pt idx="12">
                  <c:v>56</c:v>
                </c:pt>
                <c:pt idx="13">
                  <c:v>56.5</c:v>
                </c:pt>
                <c:pt idx="14">
                  <c:v>57</c:v>
                </c:pt>
                <c:pt idx="15">
                  <c:v>57.5</c:v>
                </c:pt>
                <c:pt idx="16">
                  <c:v>58</c:v>
                </c:pt>
                <c:pt idx="17">
                  <c:v>58.5</c:v>
                </c:pt>
                <c:pt idx="18">
                  <c:v>59</c:v>
                </c:pt>
                <c:pt idx="19">
                  <c:v>59.5</c:v>
                </c:pt>
                <c:pt idx="20">
                  <c:v>60</c:v>
                </c:pt>
                <c:pt idx="21">
                  <c:v>60.5</c:v>
                </c:pt>
                <c:pt idx="22">
                  <c:v>61</c:v>
                </c:pt>
                <c:pt idx="23">
                  <c:v>61.5</c:v>
                </c:pt>
                <c:pt idx="24">
                  <c:v>62</c:v>
                </c:pt>
                <c:pt idx="25">
                  <c:v>62.5</c:v>
                </c:pt>
                <c:pt idx="26">
                  <c:v>63</c:v>
                </c:pt>
                <c:pt idx="27">
                  <c:v>63.5</c:v>
                </c:pt>
                <c:pt idx="28">
                  <c:v>64</c:v>
                </c:pt>
                <c:pt idx="29">
                  <c:v>64.5</c:v>
                </c:pt>
                <c:pt idx="30">
                  <c:v>65</c:v>
                </c:pt>
                <c:pt idx="31">
                  <c:v>65.5</c:v>
                </c:pt>
                <c:pt idx="32">
                  <c:v>66</c:v>
                </c:pt>
                <c:pt idx="33">
                  <c:v>66.5</c:v>
                </c:pt>
                <c:pt idx="34">
                  <c:v>67</c:v>
                </c:pt>
                <c:pt idx="35">
                  <c:v>67.5</c:v>
                </c:pt>
                <c:pt idx="36">
                  <c:v>68</c:v>
                </c:pt>
                <c:pt idx="37">
                  <c:v>68.5</c:v>
                </c:pt>
                <c:pt idx="38">
                  <c:v>69</c:v>
                </c:pt>
                <c:pt idx="39">
                  <c:v>69.5</c:v>
                </c:pt>
                <c:pt idx="40">
                  <c:v>70</c:v>
                </c:pt>
                <c:pt idx="41">
                  <c:v>70.5</c:v>
                </c:pt>
                <c:pt idx="42">
                  <c:v>71</c:v>
                </c:pt>
                <c:pt idx="43">
                  <c:v>71.5</c:v>
                </c:pt>
                <c:pt idx="44">
                  <c:v>72</c:v>
                </c:pt>
                <c:pt idx="45">
                  <c:v>72.5</c:v>
                </c:pt>
                <c:pt idx="46">
                  <c:v>73</c:v>
                </c:pt>
                <c:pt idx="47">
                  <c:v>73.5</c:v>
                </c:pt>
                <c:pt idx="48">
                  <c:v>74</c:v>
                </c:pt>
                <c:pt idx="49">
                  <c:v>74.5</c:v>
                </c:pt>
                <c:pt idx="50">
                  <c:v>75</c:v>
                </c:pt>
                <c:pt idx="51">
                  <c:v>75.5</c:v>
                </c:pt>
                <c:pt idx="52">
                  <c:v>76</c:v>
                </c:pt>
                <c:pt idx="53">
                  <c:v>76.5</c:v>
                </c:pt>
                <c:pt idx="54">
                  <c:v>77</c:v>
                </c:pt>
                <c:pt idx="55">
                  <c:v>77.5</c:v>
                </c:pt>
                <c:pt idx="56">
                  <c:v>78</c:v>
                </c:pt>
                <c:pt idx="57">
                  <c:v>78.5</c:v>
                </c:pt>
                <c:pt idx="58">
                  <c:v>79</c:v>
                </c:pt>
                <c:pt idx="59">
                  <c:v>79.5</c:v>
                </c:pt>
                <c:pt idx="60">
                  <c:v>80</c:v>
                </c:pt>
                <c:pt idx="61">
                  <c:v>80.5</c:v>
                </c:pt>
                <c:pt idx="62">
                  <c:v>81</c:v>
                </c:pt>
                <c:pt idx="63">
                  <c:v>81.5</c:v>
                </c:pt>
                <c:pt idx="64">
                  <c:v>82</c:v>
                </c:pt>
                <c:pt idx="65">
                  <c:v>82.5</c:v>
                </c:pt>
                <c:pt idx="66">
                  <c:v>83</c:v>
                </c:pt>
                <c:pt idx="67">
                  <c:v>83.5</c:v>
                </c:pt>
                <c:pt idx="68">
                  <c:v>84</c:v>
                </c:pt>
                <c:pt idx="69">
                  <c:v>84.5</c:v>
                </c:pt>
                <c:pt idx="70">
                  <c:v>85</c:v>
                </c:pt>
                <c:pt idx="71">
                  <c:v>85.5</c:v>
                </c:pt>
                <c:pt idx="72">
                  <c:v>86</c:v>
                </c:pt>
                <c:pt idx="73">
                  <c:v>86.5</c:v>
                </c:pt>
                <c:pt idx="74">
                  <c:v>87</c:v>
                </c:pt>
                <c:pt idx="75">
                  <c:v>87.5</c:v>
                </c:pt>
                <c:pt idx="76">
                  <c:v>88</c:v>
                </c:pt>
                <c:pt idx="77">
                  <c:v>88.5</c:v>
                </c:pt>
                <c:pt idx="78">
                  <c:v>89</c:v>
                </c:pt>
                <c:pt idx="79">
                  <c:v>89.5</c:v>
                </c:pt>
                <c:pt idx="80">
                  <c:v>90</c:v>
                </c:pt>
                <c:pt idx="81">
                  <c:v>90.5</c:v>
                </c:pt>
                <c:pt idx="82">
                  <c:v>91</c:v>
                </c:pt>
                <c:pt idx="83">
                  <c:v>91.5</c:v>
                </c:pt>
                <c:pt idx="84">
                  <c:v>92</c:v>
                </c:pt>
                <c:pt idx="85">
                  <c:v>92.5</c:v>
                </c:pt>
                <c:pt idx="86">
                  <c:v>93</c:v>
                </c:pt>
                <c:pt idx="87">
                  <c:v>93.5</c:v>
                </c:pt>
                <c:pt idx="88">
                  <c:v>94</c:v>
                </c:pt>
                <c:pt idx="89">
                  <c:v>94.5</c:v>
                </c:pt>
                <c:pt idx="90">
                  <c:v>95</c:v>
                </c:pt>
                <c:pt idx="91">
                  <c:v>95.5</c:v>
                </c:pt>
                <c:pt idx="92">
                  <c:v>96</c:v>
                </c:pt>
                <c:pt idx="93">
                  <c:v>96.5</c:v>
                </c:pt>
                <c:pt idx="94">
                  <c:v>97</c:v>
                </c:pt>
                <c:pt idx="95">
                  <c:v>97.5</c:v>
                </c:pt>
                <c:pt idx="96">
                  <c:v>98</c:v>
                </c:pt>
                <c:pt idx="97">
                  <c:v>98.5</c:v>
                </c:pt>
                <c:pt idx="98">
                  <c:v>99</c:v>
                </c:pt>
                <c:pt idx="99">
                  <c:v>99.5</c:v>
                </c:pt>
                <c:pt idx="100">
                  <c:v>100</c:v>
                </c:pt>
                <c:pt idx="101">
                  <c:v>100.5</c:v>
                </c:pt>
                <c:pt idx="102">
                  <c:v>101</c:v>
                </c:pt>
                <c:pt idx="103">
                  <c:v>101.5</c:v>
                </c:pt>
                <c:pt idx="104">
                  <c:v>102</c:v>
                </c:pt>
                <c:pt idx="105">
                  <c:v>102.5</c:v>
                </c:pt>
                <c:pt idx="106">
                  <c:v>103</c:v>
                </c:pt>
                <c:pt idx="107">
                  <c:v>103.5</c:v>
                </c:pt>
                <c:pt idx="108">
                  <c:v>104</c:v>
                </c:pt>
                <c:pt idx="109">
                  <c:v>104.5</c:v>
                </c:pt>
                <c:pt idx="110">
                  <c:v>105</c:v>
                </c:pt>
                <c:pt idx="111">
                  <c:v>105.5</c:v>
                </c:pt>
                <c:pt idx="112">
                  <c:v>106</c:v>
                </c:pt>
                <c:pt idx="113">
                  <c:v>106.5</c:v>
                </c:pt>
                <c:pt idx="114">
                  <c:v>107</c:v>
                </c:pt>
                <c:pt idx="115">
                  <c:v>107.5</c:v>
                </c:pt>
                <c:pt idx="116">
                  <c:v>108</c:v>
                </c:pt>
                <c:pt idx="117">
                  <c:v>108.5</c:v>
                </c:pt>
                <c:pt idx="118">
                  <c:v>109</c:v>
                </c:pt>
                <c:pt idx="119">
                  <c:v>109.5</c:v>
                </c:pt>
                <c:pt idx="120">
                  <c:v>110</c:v>
                </c:pt>
                <c:pt idx="121">
                  <c:v>110.5</c:v>
                </c:pt>
                <c:pt idx="122">
                  <c:v>111</c:v>
                </c:pt>
                <c:pt idx="123">
                  <c:v>111.5</c:v>
                </c:pt>
                <c:pt idx="124">
                  <c:v>112</c:v>
                </c:pt>
                <c:pt idx="125">
                  <c:v>112.5</c:v>
                </c:pt>
                <c:pt idx="126">
                  <c:v>113</c:v>
                </c:pt>
                <c:pt idx="127">
                  <c:v>113.5</c:v>
                </c:pt>
                <c:pt idx="128">
                  <c:v>114</c:v>
                </c:pt>
                <c:pt idx="129">
                  <c:v>114.5</c:v>
                </c:pt>
                <c:pt idx="130">
                  <c:v>115</c:v>
                </c:pt>
                <c:pt idx="131">
                  <c:v>115.5</c:v>
                </c:pt>
                <c:pt idx="132">
                  <c:v>116</c:v>
                </c:pt>
                <c:pt idx="133">
                  <c:v>116.5</c:v>
                </c:pt>
                <c:pt idx="134">
                  <c:v>117</c:v>
                </c:pt>
                <c:pt idx="135">
                  <c:v>117.5</c:v>
                </c:pt>
                <c:pt idx="136">
                  <c:v>118</c:v>
                </c:pt>
                <c:pt idx="137">
                  <c:v>118.5</c:v>
                </c:pt>
                <c:pt idx="138">
                  <c:v>119</c:v>
                </c:pt>
                <c:pt idx="139">
                  <c:v>119.5</c:v>
                </c:pt>
                <c:pt idx="140">
                  <c:v>120</c:v>
                </c:pt>
                <c:pt idx="141">
                  <c:v>120.5</c:v>
                </c:pt>
                <c:pt idx="142">
                  <c:v>121</c:v>
                </c:pt>
                <c:pt idx="143">
                  <c:v>121.5</c:v>
                </c:pt>
                <c:pt idx="144">
                  <c:v>122</c:v>
                </c:pt>
                <c:pt idx="145">
                  <c:v>122.5</c:v>
                </c:pt>
                <c:pt idx="146">
                  <c:v>123</c:v>
                </c:pt>
                <c:pt idx="147">
                  <c:v>123.5</c:v>
                </c:pt>
                <c:pt idx="148">
                  <c:v>124</c:v>
                </c:pt>
                <c:pt idx="149">
                  <c:v>124.5</c:v>
                </c:pt>
                <c:pt idx="150">
                  <c:v>125</c:v>
                </c:pt>
                <c:pt idx="151">
                  <c:v>125.5</c:v>
                </c:pt>
                <c:pt idx="152">
                  <c:v>126</c:v>
                </c:pt>
                <c:pt idx="153">
                  <c:v>126.5</c:v>
                </c:pt>
                <c:pt idx="154">
                  <c:v>127</c:v>
                </c:pt>
                <c:pt idx="155">
                  <c:v>127.5</c:v>
                </c:pt>
                <c:pt idx="156">
                  <c:v>128</c:v>
                </c:pt>
                <c:pt idx="157">
                  <c:v>128.5</c:v>
                </c:pt>
                <c:pt idx="158">
                  <c:v>129</c:v>
                </c:pt>
                <c:pt idx="159">
                  <c:v>129.5</c:v>
                </c:pt>
                <c:pt idx="160">
                  <c:v>130</c:v>
                </c:pt>
                <c:pt idx="161">
                  <c:v>130.5</c:v>
                </c:pt>
                <c:pt idx="162">
                  <c:v>131</c:v>
                </c:pt>
                <c:pt idx="163">
                  <c:v>131.5</c:v>
                </c:pt>
                <c:pt idx="164">
                  <c:v>132</c:v>
                </c:pt>
                <c:pt idx="165">
                  <c:v>132.5</c:v>
                </c:pt>
                <c:pt idx="166">
                  <c:v>133</c:v>
                </c:pt>
                <c:pt idx="167">
                  <c:v>133.5</c:v>
                </c:pt>
                <c:pt idx="168">
                  <c:v>134</c:v>
                </c:pt>
                <c:pt idx="169">
                  <c:v>134.5</c:v>
                </c:pt>
                <c:pt idx="170">
                  <c:v>135</c:v>
                </c:pt>
                <c:pt idx="171">
                  <c:v>135.5</c:v>
                </c:pt>
                <c:pt idx="172">
                  <c:v>136</c:v>
                </c:pt>
                <c:pt idx="173">
                  <c:v>136.5</c:v>
                </c:pt>
                <c:pt idx="174">
                  <c:v>137</c:v>
                </c:pt>
                <c:pt idx="175">
                  <c:v>137.5</c:v>
                </c:pt>
                <c:pt idx="176">
                  <c:v>138</c:v>
                </c:pt>
                <c:pt idx="177">
                  <c:v>138.5</c:v>
                </c:pt>
                <c:pt idx="178">
                  <c:v>139</c:v>
                </c:pt>
                <c:pt idx="179">
                  <c:v>139.5</c:v>
                </c:pt>
                <c:pt idx="180">
                  <c:v>140</c:v>
                </c:pt>
                <c:pt idx="181">
                  <c:v>140.5</c:v>
                </c:pt>
                <c:pt idx="182">
                  <c:v>141</c:v>
                </c:pt>
                <c:pt idx="183">
                  <c:v>141.5</c:v>
                </c:pt>
                <c:pt idx="184">
                  <c:v>142</c:v>
                </c:pt>
                <c:pt idx="185">
                  <c:v>142.5</c:v>
                </c:pt>
                <c:pt idx="186">
                  <c:v>143</c:v>
                </c:pt>
                <c:pt idx="187">
                  <c:v>143.5</c:v>
                </c:pt>
                <c:pt idx="188">
                  <c:v>144</c:v>
                </c:pt>
                <c:pt idx="189">
                  <c:v>144.5</c:v>
                </c:pt>
                <c:pt idx="190">
                  <c:v>145</c:v>
                </c:pt>
                <c:pt idx="191">
                  <c:v>145.5</c:v>
                </c:pt>
                <c:pt idx="192">
                  <c:v>146</c:v>
                </c:pt>
                <c:pt idx="193">
                  <c:v>146.5</c:v>
                </c:pt>
                <c:pt idx="194">
                  <c:v>147</c:v>
                </c:pt>
                <c:pt idx="195">
                  <c:v>147.5</c:v>
                </c:pt>
                <c:pt idx="196">
                  <c:v>148</c:v>
                </c:pt>
                <c:pt idx="197">
                  <c:v>148.5</c:v>
                </c:pt>
                <c:pt idx="198">
                  <c:v>149</c:v>
                </c:pt>
                <c:pt idx="199">
                  <c:v>149.5</c:v>
                </c:pt>
              </c:numCache>
            </c:numRef>
          </c:cat>
          <c:val>
            <c:numRef>
              <c:f>'Auto Call'!$D$9:$D$208</c:f>
              <c:numCache>
                <c:formatCode>General</c:formatCode>
                <c:ptCount val="200"/>
                <c:pt idx="0">
                  <c:v>-35</c:v>
                </c:pt>
                <c:pt idx="1">
                  <c:v>-34.65</c:v>
                </c:pt>
                <c:pt idx="2">
                  <c:v>-34.299999999999997</c:v>
                </c:pt>
                <c:pt idx="3">
                  <c:v>-33.949999999999996</c:v>
                </c:pt>
                <c:pt idx="4">
                  <c:v>-33.599999999999994</c:v>
                </c:pt>
                <c:pt idx="5">
                  <c:v>-33.25</c:v>
                </c:pt>
                <c:pt idx="6">
                  <c:v>-32.9</c:v>
                </c:pt>
                <c:pt idx="7">
                  <c:v>-32.549999999999997</c:v>
                </c:pt>
                <c:pt idx="8">
                  <c:v>-32.199999999999996</c:v>
                </c:pt>
                <c:pt idx="9">
                  <c:v>-31.849999999999998</c:v>
                </c:pt>
                <c:pt idx="10">
                  <c:v>-31.499999999999996</c:v>
                </c:pt>
                <c:pt idx="11">
                  <c:v>-31.15</c:v>
                </c:pt>
                <c:pt idx="12">
                  <c:v>-30.799999999999997</c:v>
                </c:pt>
                <c:pt idx="13">
                  <c:v>-30.45</c:v>
                </c:pt>
                <c:pt idx="14">
                  <c:v>-30.099999999999998</c:v>
                </c:pt>
                <c:pt idx="15">
                  <c:v>-29.749999999999996</c:v>
                </c:pt>
                <c:pt idx="16">
                  <c:v>-29.4</c:v>
                </c:pt>
                <c:pt idx="17">
                  <c:v>-29.049999999999997</c:v>
                </c:pt>
                <c:pt idx="18">
                  <c:v>-28.7</c:v>
                </c:pt>
                <c:pt idx="19">
                  <c:v>-28.349999999999998</c:v>
                </c:pt>
                <c:pt idx="20">
                  <c:v>-28</c:v>
                </c:pt>
                <c:pt idx="21">
                  <c:v>-27.65</c:v>
                </c:pt>
                <c:pt idx="22">
                  <c:v>-27.299999999999997</c:v>
                </c:pt>
                <c:pt idx="23">
                  <c:v>-26.95</c:v>
                </c:pt>
                <c:pt idx="24">
                  <c:v>-26.599999999999998</c:v>
                </c:pt>
                <c:pt idx="25">
                  <c:v>-26.25</c:v>
                </c:pt>
                <c:pt idx="26">
                  <c:v>-25.9</c:v>
                </c:pt>
                <c:pt idx="27">
                  <c:v>-25.549999999999997</c:v>
                </c:pt>
                <c:pt idx="28">
                  <c:v>-25.2</c:v>
                </c:pt>
                <c:pt idx="29">
                  <c:v>-24.849999999999998</c:v>
                </c:pt>
                <c:pt idx="30">
                  <c:v>-24.5</c:v>
                </c:pt>
                <c:pt idx="31">
                  <c:v>-24.15</c:v>
                </c:pt>
                <c:pt idx="32">
                  <c:v>-23.799999999999997</c:v>
                </c:pt>
                <c:pt idx="33">
                  <c:v>-23.45</c:v>
                </c:pt>
                <c:pt idx="34">
                  <c:v>-23.099999999999998</c:v>
                </c:pt>
                <c:pt idx="35">
                  <c:v>-22.75</c:v>
                </c:pt>
                <c:pt idx="36">
                  <c:v>-22.4</c:v>
                </c:pt>
                <c:pt idx="37">
                  <c:v>-22.049999999999997</c:v>
                </c:pt>
                <c:pt idx="38">
                  <c:v>-21.7</c:v>
                </c:pt>
                <c:pt idx="39">
                  <c:v>-21.349999999999998</c:v>
                </c:pt>
                <c:pt idx="40">
                  <c:v>-21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0.75</c:v>
                </c:pt>
                <c:pt idx="102">
                  <c:v>1.5</c:v>
                </c:pt>
                <c:pt idx="103">
                  <c:v>2.25</c:v>
                </c:pt>
                <c:pt idx="104">
                  <c:v>3</c:v>
                </c:pt>
                <c:pt idx="105">
                  <c:v>3.75</c:v>
                </c:pt>
                <c:pt idx="106">
                  <c:v>4.5</c:v>
                </c:pt>
                <c:pt idx="107">
                  <c:v>5.25</c:v>
                </c:pt>
                <c:pt idx="108">
                  <c:v>6</c:v>
                </c:pt>
                <c:pt idx="109">
                  <c:v>6.75</c:v>
                </c:pt>
                <c:pt idx="110">
                  <c:v>7.5</c:v>
                </c:pt>
                <c:pt idx="111">
                  <c:v>8.25</c:v>
                </c:pt>
                <c:pt idx="112">
                  <c:v>9</c:v>
                </c:pt>
                <c:pt idx="113">
                  <c:v>9.75</c:v>
                </c:pt>
                <c:pt idx="114">
                  <c:v>10.5</c:v>
                </c:pt>
                <c:pt idx="115">
                  <c:v>11.25</c:v>
                </c:pt>
                <c:pt idx="116">
                  <c:v>12</c:v>
                </c:pt>
                <c:pt idx="117">
                  <c:v>12.75</c:v>
                </c:pt>
                <c:pt idx="118">
                  <c:v>13.5</c:v>
                </c:pt>
                <c:pt idx="119">
                  <c:v>14.25</c:v>
                </c:pt>
                <c:pt idx="120">
                  <c:v>15</c:v>
                </c:pt>
                <c:pt idx="121">
                  <c:v>15.75</c:v>
                </c:pt>
                <c:pt idx="122">
                  <c:v>16.5</c:v>
                </c:pt>
                <c:pt idx="123">
                  <c:v>17.25</c:v>
                </c:pt>
                <c:pt idx="124">
                  <c:v>18</c:v>
                </c:pt>
                <c:pt idx="125">
                  <c:v>18.75</c:v>
                </c:pt>
                <c:pt idx="126">
                  <c:v>19.5</c:v>
                </c:pt>
                <c:pt idx="127">
                  <c:v>20.25</c:v>
                </c:pt>
                <c:pt idx="128">
                  <c:v>21</c:v>
                </c:pt>
                <c:pt idx="129">
                  <c:v>21.75</c:v>
                </c:pt>
                <c:pt idx="130">
                  <c:v>22.5</c:v>
                </c:pt>
                <c:pt idx="131">
                  <c:v>23.25</c:v>
                </c:pt>
                <c:pt idx="132">
                  <c:v>24</c:v>
                </c:pt>
                <c:pt idx="133">
                  <c:v>24.75</c:v>
                </c:pt>
                <c:pt idx="134">
                  <c:v>25.5</c:v>
                </c:pt>
                <c:pt idx="135">
                  <c:v>26.25</c:v>
                </c:pt>
                <c:pt idx="136">
                  <c:v>27</c:v>
                </c:pt>
                <c:pt idx="137">
                  <c:v>27.75</c:v>
                </c:pt>
                <c:pt idx="138">
                  <c:v>28.5</c:v>
                </c:pt>
                <c:pt idx="139">
                  <c:v>29.25</c:v>
                </c:pt>
                <c:pt idx="140">
                  <c:v>30</c:v>
                </c:pt>
                <c:pt idx="141">
                  <c:v>30.75</c:v>
                </c:pt>
                <c:pt idx="142">
                  <c:v>31.5</c:v>
                </c:pt>
                <c:pt idx="143">
                  <c:v>32.25</c:v>
                </c:pt>
                <c:pt idx="144">
                  <c:v>33</c:v>
                </c:pt>
                <c:pt idx="145">
                  <c:v>33.75</c:v>
                </c:pt>
                <c:pt idx="146">
                  <c:v>34.5</c:v>
                </c:pt>
                <c:pt idx="147">
                  <c:v>35.25</c:v>
                </c:pt>
                <c:pt idx="148">
                  <c:v>36</c:v>
                </c:pt>
                <c:pt idx="149">
                  <c:v>36.75</c:v>
                </c:pt>
                <c:pt idx="150">
                  <c:v>37.5</c:v>
                </c:pt>
                <c:pt idx="151">
                  <c:v>38.25</c:v>
                </c:pt>
                <c:pt idx="152">
                  <c:v>39</c:v>
                </c:pt>
                <c:pt idx="153">
                  <c:v>39.75</c:v>
                </c:pt>
                <c:pt idx="154">
                  <c:v>40.5</c:v>
                </c:pt>
                <c:pt idx="155">
                  <c:v>41.25</c:v>
                </c:pt>
                <c:pt idx="156">
                  <c:v>42</c:v>
                </c:pt>
                <c:pt idx="157">
                  <c:v>42.75</c:v>
                </c:pt>
                <c:pt idx="158">
                  <c:v>43.5</c:v>
                </c:pt>
                <c:pt idx="159">
                  <c:v>44.25</c:v>
                </c:pt>
                <c:pt idx="160">
                  <c:v>45</c:v>
                </c:pt>
                <c:pt idx="161">
                  <c:v>45.75</c:v>
                </c:pt>
                <c:pt idx="162">
                  <c:v>46.5</c:v>
                </c:pt>
                <c:pt idx="163">
                  <c:v>47.25</c:v>
                </c:pt>
                <c:pt idx="164">
                  <c:v>48</c:v>
                </c:pt>
                <c:pt idx="165">
                  <c:v>48.75</c:v>
                </c:pt>
                <c:pt idx="166">
                  <c:v>49.5</c:v>
                </c:pt>
                <c:pt idx="167">
                  <c:v>50.25</c:v>
                </c:pt>
                <c:pt idx="168">
                  <c:v>51</c:v>
                </c:pt>
                <c:pt idx="169">
                  <c:v>51.75</c:v>
                </c:pt>
                <c:pt idx="170">
                  <c:v>52.5</c:v>
                </c:pt>
                <c:pt idx="171">
                  <c:v>53.25</c:v>
                </c:pt>
                <c:pt idx="172">
                  <c:v>54</c:v>
                </c:pt>
                <c:pt idx="173">
                  <c:v>54.75</c:v>
                </c:pt>
                <c:pt idx="174">
                  <c:v>55.5</c:v>
                </c:pt>
                <c:pt idx="175">
                  <c:v>56.25</c:v>
                </c:pt>
                <c:pt idx="176">
                  <c:v>57</c:v>
                </c:pt>
                <c:pt idx="177">
                  <c:v>57.75</c:v>
                </c:pt>
                <c:pt idx="178">
                  <c:v>58.5</c:v>
                </c:pt>
                <c:pt idx="179">
                  <c:v>59.25</c:v>
                </c:pt>
                <c:pt idx="180">
                  <c:v>60</c:v>
                </c:pt>
                <c:pt idx="181">
                  <c:v>60.75</c:v>
                </c:pt>
                <c:pt idx="182">
                  <c:v>61.5</c:v>
                </c:pt>
                <c:pt idx="183">
                  <c:v>62.25</c:v>
                </c:pt>
                <c:pt idx="184">
                  <c:v>63</c:v>
                </c:pt>
                <c:pt idx="185">
                  <c:v>63.75</c:v>
                </c:pt>
                <c:pt idx="186">
                  <c:v>64.5</c:v>
                </c:pt>
                <c:pt idx="187">
                  <c:v>65.25</c:v>
                </c:pt>
                <c:pt idx="188">
                  <c:v>66</c:v>
                </c:pt>
                <c:pt idx="189">
                  <c:v>66.75</c:v>
                </c:pt>
                <c:pt idx="190">
                  <c:v>67.5</c:v>
                </c:pt>
                <c:pt idx="191">
                  <c:v>68.25</c:v>
                </c:pt>
                <c:pt idx="192">
                  <c:v>69</c:v>
                </c:pt>
                <c:pt idx="193">
                  <c:v>69.75</c:v>
                </c:pt>
                <c:pt idx="194">
                  <c:v>70.5</c:v>
                </c:pt>
                <c:pt idx="195">
                  <c:v>71.25</c:v>
                </c:pt>
                <c:pt idx="196">
                  <c:v>72</c:v>
                </c:pt>
                <c:pt idx="197">
                  <c:v>72.75</c:v>
                </c:pt>
                <c:pt idx="198">
                  <c:v>73.5</c:v>
                </c:pt>
                <c:pt idx="199">
                  <c:v>74.25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7C-43DD-A033-6C64BEC99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606144"/>
        <c:axId val="167607680"/>
      </c:lineChart>
      <c:catAx>
        <c:axId val="167606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7607680"/>
        <c:crosses val="autoZero"/>
        <c:auto val="1"/>
        <c:lblAlgn val="ctr"/>
        <c:lblOffset val="100"/>
        <c:noMultiLvlLbl val="0"/>
      </c:catAx>
      <c:valAx>
        <c:axId val="1676076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676061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1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90"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609" cy="604630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609" cy="604630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9222" cy="604661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8"/>
  <sheetViews>
    <sheetView workbookViewId="0">
      <selection activeCell="L16" sqref="L16"/>
    </sheetView>
  </sheetViews>
  <sheetFormatPr defaultColWidth="9.1796875" defaultRowHeight="14.5" x14ac:dyDescent="0.35"/>
  <cols>
    <col min="1" max="5" width="9.1796875" style="1"/>
    <col min="6" max="6" width="9.7265625" style="1" bestFit="1" customWidth="1"/>
    <col min="7" max="7" width="10.54296875" style="1" bestFit="1" customWidth="1"/>
    <col min="8" max="8" width="11.54296875" style="1" customWidth="1"/>
    <col min="9" max="16384" width="9.1796875" style="1"/>
  </cols>
  <sheetData>
    <row r="1" spans="2:12" x14ac:dyDescent="0.35">
      <c r="B1" s="5" t="s">
        <v>0</v>
      </c>
      <c r="C1" s="4">
        <v>100</v>
      </c>
      <c r="F1" s="5" t="s">
        <v>3</v>
      </c>
      <c r="G1" s="7">
        <f>So*_xlfn.NORM.S.DIST(rf*T/(vol*SQRT(T))+vol*SQRT(T)/2,1)-So*EXP(-rf*T)*_xlfn.NORM.S.DIST(rf*T/(vol*SQRT(T))-vol*SQRT(T)/2,1)</f>
        <v>16.808984392695905</v>
      </c>
    </row>
    <row r="2" spans="2:12" x14ac:dyDescent="0.35">
      <c r="B2" s="5" t="s">
        <v>1</v>
      </c>
      <c r="C2" s="6">
        <v>0.02</v>
      </c>
      <c r="F2" s="5" t="s">
        <v>10</v>
      </c>
      <c r="G2" s="7">
        <f>EXP(-rf*T)*((So*EXP(rf*T)-So)*_xlfn.NORM.S.DIST((So*EXP(rf*T)-So)/(sigma*SQRT(T)),1)+sigma*SQRT(T)*_xlfn.NORM.S.DIST((So*EXP(rf*T)-So)/(sigma*SQRT(T)),0))</f>
        <v>16.651717633813302</v>
      </c>
    </row>
    <row r="3" spans="2:12" x14ac:dyDescent="0.35">
      <c r="B3" s="5" t="s">
        <v>7</v>
      </c>
      <c r="C3" s="6">
        <v>0.40270465766351782</v>
      </c>
      <c r="F3" s="5" t="s">
        <v>11</v>
      </c>
      <c r="G3" s="7">
        <f>(LN(G1/G2))^2*99999</f>
        <v>8.8362057586518503</v>
      </c>
    </row>
    <row r="4" spans="2:12" x14ac:dyDescent="0.35">
      <c r="B4" s="5" t="s">
        <v>2</v>
      </c>
      <c r="C4" s="7">
        <v>1</v>
      </c>
    </row>
    <row r="6" spans="2:12" x14ac:dyDescent="0.35">
      <c r="B6" s="29" t="s">
        <v>5</v>
      </c>
      <c r="C6" s="29"/>
      <c r="D6" s="29"/>
      <c r="E6" s="29"/>
      <c r="F6" s="29"/>
    </row>
    <row r="7" spans="2:12" x14ac:dyDescent="0.35">
      <c r="B7" s="3">
        <f>So</f>
        <v>100</v>
      </c>
      <c r="C7" s="2">
        <f>B7*EXP(vol*SQRT(T/4))</f>
        <v>122.30556136754093</v>
      </c>
      <c r="D7" s="2">
        <f>C7*EXP(vol*SQRT(T/4))</f>
        <v>149.58650341429322</v>
      </c>
      <c r="E7" s="2">
        <f>D7*EXP(vol*SQRT(T/4))</f>
        <v>182.95261273092711</v>
      </c>
      <c r="F7" s="2">
        <f>E7*EXP(vol*SQRT(T/4))</f>
        <v>223.76122003714357</v>
      </c>
    </row>
    <row r="8" spans="2:12" x14ac:dyDescent="0.35">
      <c r="B8" s="3"/>
      <c r="C8" s="2">
        <f>B7*EXP(-vol*SQRT(T/4))</f>
        <v>81.762430818243487</v>
      </c>
      <c r="D8" s="2">
        <f>C7*EXP(-vol*SQRT(T/4))</f>
        <v>100</v>
      </c>
      <c r="E8" s="2">
        <f>D7*EXP(-vol*SQRT(T/4))</f>
        <v>122.30556136754093</v>
      </c>
      <c r="F8" s="2">
        <f>E7*EXP(-vol*SQRT(T/4))</f>
        <v>149.58650341429322</v>
      </c>
    </row>
    <row r="9" spans="2:12" x14ac:dyDescent="0.35">
      <c r="B9" s="3"/>
      <c r="C9" s="3"/>
      <c r="D9" s="2">
        <f>C8*EXP(-vol*SQRT(T/4))</f>
        <v>66.850950933080526</v>
      </c>
      <c r="E9" s="2">
        <f>D8*EXP(-vol*SQRT(T/4))</f>
        <v>81.762430818243487</v>
      </c>
      <c r="F9" s="2">
        <f>E8*EXP(-vol*SQRT(T/4))</f>
        <v>100</v>
      </c>
    </row>
    <row r="10" spans="2:12" x14ac:dyDescent="0.35">
      <c r="B10" s="3"/>
      <c r="C10" s="3"/>
      <c r="D10" s="3"/>
      <c r="E10" s="2">
        <f>D9*EXP(-vol*SQRT(T/4))</f>
        <v>54.65896250799787</v>
      </c>
      <c r="F10" s="2">
        <f>E9*EXP(-vol*SQRT(T/4))</f>
        <v>66.850950933080526</v>
      </c>
    </row>
    <row r="11" spans="2:12" x14ac:dyDescent="0.35">
      <c r="B11" s="2"/>
      <c r="C11" s="2"/>
      <c r="D11" s="2"/>
      <c r="E11" s="2"/>
      <c r="F11" s="2">
        <f>E10*EXP(-vol*SQRT(T/4))</f>
        <v>44.690496406571405</v>
      </c>
    </row>
    <row r="13" spans="2:12" x14ac:dyDescent="0.35">
      <c r="B13" s="29" t="s">
        <v>6</v>
      </c>
      <c r="C13" s="29"/>
      <c r="D13" s="29"/>
      <c r="E13" s="29"/>
      <c r="F13" s="29"/>
      <c r="H13" s="29" t="s">
        <v>21</v>
      </c>
      <c r="I13" s="29"/>
      <c r="J13" s="29"/>
      <c r="K13" s="29"/>
      <c r="L13" s="29"/>
    </row>
    <row r="14" spans="2:12" x14ac:dyDescent="0.35">
      <c r="B14" s="4">
        <f>(EXP(rf*T/4)-EXP(-vol*SQRT(T/4)))/(EXP(vol*SQRT(T/4))-EXP(-vol*SQRT(T/4)))</f>
        <v>0.46219472975604547</v>
      </c>
      <c r="C14" s="4">
        <f>(EXP(rf*T/4)-EXP(-vol*SQRT(T/4)))/(EXP(vol*SQRT(T/4))-EXP(-vol*SQRT(T/4)))</f>
        <v>0.46219472975604547</v>
      </c>
      <c r="D14" s="4">
        <f>(EXP(rf*T/4)-EXP(-vol*SQRT(T/4)))/(EXP(vol*SQRT(T/4))-EXP(-vol*SQRT(T/4)))</f>
        <v>0.46219472975604547</v>
      </c>
      <c r="E14" s="4">
        <f>(EXP(rf*T/4)-EXP(-vol*SQRT(T/4)))/(EXP(vol*SQRT(T/4))-EXP(-vol*SQRT(T/4)))</f>
        <v>0.46219472975604547</v>
      </c>
      <c r="F14" s="2"/>
      <c r="H14" s="4">
        <v>1</v>
      </c>
      <c r="I14" s="14">
        <f>(H14*B14)*EXP(-rf*T/4)</f>
        <v>0.45988952392435462</v>
      </c>
      <c r="J14" s="14">
        <f>(I14*C14)*EXP(-rf*T/4)</f>
        <v>0.21149837421536954</v>
      </c>
      <c r="K14" s="14">
        <f>(J14*D14)*EXP(-rf*T/4)</f>
        <v>9.7265886628681297E-2</v>
      </c>
      <c r="L14" s="14">
        <f>(K14*E14)*EXP(-rf*T/4)</f>
        <v>4.4731562295744494E-2</v>
      </c>
    </row>
    <row r="15" spans="2:12" x14ac:dyDescent="0.35">
      <c r="B15" s="3"/>
      <c r="C15" s="4">
        <f>(EXP(rf*T/4)-EXP(-vol*SQRT(T/4)))/(EXP(vol*SQRT(T/4))-EXP(-vol*SQRT(T/4)))</f>
        <v>0.46219472975604547</v>
      </c>
      <c r="D15" s="4">
        <f>(EXP(rf*T/4)-EXP(-vol*SQRT(T/4)))/(EXP(vol*SQRT(T/4))-EXP(-vol*SQRT(T/4)))</f>
        <v>0.46219472975604547</v>
      </c>
      <c r="E15" s="4">
        <f>(EXP(rf*T/4)-EXP(-vol*SQRT(T/4)))/(EXP(vol*SQRT(T/4))-EXP(-vol*SQRT(T/4)))</f>
        <v>0.46219472975604547</v>
      </c>
      <c r="F15" s="2"/>
      <c r="H15" s="3"/>
      <c r="I15" s="14">
        <f>(H15*B15+H14*(1-B14))*EXP(-rf*T/4)</f>
        <v>0.53512295526832765</v>
      </c>
      <c r="J15" s="14">
        <f>(I15*C15+I14*(1-C14))*EXP(-rf*T/4)</f>
        <v>0.49219488227868985</v>
      </c>
      <c r="K15" s="14">
        <f>(J15*D15+J14*(1-D14))*EXP(-rf*T/4)</f>
        <v>0.33953290513372564</v>
      </c>
      <c r="L15" s="14">
        <f>(K15*E15+K14*(1-E14))*EXP(-rf*T/4)</f>
        <v>0.20819683479813619</v>
      </c>
    </row>
    <row r="16" spans="2:12" x14ac:dyDescent="0.35">
      <c r="B16" s="3"/>
      <c r="C16" s="3"/>
      <c r="D16" s="4">
        <f>(EXP(rf*T/4)-EXP(-vol*SQRT(T/4)))/(EXP(vol*SQRT(T/4))-EXP(-vol*SQRT(T/4)))</f>
        <v>0.46219472975604547</v>
      </c>
      <c r="E16" s="4">
        <f>(EXP(rf*T/4)-EXP(-vol*SQRT(T/4)))/(EXP(vol*SQRT(T/4))-EXP(-vol*SQRT(T/4)))</f>
        <v>0.46219472975604547</v>
      </c>
      <c r="F16" s="2"/>
      <c r="H16" s="3"/>
      <c r="I16" s="3"/>
      <c r="J16" s="14">
        <f>(I16*C16+I15*(1-C15))*EXP(-rf*T/4)</f>
        <v>0.2863565772551086</v>
      </c>
      <c r="K16" s="14">
        <f>(J16*D16+J15*(1-D15))*EXP(-rf*T/4)</f>
        <v>0.39507716995937875</v>
      </c>
      <c r="L16" s="14">
        <f>(K16*E16+K15*(1-E15))*EXP(-rf*T/4)</f>
        <v>0.36338370321200003</v>
      </c>
    </row>
    <row r="17" spans="2:12" x14ac:dyDescent="0.35">
      <c r="B17" s="3"/>
      <c r="C17" s="3"/>
      <c r="D17" s="3"/>
      <c r="E17" s="4">
        <f>(EXP(rf*T/4)-EXP(-vol*SQRT(T/4)))/(EXP(vol*SQRT(T/4))-EXP(-vol*SQRT(T/4)))</f>
        <v>0.46219472975604547</v>
      </c>
      <c r="F17" s="2"/>
      <c r="H17" s="3"/>
      <c r="I17" s="3"/>
      <c r="J17" s="3"/>
      <c r="K17" s="14">
        <f>(J17*D17+J16*(1-D16))*EXP(-rf*T/4)</f>
        <v>0.15323597788127691</v>
      </c>
      <c r="L17" s="14">
        <f>(K17*E17+K16*(1-E16))*EXP(-rf*T/4)</f>
        <v>0.28188648366361352</v>
      </c>
    </row>
    <row r="18" spans="2:12" x14ac:dyDescent="0.35">
      <c r="B18" s="2"/>
      <c r="C18" s="2"/>
      <c r="D18" s="2"/>
      <c r="E18" s="2"/>
      <c r="F18" s="2"/>
      <c r="H18" s="2"/>
      <c r="I18" s="2"/>
      <c r="J18" s="2"/>
      <c r="K18" s="2"/>
      <c r="L18" s="14">
        <f>(K18*E18+K17*(1-E17))*EXP(-rf*T/4)</f>
        <v>8.2000089337260995E-2</v>
      </c>
    </row>
  </sheetData>
  <mergeCells count="3">
    <mergeCell ref="B13:F13"/>
    <mergeCell ref="H13:L13"/>
    <mergeCell ref="B6:F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0"/>
  <sheetViews>
    <sheetView tabSelected="1" workbookViewId="0">
      <selection activeCell="B6" sqref="B6"/>
    </sheetView>
  </sheetViews>
  <sheetFormatPr defaultColWidth="9.1796875" defaultRowHeight="14.5" x14ac:dyDescent="0.35"/>
  <cols>
    <col min="1" max="1" width="9.1796875" style="1"/>
    <col min="2" max="3" width="11" style="1" bestFit="1" customWidth="1"/>
    <col min="4" max="9" width="9.1796875" style="1"/>
    <col min="10" max="10" width="10" style="1" bestFit="1" customWidth="1"/>
    <col min="11" max="16384" width="9.1796875" style="1"/>
  </cols>
  <sheetData>
    <row r="1" spans="2:12" x14ac:dyDescent="0.35">
      <c r="B1" s="28" t="s">
        <v>8</v>
      </c>
    </row>
    <row r="2" spans="2:12" x14ac:dyDescent="0.35">
      <c r="B2" s="9">
        <v>40</v>
      </c>
    </row>
    <row r="4" spans="2:12" x14ac:dyDescent="0.35">
      <c r="B4" s="30" t="s">
        <v>5</v>
      </c>
      <c r="C4" s="30"/>
      <c r="D4" s="30"/>
      <c r="E4" s="30"/>
      <c r="F4" s="30"/>
      <c r="H4" s="30" t="s">
        <v>20</v>
      </c>
      <c r="I4" s="30"/>
      <c r="J4" s="30"/>
      <c r="K4" s="30"/>
      <c r="L4" s="30"/>
    </row>
    <row r="5" spans="2:12" x14ac:dyDescent="0.35">
      <c r="B5" s="8">
        <f>So</f>
        <v>100</v>
      </c>
      <c r="C5" s="9">
        <f>B5*(I5*EXP(rf*T/4)+H12*B5)/(H12*B5*EXP(rf/4)-I5*EXP(rf/4))</f>
        <v>117.30012812553579</v>
      </c>
      <c r="D5" s="9">
        <f>(D6*(J5*EXP(rf*T/4))-I12*C5*(C5*EXP(rf*T/4)-D6))/(J5*EXP(rf*T/4)-I12*(C5*EXP(rf*T/4)-D6))</f>
        <v>141.44482896900968</v>
      </c>
      <c r="E5" s="9">
        <f>(E6*(K5*EXP(rf*T/4))-J12*D5*(D5*EXP(rf*T/4)-E6))/(K5*EXP(rf*T/4)-J12*(D5*EXP(rf*T/4)-E6))</f>
        <v>160.50398907556308</v>
      </c>
      <c r="F5" s="9">
        <f>(F6*(L5*EXP(rf*T/4))-K12*E5*(E5*EXP(rf*T/4)-F6))/(L5*EXP(rf*T/4)-K12*(E5*EXP(rf*T/4)-F6))</f>
        <v>182.92996910273069</v>
      </c>
      <c r="H5" s="8"/>
      <c r="I5" s="10">
        <f>EXP(-rf*T/4)*((So*EXP(rf*T/4)-B5)*_xlfn.NORM.S.DIST((So*EXP(rf*T/4)-B5)/(sigma*SQRT(T/4)),1)+sigma*SQRT(T/4)*_xlfn.NORM.S.DIST((So*EXP(rf*T/4)-B5)/(sigma*SQRT(T/4)),0))</f>
        <v>8.1909202538458743</v>
      </c>
      <c r="J5" s="10">
        <f>EXP(-rf*2*T/4)*((So*EXP(rf*2*T/4)-C5)*_xlfn.NORM.S.DIST((So*EXP(rf*2*T/4)-C5)/(sigma*SQRT(2*T/4)),1)+sigma*SQRT(2*T/4)*_xlfn.NORM.S.DIST((So*EXP(rf*2*T/4)-C5)/(sigma*SQRT(2*T/4)),0))</f>
        <v>4.9093900182558015</v>
      </c>
      <c r="K5" s="10">
        <f>EXP(-rf*T*3/4)*((So*EXP(rf*T*3/4)-D5)*_xlfn.NORM.S.DIST((So*EXP(rf*T*3/4)-D5)/(sigma*SQRT(T*3/4)),1)+sigma*SQRT(T*3/4)*_xlfn.NORM.S.DIST((So*EXP(rf*T*3/4)-D5)/(sigma*SQRT(T*3/4)),0))</f>
        <v>2.1074561007407646</v>
      </c>
      <c r="L5" s="10">
        <f>EXP(-rf*T)*((So*EXP(rf*T)-E5)*_xlfn.NORM.S.DIST((So*EXP(rf*T)-E5)/(sigma*SQRT(T)),1)+sigma*SQRT(T)*_xlfn.NORM.S.DIST((So*EXP(rf*T)-E5)/(sigma*SQRT(T)),0))</f>
        <v>1.2520604522545491</v>
      </c>
    </row>
    <row r="6" spans="2:12" x14ac:dyDescent="0.35">
      <c r="B6" s="8"/>
      <c r="C6" s="9">
        <f>B5^2/C5</f>
        <v>85.251398781916919</v>
      </c>
      <c r="D6" s="9">
        <v>100</v>
      </c>
      <c r="E6" s="9">
        <f>D6*(K6*EXP(rf*T/4)+J13*D6-J12*(D5*EXP(rf*T/4)-D6))/(J13*D6*EXP(rf/4)-K6*EXP(rf/4)+J12*(D5*EXP(rf*T/4)-D6))</f>
        <v>120.03714912176451</v>
      </c>
      <c r="F6" s="9">
        <f>(F7*(L6*EXP(rf*T/4)-K12*(E5*EXP(rf*T/4)-E6))-K13*E6*(E6*EXP(rf*T/4)-F7))/(L6*EXP(rf*T/4)-K12*(E5*EXP(rf*T/4)-E6)-K13*(E6*EXP(rf*T/4)-F7))</f>
        <v>139.0332841750936</v>
      </c>
      <c r="H6" s="8"/>
      <c r="I6" s="10"/>
      <c r="J6" s="10"/>
      <c r="K6" s="10">
        <f>EXP(-rf*T*3/4)*((So*EXP(rf*T*3/4)-D6)*_xlfn.NORM.S.DIST((So*EXP(rf*T*3/4)-D6)/(sigma*SQRT(T*3/4)),1)+sigma*SQRT(T*3/4)*_xlfn.NORM.S.DIST((So*EXP(rf*T*3/4)-D6)/(sigma*SQRT(T*3/4)),0))</f>
        <v>14.371373707007802</v>
      </c>
      <c r="L6" s="10">
        <f>EXP(-rf*T)*((So*EXP(rf*T)-E6)*_xlfn.NORM.S.DIST((So*EXP(rf*T)-E6)/(sigma*SQRT(T)),1)+sigma*SQRT(T)*_xlfn.NORM.S.DIST((So*EXP(rf*T)-E6)/(sigma*SQRT(T)),0))</f>
        <v>8.3720071027929492</v>
      </c>
    </row>
    <row r="7" spans="2:12" x14ac:dyDescent="0.35">
      <c r="B7" s="8"/>
      <c r="C7" s="8"/>
      <c r="D7" s="9">
        <f>(D6*J7*EXP(rf*T/4)+I13*C6*(C6*EXP(rf*T/4)-D6))/(J7*EXP(rf*T/4)+I13*(C6*EXP(rf*T/4)-D6))</f>
        <v>53.742054028363142</v>
      </c>
      <c r="E7" s="9">
        <f>(E6*(K7*EXP(rf*T/4)-J14*(D6-D7*EXP(rf*T/4)))+J13*D6*(D6*EXP(rf*T/4)-E6))/(K7*EXP(rf*T/4)-J14*(D6-D7*EXP(rf*T/4))+J13*(D6*EXP(rf*T/4)-E6))</f>
        <v>83.307543316078849</v>
      </c>
      <c r="F7" s="9">
        <v>100</v>
      </c>
      <c r="H7" s="8"/>
      <c r="I7" s="8"/>
      <c r="J7" s="10">
        <f>EXP(-rf*2*T/4)*(-(So*EXP(rf*2*T/4)-C6)*_xlfn.NORM.S.DIST((So*EXP(rf*2*T/4)-C6)/(-sigma*SQRT(2*T/4)),1)+sigma*SQRT(2*T/4)*_xlfn.NORM.S.DIST((So*EXP(rf*2*T/4)-C6)/(-sigma*SQRT(2*T/4)),0))</f>
        <v>5.0624556492008113</v>
      </c>
      <c r="K7" s="10">
        <f>EXP(-rf*3*T/4)*(-(So*EXP(rf*3*T/4)-D6)*_xlfn.NORM.S.DIST((So*EXP(rf*3*T/4)-D6)/(-sigma*SQRT(3*T/4)),1)+sigma*SQRT(3*T/4)*_xlfn.NORM.S.DIST((So*EXP(rf*3*T/4)-D6)/(sigma*SQRT(3*T/4)),0))</f>
        <v>12.882567667314074</v>
      </c>
      <c r="L7" s="10"/>
    </row>
    <row r="8" spans="2:12" x14ac:dyDescent="0.35">
      <c r="B8" s="8"/>
      <c r="C8" s="8"/>
      <c r="D8" s="8"/>
      <c r="E8" s="9">
        <f>(E7*K8*EXP(rf*T/4)+J14*D7*(D7*EXP(rf*T/4)-E7))/(K8*EXP(rf*T/4)+J14*(D7*EXP(rf*T/4)-E7))</f>
        <v>42.256165815237701</v>
      </c>
      <c r="F8" s="9">
        <f>(F7*(L8*EXP(rf*T/4)-K15*(E7-E8*EXP(rf*T/4)))+K14*E7*(E7*EXP(rf*T/4)-F7))/(L8*EXP(rf*T/4)-K15*(E7-E8*EXP(rf*T/4))+K14*(E7*EXP(rf*T/4)-F7))</f>
        <v>60.657203044398322</v>
      </c>
      <c r="H8" s="8"/>
      <c r="I8" s="8"/>
      <c r="J8" s="8"/>
      <c r="K8" s="10">
        <f>EXP(-rf*3*T/4)*(-(So*EXP(rf*3*T/4)-D7)*_xlfn.NORM.S.DIST((So*EXP(rf*3*T/4)-D7)/(-sigma*SQRT(3*T/4)),1)+sigma*SQRT(3*T/4)*_xlfn.NORM.S.DIST((So*EXP(rf*3*T/4)-D7)/(sigma*SQRT(3*T/4)),0))</f>
        <v>1.3103796433474897</v>
      </c>
      <c r="L8" s="10">
        <f>EXP(-rf*T)*(-(So*EXP(rf*T)-E7)*_xlfn.NORM.S.DIST((So*EXP(rf*T)-E7)/(-sigma*SQRT(T)),1)+sigma*SQRT(T)*_xlfn.NORM.S.DIST((So*EXP(rf*T)-E7)/(sigma*SQRT(T)),0))</f>
        <v>8.1517331265406199</v>
      </c>
    </row>
    <row r="9" spans="2:12" x14ac:dyDescent="0.35">
      <c r="B9" s="9"/>
      <c r="C9" s="9"/>
      <c r="D9" s="9"/>
      <c r="E9" s="9"/>
      <c r="F9" s="9">
        <f>(F8*L9*EXP(rf*T/4)+K15*E8*(E8*EXP(rf*T/4)-F8))/(L9*EXP(rf*T/4)+K15*(E8*EXP(rf*T/4)-F8))</f>
        <v>18.449979053985142</v>
      </c>
      <c r="H9" s="9"/>
      <c r="I9" s="9"/>
      <c r="J9" s="9"/>
      <c r="K9" s="10"/>
      <c r="L9" s="10">
        <f>EXP(-rf*T)*(-(So*EXP(rf*T)-E8)*_xlfn.NORM.S.DIST((So*EXP(rf*T)-E8)/(-sigma*SQRT(T)),1)+sigma*SQRT(T)*_xlfn.NORM.S.DIST((So*EXP(rf*T)-E8)/(sigma*SQRT(T)),0))</f>
        <v>1.1646042693675205</v>
      </c>
    </row>
    <row r="11" spans="2:12" x14ac:dyDescent="0.35">
      <c r="B11" s="30" t="s">
        <v>6</v>
      </c>
      <c r="C11" s="30"/>
      <c r="D11" s="30"/>
      <c r="E11" s="30"/>
      <c r="F11" s="30"/>
      <c r="H11" s="30" t="s">
        <v>9</v>
      </c>
      <c r="I11" s="30"/>
      <c r="J11" s="30"/>
      <c r="K11" s="30"/>
      <c r="L11" s="30"/>
    </row>
    <row r="12" spans="2:12" x14ac:dyDescent="0.35">
      <c r="B12" s="10">
        <f>(B5*EXP(rf/4)-C6)/(C5-C6)</f>
        <v>0.47583332058247513</v>
      </c>
      <c r="C12" s="10">
        <f>(C5*EXP(rf/4)-D6)/(D5-D6)</f>
        <v>0.43161228818078262</v>
      </c>
      <c r="D12" s="10">
        <f>(D5*EXP(rf/4)-E6)/(E5-E6)</f>
        <v>0.54653822804443286</v>
      </c>
      <c r="E12" s="10">
        <f>(E5*EXP(rf/4)-F6)/(F5-F6)</f>
        <v>0.50744685004000079</v>
      </c>
      <c r="F12" s="10"/>
      <c r="H12" s="8">
        <v>1</v>
      </c>
      <c r="I12" s="10">
        <f>H12*B12*EXP(-rf*T/4)</f>
        <v>0.47346009199525496</v>
      </c>
      <c r="J12" s="10">
        <f>I12*C12*EXP(-rf*T/4)</f>
        <v>0.20333198783793471</v>
      </c>
      <c r="K12" s="10">
        <f>J12*D12*EXP(-rf*T/4)</f>
        <v>0.1105744476125225</v>
      </c>
      <c r="L12" s="10">
        <f>K12*E12*EXP(-rf*T/4)</f>
        <v>5.5830802075885165E-2</v>
      </c>
    </row>
    <row r="13" spans="2:12" x14ac:dyDescent="0.35">
      <c r="B13" s="8"/>
      <c r="C13" s="10">
        <f>(C6*EXP(rf/4)-D7)/(D6-D7)</f>
        <v>0.69040396190144859</v>
      </c>
      <c r="D13" s="10">
        <f>(D6*EXP(rf/4)-E7)/(E6-E7)</f>
        <v>0.46811579903206302</v>
      </c>
      <c r="E13" s="10">
        <f>(E6*EXP(rf/4)-F7)/(F6-F7)</f>
        <v>0.52874971378425906</v>
      </c>
      <c r="F13" s="9"/>
      <c r="H13" s="8"/>
      <c r="I13" s="10">
        <f>(H13*B13+H12*(1-B12))*EXP(-rf*T/4)</f>
        <v>0.52155238719742725</v>
      </c>
      <c r="J13" s="10">
        <f>(I13*C13+I12*(1-C12))*EXP(-rf*T/4)</f>
        <v>0.62605263091561392</v>
      </c>
      <c r="K13" s="10">
        <f>(J13*D13+J12*(1-D12))*EXP(-rf*T/4)</f>
        <v>0.38334687684087443</v>
      </c>
      <c r="L13" s="10">
        <f>(K13*E13+K12*(1-E12))*EXP(-rf*T/4)</f>
        <v>0.25587576129542838</v>
      </c>
    </row>
    <row r="14" spans="2:12" x14ac:dyDescent="0.35">
      <c r="B14" s="8"/>
      <c r="C14" s="8"/>
      <c r="D14" s="10">
        <f>(D7*EXP(rf/4)-E8)/(E7-E8)</f>
        <v>0.28635510171927353</v>
      </c>
      <c r="E14" s="10">
        <f>(E7*EXP(rf/4)-F8)/(F7-F8)</f>
        <v>0.58633149789350147</v>
      </c>
      <c r="F14" s="9"/>
      <c r="H14" s="8"/>
      <c r="I14" s="8"/>
      <c r="J14" s="10">
        <f>(I14*C14+I13*(1-C13))*EXP(-rf*T/4)</f>
        <v>0.16066521499561942</v>
      </c>
      <c r="K14" s="10">
        <f>(J14*D14+J13*(1-D13))*EXP(-rf*T/4)</f>
        <v>0.37710456285376581</v>
      </c>
      <c r="L14" s="10">
        <f>(K14*E14+K13*(1-E13))*EXP(-rf*T/4)</f>
        <v>0.39975681923658385</v>
      </c>
    </row>
    <row r="15" spans="2:12" x14ac:dyDescent="0.35">
      <c r="B15" s="8"/>
      <c r="C15" s="8"/>
      <c r="D15" s="8"/>
      <c r="E15" s="10">
        <f>(E8*EXP(rf/4)-F9)/(F8-F9)</f>
        <v>0.56904942810963155</v>
      </c>
      <c r="F15" s="9"/>
      <c r="H15" s="8"/>
      <c r="I15" s="8"/>
      <c r="J15" s="8"/>
      <c r="K15" s="10">
        <f>(J15*D15+J14*(1-D14))*EXP(-rf*T/4)</f>
        <v>0.11408605229589994</v>
      </c>
      <c r="L15" s="10">
        <f>(K15*E15+K14*(1-E14))*EXP(-rf*T/4)</f>
        <v>0.21981505491951614</v>
      </c>
    </row>
    <row r="16" spans="2:12" x14ac:dyDescent="0.35">
      <c r="B16" s="9"/>
      <c r="C16" s="9"/>
      <c r="D16" s="9"/>
      <c r="E16" s="9"/>
      <c r="F16" s="9"/>
      <c r="H16" s="9"/>
      <c r="I16" s="9"/>
      <c r="J16" s="9"/>
      <c r="K16" s="9"/>
      <c r="L16" s="10">
        <f>(K16*E16+K15*(1-E15))*EXP(-rf*T/4)</f>
        <v>4.8920235779341792E-2</v>
      </c>
    </row>
    <row r="17" spans="2:7" x14ac:dyDescent="0.35">
      <c r="B17" s="11"/>
      <c r="C17" s="12"/>
    </row>
    <row r="20" spans="2:7" x14ac:dyDescent="0.35">
      <c r="G20" s="13"/>
    </row>
  </sheetData>
  <mergeCells count="4">
    <mergeCell ref="B4:F4"/>
    <mergeCell ref="H4:L4"/>
    <mergeCell ref="B11:F11"/>
    <mergeCell ref="H11:L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8"/>
  <sheetViews>
    <sheetView workbookViewId="0">
      <selection activeCell="F4" sqref="F4"/>
    </sheetView>
  </sheetViews>
  <sheetFormatPr defaultColWidth="9.1796875" defaultRowHeight="14.5" x14ac:dyDescent="0.35"/>
  <cols>
    <col min="1" max="16384" width="9.1796875" style="1"/>
  </cols>
  <sheetData>
    <row r="2" spans="2:12" x14ac:dyDescent="0.35">
      <c r="B2" s="31" t="s">
        <v>4</v>
      </c>
      <c r="C2" s="31"/>
      <c r="D2" s="31"/>
      <c r="E2" s="31"/>
      <c r="F2" s="31"/>
      <c r="H2" s="32" t="s">
        <v>18</v>
      </c>
      <c r="I2" s="32"/>
      <c r="J2" s="32"/>
      <c r="K2" s="32"/>
      <c r="L2" s="32"/>
    </row>
    <row r="3" spans="2:12" x14ac:dyDescent="0.35">
      <c r="B3" s="3">
        <f t="shared" ref="B3:B18" si="0">So</f>
        <v>100</v>
      </c>
      <c r="C3" s="2">
        <f>CRR!$C$7</f>
        <v>122.30556136754093</v>
      </c>
      <c r="D3" s="2">
        <f>CRR!$D$7</f>
        <v>149.58650341429322</v>
      </c>
      <c r="E3" s="2">
        <f>CRR!$E$7</f>
        <v>182.95261273092711</v>
      </c>
      <c r="F3" s="2">
        <f>CRR!$F$7</f>
        <v>223.76122003714357</v>
      </c>
      <c r="H3" s="8">
        <f t="shared" ref="H3:H18" si="1">So</f>
        <v>100</v>
      </c>
      <c r="I3" s="9">
        <f>DK!$C$5</f>
        <v>117.30012812553579</v>
      </c>
      <c r="J3" s="9">
        <f>DK!$D$5</f>
        <v>141.44482896900968</v>
      </c>
      <c r="K3" s="9">
        <f>DK!$E$5</f>
        <v>160.50398907556308</v>
      </c>
      <c r="L3" s="9">
        <f>DK!$F$5</f>
        <v>182.92996910273069</v>
      </c>
    </row>
    <row r="4" spans="2:12" x14ac:dyDescent="0.35">
      <c r="B4" s="3">
        <f t="shared" si="0"/>
        <v>100</v>
      </c>
      <c r="C4" s="2">
        <f>CRR!$C$7</f>
        <v>122.30556136754093</v>
      </c>
      <c r="D4" s="2">
        <f>CRR!$D$7</f>
        <v>149.58650341429322</v>
      </c>
      <c r="E4" s="2">
        <f>CRR!$E$7</f>
        <v>182.95261273092711</v>
      </c>
      <c r="F4" s="2">
        <f>CRR!$F$8</f>
        <v>149.58650341429322</v>
      </c>
      <c r="H4" s="8">
        <f t="shared" si="1"/>
        <v>100</v>
      </c>
      <c r="I4" s="9">
        <f>DK!$C$5</f>
        <v>117.30012812553579</v>
      </c>
      <c r="J4" s="9">
        <f>DK!$D$5</f>
        <v>141.44482896900968</v>
      </c>
      <c r="K4" s="9">
        <f>DK!$E$5</f>
        <v>160.50398907556308</v>
      </c>
      <c r="L4" s="9">
        <f>DK!$F$6</f>
        <v>139.0332841750936</v>
      </c>
    </row>
    <row r="5" spans="2:12" x14ac:dyDescent="0.35">
      <c r="B5" s="3">
        <f t="shared" si="0"/>
        <v>100</v>
      </c>
      <c r="C5" s="2">
        <f>CRR!$C$7</f>
        <v>122.30556136754093</v>
      </c>
      <c r="D5" s="2">
        <f>CRR!$D$7</f>
        <v>149.58650341429322</v>
      </c>
      <c r="E5" s="2">
        <f>CRR!$E$8</f>
        <v>122.30556136754093</v>
      </c>
      <c r="F5" s="2">
        <f>CRR!$F$8</f>
        <v>149.58650341429322</v>
      </c>
      <c r="H5" s="8">
        <f t="shared" si="1"/>
        <v>100</v>
      </c>
      <c r="I5" s="9">
        <f>DK!$C$5</f>
        <v>117.30012812553579</v>
      </c>
      <c r="J5" s="9">
        <f>DK!$D$5</f>
        <v>141.44482896900968</v>
      </c>
      <c r="K5" s="9">
        <f>DK!$E$6</f>
        <v>120.03714912176451</v>
      </c>
      <c r="L5" s="9">
        <f>DK!$F$6</f>
        <v>139.0332841750936</v>
      </c>
    </row>
    <row r="6" spans="2:12" x14ac:dyDescent="0.35">
      <c r="B6" s="3">
        <f t="shared" si="0"/>
        <v>100</v>
      </c>
      <c r="C6" s="2">
        <f>CRR!$C$7</f>
        <v>122.30556136754093</v>
      </c>
      <c r="D6" s="2">
        <f>CRR!$D$7</f>
        <v>149.58650341429322</v>
      </c>
      <c r="E6" s="2">
        <f>CRR!$E$8</f>
        <v>122.30556136754093</v>
      </c>
      <c r="F6" s="2">
        <f>CRR!$F$8</f>
        <v>149.58650341429322</v>
      </c>
      <c r="H6" s="8">
        <f t="shared" si="1"/>
        <v>100</v>
      </c>
      <c r="I6" s="9">
        <f>DK!$C$5</f>
        <v>117.30012812553579</v>
      </c>
      <c r="J6" s="9">
        <f>DK!$D$5</f>
        <v>141.44482896900968</v>
      </c>
      <c r="K6" s="9">
        <f>DK!$E$6</f>
        <v>120.03714912176451</v>
      </c>
      <c r="L6" s="9">
        <f>DK!$F$6</f>
        <v>139.0332841750936</v>
      </c>
    </row>
    <row r="7" spans="2:12" x14ac:dyDescent="0.35">
      <c r="B7" s="3">
        <f t="shared" si="0"/>
        <v>100</v>
      </c>
      <c r="C7" s="2">
        <f>CRR!$C$7</f>
        <v>122.30556136754093</v>
      </c>
      <c r="D7" s="2">
        <f>CRR!$D$8</f>
        <v>100</v>
      </c>
      <c r="E7" s="2">
        <f>CRR!$E$8</f>
        <v>122.30556136754093</v>
      </c>
      <c r="F7" s="2">
        <f>CRR!$F$8</f>
        <v>149.58650341429322</v>
      </c>
      <c r="H7" s="8">
        <f t="shared" si="1"/>
        <v>100</v>
      </c>
      <c r="I7" s="9">
        <f>DK!$C$5</f>
        <v>117.30012812553579</v>
      </c>
      <c r="J7" s="9">
        <f>DK!$D$6</f>
        <v>100</v>
      </c>
      <c r="K7" s="9">
        <f>DK!$E$6</f>
        <v>120.03714912176451</v>
      </c>
      <c r="L7" s="9">
        <f>DK!$F$6</f>
        <v>139.0332841750936</v>
      </c>
    </row>
    <row r="8" spans="2:12" x14ac:dyDescent="0.35">
      <c r="B8" s="3">
        <f t="shared" si="0"/>
        <v>100</v>
      </c>
      <c r="C8" s="2">
        <f>CRR!$C$7</f>
        <v>122.30556136754093</v>
      </c>
      <c r="D8" s="2">
        <f>CRR!$D$8</f>
        <v>100</v>
      </c>
      <c r="E8" s="2">
        <f>CRR!$E$8</f>
        <v>122.30556136754093</v>
      </c>
      <c r="F8" s="2">
        <f>CRR!$F$9</f>
        <v>100</v>
      </c>
      <c r="H8" s="8">
        <f t="shared" si="1"/>
        <v>100</v>
      </c>
      <c r="I8" s="9">
        <f>DK!$C$5</f>
        <v>117.30012812553579</v>
      </c>
      <c r="J8" s="9">
        <f>DK!$D$6</f>
        <v>100</v>
      </c>
      <c r="K8" s="9">
        <f>DK!$E$6</f>
        <v>120.03714912176451</v>
      </c>
      <c r="L8" s="9">
        <f>DK!$F$7</f>
        <v>100</v>
      </c>
    </row>
    <row r="9" spans="2:12" x14ac:dyDescent="0.35">
      <c r="B9" s="3">
        <f t="shared" si="0"/>
        <v>100</v>
      </c>
      <c r="C9" s="2">
        <f>CRR!$C$7</f>
        <v>122.30556136754093</v>
      </c>
      <c r="D9" s="2">
        <f>CRR!$D$8</f>
        <v>100</v>
      </c>
      <c r="E9" s="2">
        <f>CRR!$E$8</f>
        <v>122.30556136754093</v>
      </c>
      <c r="F9" s="2">
        <f>CRR!$F$9</f>
        <v>100</v>
      </c>
      <c r="H9" s="8">
        <f t="shared" si="1"/>
        <v>100</v>
      </c>
      <c r="I9" s="9">
        <f>DK!$C$5</f>
        <v>117.30012812553579</v>
      </c>
      <c r="J9" s="9">
        <f>DK!$D$6</f>
        <v>100</v>
      </c>
      <c r="K9" s="9">
        <f>DK!$E$6</f>
        <v>120.03714912176451</v>
      </c>
      <c r="L9" s="9">
        <f>DK!$F$7</f>
        <v>100</v>
      </c>
    </row>
    <row r="10" spans="2:12" x14ac:dyDescent="0.35">
      <c r="B10" s="3">
        <f t="shared" si="0"/>
        <v>100</v>
      </c>
      <c r="C10" s="2">
        <f>CRR!$C$7</f>
        <v>122.30556136754093</v>
      </c>
      <c r="D10" s="2">
        <f>CRR!$D$8</f>
        <v>100</v>
      </c>
      <c r="E10" s="2">
        <f>CRR!$E$8</f>
        <v>122.30556136754093</v>
      </c>
      <c r="F10" s="2">
        <f>CRR!$F$9</f>
        <v>100</v>
      </c>
      <c r="H10" s="8">
        <f t="shared" si="1"/>
        <v>100</v>
      </c>
      <c r="I10" s="9">
        <f>DK!$C$5</f>
        <v>117.30012812553579</v>
      </c>
      <c r="J10" s="9">
        <f>DK!$D$6</f>
        <v>100</v>
      </c>
      <c r="K10" s="9">
        <f>DK!$E$6</f>
        <v>120.03714912176451</v>
      </c>
      <c r="L10" s="9">
        <f>DK!$F$7</f>
        <v>100</v>
      </c>
    </row>
    <row r="11" spans="2:12" x14ac:dyDescent="0.35">
      <c r="B11" s="3">
        <f t="shared" si="0"/>
        <v>100</v>
      </c>
      <c r="C11" s="2">
        <f>CRR!$C$8</f>
        <v>81.762430818243487</v>
      </c>
      <c r="D11" s="2">
        <f>CRR!$D$8</f>
        <v>100</v>
      </c>
      <c r="E11" s="2">
        <f>CRR!$E$9</f>
        <v>81.762430818243487</v>
      </c>
      <c r="F11" s="2">
        <f>CRR!$F$9</f>
        <v>100</v>
      </c>
      <c r="H11" s="8">
        <f t="shared" si="1"/>
        <v>100</v>
      </c>
      <c r="I11" s="9">
        <f>DK!$C$6</f>
        <v>85.251398781916919</v>
      </c>
      <c r="J11" s="9">
        <f>DK!$D$6</f>
        <v>100</v>
      </c>
      <c r="K11" s="9">
        <f>DK!$E$7</f>
        <v>83.307543316078849</v>
      </c>
      <c r="L11" s="9">
        <f>DK!$F$7</f>
        <v>100</v>
      </c>
    </row>
    <row r="12" spans="2:12" x14ac:dyDescent="0.35">
      <c r="B12" s="3">
        <f t="shared" si="0"/>
        <v>100</v>
      </c>
      <c r="C12" s="2">
        <f>CRR!$C$8</f>
        <v>81.762430818243487</v>
      </c>
      <c r="D12" s="2">
        <f>CRR!$D$8</f>
        <v>100</v>
      </c>
      <c r="E12" s="2">
        <f>CRR!$E$9</f>
        <v>81.762430818243487</v>
      </c>
      <c r="F12" s="2">
        <f>CRR!$F$9</f>
        <v>100</v>
      </c>
      <c r="H12" s="8">
        <f t="shared" si="1"/>
        <v>100</v>
      </c>
      <c r="I12" s="9">
        <f>DK!$C$6</f>
        <v>85.251398781916919</v>
      </c>
      <c r="J12" s="9">
        <f>DK!$D$6</f>
        <v>100</v>
      </c>
      <c r="K12" s="9">
        <f>DK!$E$7</f>
        <v>83.307543316078849</v>
      </c>
      <c r="L12" s="9">
        <f>DK!$F$7</f>
        <v>100</v>
      </c>
    </row>
    <row r="13" spans="2:12" x14ac:dyDescent="0.35">
      <c r="B13" s="3">
        <f t="shared" si="0"/>
        <v>100</v>
      </c>
      <c r="C13" s="2">
        <f>CRR!$C$8</f>
        <v>81.762430818243487</v>
      </c>
      <c r="D13" s="2">
        <f>CRR!$D$8</f>
        <v>100</v>
      </c>
      <c r="E13" s="2">
        <f>CRR!$E$9</f>
        <v>81.762430818243487</v>
      </c>
      <c r="F13" s="2">
        <f>CRR!$F$9</f>
        <v>100</v>
      </c>
      <c r="H13" s="8">
        <f t="shared" si="1"/>
        <v>100</v>
      </c>
      <c r="I13" s="9">
        <f>DK!$C$6</f>
        <v>85.251398781916919</v>
      </c>
      <c r="J13" s="9">
        <f>DK!$D$6</f>
        <v>100</v>
      </c>
      <c r="K13" s="9">
        <f>DK!$E$7</f>
        <v>83.307543316078849</v>
      </c>
      <c r="L13" s="9">
        <f>DK!$F$7</f>
        <v>100</v>
      </c>
    </row>
    <row r="14" spans="2:12" x14ac:dyDescent="0.35">
      <c r="B14" s="3">
        <f t="shared" si="0"/>
        <v>100</v>
      </c>
      <c r="C14" s="2">
        <f>CRR!$C$8</f>
        <v>81.762430818243487</v>
      </c>
      <c r="D14" s="2">
        <f>CRR!$D$8</f>
        <v>100</v>
      </c>
      <c r="E14" s="2">
        <f>CRR!$E$9</f>
        <v>81.762430818243487</v>
      </c>
      <c r="F14" s="2">
        <f>CRR!$F$10</f>
        <v>66.850950933080526</v>
      </c>
      <c r="H14" s="8">
        <f t="shared" si="1"/>
        <v>100</v>
      </c>
      <c r="I14" s="9">
        <f>DK!$C$6</f>
        <v>85.251398781916919</v>
      </c>
      <c r="J14" s="9">
        <f>DK!$D$6</f>
        <v>100</v>
      </c>
      <c r="K14" s="9">
        <f>DK!$E$7</f>
        <v>83.307543316078849</v>
      </c>
      <c r="L14" s="9">
        <f>DK!$F$8</f>
        <v>60.657203044398322</v>
      </c>
    </row>
    <row r="15" spans="2:12" x14ac:dyDescent="0.35">
      <c r="B15" s="3">
        <f t="shared" si="0"/>
        <v>100</v>
      </c>
      <c r="C15" s="2">
        <f>CRR!$C$8</f>
        <v>81.762430818243487</v>
      </c>
      <c r="D15" s="2">
        <f>CRR!$D$9</f>
        <v>66.850950933080526</v>
      </c>
      <c r="E15" s="2">
        <f>CRR!$E$9</f>
        <v>81.762430818243487</v>
      </c>
      <c r="F15" s="2">
        <f>CRR!$F$10</f>
        <v>66.850950933080526</v>
      </c>
      <c r="H15" s="8">
        <f t="shared" si="1"/>
        <v>100</v>
      </c>
      <c r="I15" s="9">
        <f>DK!$C$6</f>
        <v>85.251398781916919</v>
      </c>
      <c r="J15" s="9">
        <f>DK!$D$7</f>
        <v>53.742054028363142</v>
      </c>
      <c r="K15" s="9">
        <f>DK!$E$7</f>
        <v>83.307543316078849</v>
      </c>
      <c r="L15" s="9">
        <f>DK!$F$8</f>
        <v>60.657203044398322</v>
      </c>
    </row>
    <row r="16" spans="2:12" x14ac:dyDescent="0.35">
      <c r="B16" s="3">
        <f t="shared" si="0"/>
        <v>100</v>
      </c>
      <c r="C16" s="2">
        <f>CRR!$C$8</f>
        <v>81.762430818243487</v>
      </c>
      <c r="D16" s="2">
        <f>CRR!$D$9</f>
        <v>66.850950933080526</v>
      </c>
      <c r="E16" s="2">
        <f>CRR!$E$9</f>
        <v>81.762430818243487</v>
      </c>
      <c r="F16" s="2">
        <f>CRR!$F$10</f>
        <v>66.850950933080526</v>
      </c>
      <c r="H16" s="8">
        <f t="shared" si="1"/>
        <v>100</v>
      </c>
      <c r="I16" s="9">
        <f>DK!$C$6</f>
        <v>85.251398781916919</v>
      </c>
      <c r="J16" s="9">
        <f>DK!$D$7</f>
        <v>53.742054028363142</v>
      </c>
      <c r="K16" s="9">
        <f>DK!$E$7</f>
        <v>83.307543316078849</v>
      </c>
      <c r="L16" s="9">
        <f>DK!$F$8</f>
        <v>60.657203044398322</v>
      </c>
    </row>
    <row r="17" spans="2:12" x14ac:dyDescent="0.35">
      <c r="B17" s="3">
        <f t="shared" si="0"/>
        <v>100</v>
      </c>
      <c r="C17" s="2">
        <f>CRR!$C$8</f>
        <v>81.762430818243487</v>
      </c>
      <c r="D17" s="2">
        <f>CRR!$D$9</f>
        <v>66.850950933080526</v>
      </c>
      <c r="E17" s="2">
        <f>CRR!$E$10</f>
        <v>54.65896250799787</v>
      </c>
      <c r="F17" s="2">
        <f>CRR!$F$10</f>
        <v>66.850950933080526</v>
      </c>
      <c r="H17" s="8">
        <f t="shared" si="1"/>
        <v>100</v>
      </c>
      <c r="I17" s="9">
        <f>DK!$C$6</f>
        <v>85.251398781916919</v>
      </c>
      <c r="J17" s="9">
        <f>DK!$D$7</f>
        <v>53.742054028363142</v>
      </c>
      <c r="K17" s="9">
        <f>DK!$E$8</f>
        <v>42.256165815237701</v>
      </c>
      <c r="L17" s="9">
        <f>DK!$F$8</f>
        <v>60.657203044398322</v>
      </c>
    </row>
    <row r="18" spans="2:12" x14ac:dyDescent="0.35">
      <c r="B18" s="3">
        <f t="shared" si="0"/>
        <v>100</v>
      </c>
      <c r="C18" s="2">
        <f>CRR!$C$8</f>
        <v>81.762430818243487</v>
      </c>
      <c r="D18" s="2">
        <f>CRR!$D$9</f>
        <v>66.850950933080526</v>
      </c>
      <c r="E18" s="2">
        <f>CRR!$E$10</f>
        <v>54.65896250799787</v>
      </c>
      <c r="F18" s="2">
        <f>CRR!$F$11</f>
        <v>44.690496406571405</v>
      </c>
      <c r="H18" s="8">
        <f t="shared" si="1"/>
        <v>100</v>
      </c>
      <c r="I18" s="9">
        <f>DK!$C$6</f>
        <v>85.251398781916919</v>
      </c>
      <c r="J18" s="9">
        <f>DK!$D$7</f>
        <v>53.742054028363142</v>
      </c>
      <c r="K18" s="9">
        <f>DK!$E$8</f>
        <v>42.256165815237701</v>
      </c>
      <c r="L18" s="9">
        <f>DK!$F$9</f>
        <v>18.449979053985142</v>
      </c>
    </row>
  </sheetData>
  <mergeCells count="2">
    <mergeCell ref="B2:F2"/>
    <mergeCell ref="H2:L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P208"/>
  <sheetViews>
    <sheetView workbookViewId="0">
      <selection activeCell="F19" sqref="F18:F19"/>
    </sheetView>
  </sheetViews>
  <sheetFormatPr defaultColWidth="9.1796875" defaultRowHeight="14.5" x14ac:dyDescent="0.35"/>
  <cols>
    <col min="1" max="16384" width="9.1796875" style="1"/>
  </cols>
  <sheetData>
    <row r="2" spans="2:16" x14ac:dyDescent="0.35">
      <c r="B2" s="27" t="s">
        <v>12</v>
      </c>
      <c r="C2" s="16">
        <v>0.02</v>
      </c>
    </row>
    <row r="3" spans="2:16" x14ac:dyDescent="0.35">
      <c r="B3" s="27" t="s">
        <v>13</v>
      </c>
      <c r="C3" s="16">
        <v>1.5</v>
      </c>
    </row>
    <row r="4" spans="2:16" x14ac:dyDescent="0.35">
      <c r="B4" s="27" t="s">
        <v>14</v>
      </c>
      <c r="C4" s="16">
        <v>0.7</v>
      </c>
    </row>
    <row r="5" spans="2:16" x14ac:dyDescent="0.35">
      <c r="B5" s="27" t="s">
        <v>15</v>
      </c>
      <c r="C5" s="15">
        <v>70</v>
      </c>
    </row>
    <row r="8" spans="2:16" x14ac:dyDescent="0.35">
      <c r="B8" s="27" t="s">
        <v>0</v>
      </c>
      <c r="C8" s="27" t="s">
        <v>16</v>
      </c>
      <c r="D8" s="27" t="s">
        <v>17</v>
      </c>
      <c r="F8" s="33" t="s">
        <v>4</v>
      </c>
      <c r="G8" s="33"/>
      <c r="H8" s="33"/>
      <c r="I8" s="33"/>
      <c r="J8" s="33"/>
      <c r="K8" s="23"/>
      <c r="L8" s="33" t="s">
        <v>18</v>
      </c>
      <c r="M8" s="33"/>
      <c r="N8" s="33"/>
      <c r="O8" s="33"/>
      <c r="P8" s="33"/>
    </row>
    <row r="9" spans="2:16" x14ac:dyDescent="0.35">
      <c r="B9" s="27">
        <v>50</v>
      </c>
      <c r="C9" s="15">
        <f t="shared" ref="C9:C40" si="0">B9-So</f>
        <v>-50</v>
      </c>
      <c r="D9" s="15">
        <f t="shared" ref="D9:D40" si="1">IF(B9&gt;So,fatup*(B9-So),IF(B9&gt;KI,0,fatdown*(B9-So)))</f>
        <v>-35</v>
      </c>
      <c r="F9" s="19">
        <f>cupom*So+EXP(-rf*T/4)*(CRR!B14*G9+(1-CRR!B14)*G10)</f>
        <v>-0.25345877817722684</v>
      </c>
      <c r="G9" s="18">
        <f>cupom*So</f>
        <v>2</v>
      </c>
      <c r="H9" s="18"/>
      <c r="I9" s="18"/>
      <c r="J9" s="18"/>
      <c r="L9" s="19">
        <f>cupom*So+EXP(-rf*T/4)*(DK!B12*M9+(1-DK!B12)*M10)</f>
        <v>0.57526336023381708</v>
      </c>
      <c r="M9" s="18">
        <f>cupom*So</f>
        <v>2</v>
      </c>
      <c r="N9" s="18"/>
      <c r="O9" s="18"/>
      <c r="P9" s="18"/>
    </row>
    <row r="10" spans="2:16" x14ac:dyDescent="0.35">
      <c r="B10" s="27">
        <f>B9+0.5</f>
        <v>50.5</v>
      </c>
      <c r="C10" s="15">
        <f t="shared" si="0"/>
        <v>-49.5</v>
      </c>
      <c r="D10" s="15">
        <f t="shared" si="1"/>
        <v>-34.65</v>
      </c>
      <c r="F10" s="20"/>
      <c r="G10" s="18">
        <f>cupom*So+EXP(-rf*T/4)*(CRR!C15*H10+(1-CRR!C15)*H11)</f>
        <v>-5.9299228238765682</v>
      </c>
      <c r="H10" s="18">
        <f>cupom*So</f>
        <v>2</v>
      </c>
      <c r="I10" s="18">
        <f>cupom*So</f>
        <v>2</v>
      </c>
      <c r="J10" s="18"/>
      <c r="L10" s="20"/>
      <c r="M10" s="18">
        <f>cupom*So+EXP(-rf*T/4)*(DK!C13*N10+(1-DK!C13)*N11)</f>
        <v>-4.5473031702545565</v>
      </c>
      <c r="N10" s="18">
        <f>cupom*So</f>
        <v>2</v>
      </c>
      <c r="O10" s="18">
        <f>cupom*So</f>
        <v>2</v>
      </c>
      <c r="P10" s="18"/>
    </row>
    <row r="11" spans="2:16" x14ac:dyDescent="0.35">
      <c r="B11" s="27">
        <f t="shared" ref="B11:B74" si="2">B10+0.5</f>
        <v>51</v>
      </c>
      <c r="C11" s="15">
        <f t="shared" si="0"/>
        <v>-49</v>
      </c>
      <c r="D11" s="15">
        <f t="shared" si="1"/>
        <v>-34.299999999999997</v>
      </c>
      <c r="F11" s="20"/>
      <c r="G11" s="20"/>
      <c r="H11" s="18">
        <f>cupom*So+EXP(-rf*T/4)*(CRR!D16*I11+(1-CRR!D16)*I12)</f>
        <v>-16.537698083401704</v>
      </c>
      <c r="I11" s="18">
        <f>cupom*So+EXP(-rf*T/4)*(CRR!E16*J11+(1-CRR!E16)*J12)</f>
        <v>-8.4271470123319592</v>
      </c>
      <c r="J11" s="18">
        <f>cupom*So</f>
        <v>2</v>
      </c>
      <c r="L11" s="20"/>
      <c r="M11" s="20"/>
      <c r="N11" s="18">
        <f>cupom*So+EXP(-rf*T/4)*(DK!D14*O11+(1-DK!D14)*O12)</f>
        <v>-25.713925916703865</v>
      </c>
      <c r="O11" s="18">
        <f>cupom*So+EXP(-rf*T/4)*(DK!E14*P11+(1-DK!E14)*P12)</f>
        <v>-7.3455682638472091</v>
      </c>
      <c r="P11" s="18">
        <f>cupom*So</f>
        <v>2</v>
      </c>
    </row>
    <row r="12" spans="2:16" x14ac:dyDescent="0.35">
      <c r="B12" s="27">
        <f t="shared" si="2"/>
        <v>51.5</v>
      </c>
      <c r="C12" s="15">
        <f t="shared" si="0"/>
        <v>-48.5</v>
      </c>
      <c r="D12" s="15">
        <f t="shared" si="1"/>
        <v>-33.949999999999996</v>
      </c>
      <c r="F12" s="20"/>
      <c r="G12" s="20"/>
      <c r="H12" s="20"/>
      <c r="I12" s="18">
        <f>cupom*So+EXP(-rf*T/4)*(CRR!E17*J12+(1-CRR!E17)*J13)</f>
        <v>-27.399574829503894</v>
      </c>
      <c r="J12" s="18">
        <f>cupom*So+IF(CRR!F10&gt;KI,0,fatdown*(CRR!F10-So))</f>
        <v>-21.20433434684363</v>
      </c>
      <c r="L12" s="20"/>
      <c r="M12" s="20"/>
      <c r="N12" s="20"/>
      <c r="O12" s="18">
        <f>cupom*So+EXP(-rf*T/4)*(DK!E15*P12+(1-DK!E15)*P13)</f>
        <v>-36.081532514436006</v>
      </c>
      <c r="P12" s="18">
        <f>cupom*So+IF(DK!F8&gt;KI,0,fatdown*(DK!F8-So))</f>
        <v>-25.539957868921174</v>
      </c>
    </row>
    <row r="13" spans="2:16" x14ac:dyDescent="0.35">
      <c r="B13" s="27">
        <f t="shared" si="2"/>
        <v>52</v>
      </c>
      <c r="C13" s="15">
        <f t="shared" si="0"/>
        <v>-48</v>
      </c>
      <c r="D13" s="15">
        <f t="shared" si="1"/>
        <v>-33.599999999999994</v>
      </c>
      <c r="F13" s="18"/>
      <c r="G13" s="18"/>
      <c r="H13" s="18"/>
      <c r="I13" s="18"/>
      <c r="J13" s="18">
        <f>cupom*So+IF(CRR!F11&gt;KI,0,fatdown*(CRR!F11-So))</f>
        <v>-36.716652515400014</v>
      </c>
      <c r="L13" s="18"/>
      <c r="M13" s="18"/>
      <c r="N13" s="18"/>
      <c r="O13" s="18"/>
      <c r="P13" s="18">
        <f>cupom*So+IF(DK!F9&gt;KI,0,fatdown*(DK!F9-So))</f>
        <v>-55.085014662210391</v>
      </c>
    </row>
    <row r="14" spans="2:16" x14ac:dyDescent="0.35">
      <c r="B14" s="27">
        <f t="shared" si="2"/>
        <v>52.5</v>
      </c>
      <c r="C14" s="15">
        <f t="shared" si="0"/>
        <v>-47.5</v>
      </c>
      <c r="D14" s="15">
        <f t="shared" si="1"/>
        <v>-33.25</v>
      </c>
    </row>
    <row r="15" spans="2:16" x14ac:dyDescent="0.35">
      <c r="B15" s="27">
        <f t="shared" si="2"/>
        <v>53</v>
      </c>
      <c r="C15" s="15">
        <f t="shared" si="0"/>
        <v>-47</v>
      </c>
      <c r="D15" s="15">
        <f t="shared" si="1"/>
        <v>-32.9</v>
      </c>
    </row>
    <row r="16" spans="2:16" x14ac:dyDescent="0.35">
      <c r="B16" s="27">
        <f t="shared" si="2"/>
        <v>53.5</v>
      </c>
      <c r="C16" s="15">
        <f t="shared" si="0"/>
        <v>-46.5</v>
      </c>
      <c r="D16" s="15">
        <f t="shared" si="1"/>
        <v>-32.549999999999997</v>
      </c>
    </row>
    <row r="17" spans="2:12" x14ac:dyDescent="0.35">
      <c r="B17" s="27">
        <f t="shared" si="2"/>
        <v>54</v>
      </c>
      <c r="C17" s="15">
        <f t="shared" si="0"/>
        <v>-46</v>
      </c>
      <c r="D17" s="15">
        <f t="shared" si="1"/>
        <v>-32.199999999999996</v>
      </c>
    </row>
    <row r="18" spans="2:12" x14ac:dyDescent="0.35">
      <c r="B18" s="27">
        <f t="shared" si="2"/>
        <v>54.5</v>
      </c>
      <c r="C18" s="15">
        <f t="shared" si="0"/>
        <v>-45.5</v>
      </c>
      <c r="D18" s="15">
        <f t="shared" si="1"/>
        <v>-31.849999999999998</v>
      </c>
      <c r="L18" s="24"/>
    </row>
    <row r="19" spans="2:12" x14ac:dyDescent="0.35">
      <c r="B19" s="27">
        <f t="shared" si="2"/>
        <v>55</v>
      </c>
      <c r="C19" s="15">
        <f t="shared" si="0"/>
        <v>-45</v>
      </c>
      <c r="D19" s="15">
        <f t="shared" si="1"/>
        <v>-31.499999999999996</v>
      </c>
    </row>
    <row r="20" spans="2:12" x14ac:dyDescent="0.35">
      <c r="B20" s="27">
        <f t="shared" si="2"/>
        <v>55.5</v>
      </c>
      <c r="C20" s="15">
        <f t="shared" si="0"/>
        <v>-44.5</v>
      </c>
      <c r="D20" s="15">
        <f t="shared" si="1"/>
        <v>-31.15</v>
      </c>
    </row>
    <row r="21" spans="2:12" x14ac:dyDescent="0.35">
      <c r="B21" s="27">
        <f t="shared" si="2"/>
        <v>56</v>
      </c>
      <c r="C21" s="15">
        <f t="shared" si="0"/>
        <v>-44</v>
      </c>
      <c r="D21" s="15">
        <f t="shared" si="1"/>
        <v>-30.799999999999997</v>
      </c>
    </row>
    <row r="22" spans="2:12" x14ac:dyDescent="0.35">
      <c r="B22" s="27">
        <f t="shared" si="2"/>
        <v>56.5</v>
      </c>
      <c r="C22" s="15">
        <f t="shared" si="0"/>
        <v>-43.5</v>
      </c>
      <c r="D22" s="15">
        <f t="shared" si="1"/>
        <v>-30.45</v>
      </c>
    </row>
    <row r="23" spans="2:12" x14ac:dyDescent="0.35">
      <c r="B23" s="27">
        <f t="shared" si="2"/>
        <v>57</v>
      </c>
      <c r="C23" s="15">
        <f t="shared" si="0"/>
        <v>-43</v>
      </c>
      <c r="D23" s="15">
        <f t="shared" si="1"/>
        <v>-30.099999999999998</v>
      </c>
    </row>
    <row r="24" spans="2:12" x14ac:dyDescent="0.35">
      <c r="B24" s="27">
        <f t="shared" si="2"/>
        <v>57.5</v>
      </c>
      <c r="C24" s="15">
        <f t="shared" si="0"/>
        <v>-42.5</v>
      </c>
      <c r="D24" s="15">
        <f t="shared" si="1"/>
        <v>-29.749999999999996</v>
      </c>
    </row>
    <row r="25" spans="2:12" x14ac:dyDescent="0.35">
      <c r="B25" s="27">
        <f t="shared" si="2"/>
        <v>58</v>
      </c>
      <c r="C25" s="15">
        <f t="shared" si="0"/>
        <v>-42</v>
      </c>
      <c r="D25" s="15">
        <f t="shared" si="1"/>
        <v>-29.4</v>
      </c>
    </row>
    <row r="26" spans="2:12" x14ac:dyDescent="0.35">
      <c r="B26" s="27">
        <f t="shared" si="2"/>
        <v>58.5</v>
      </c>
      <c r="C26" s="15">
        <f t="shared" si="0"/>
        <v>-41.5</v>
      </c>
      <c r="D26" s="15">
        <f t="shared" si="1"/>
        <v>-29.049999999999997</v>
      </c>
    </row>
    <row r="27" spans="2:12" x14ac:dyDescent="0.35">
      <c r="B27" s="27">
        <f t="shared" si="2"/>
        <v>59</v>
      </c>
      <c r="C27" s="15">
        <f t="shared" si="0"/>
        <v>-41</v>
      </c>
      <c r="D27" s="15">
        <f t="shared" si="1"/>
        <v>-28.7</v>
      </c>
    </row>
    <row r="28" spans="2:12" x14ac:dyDescent="0.35">
      <c r="B28" s="27">
        <f t="shared" si="2"/>
        <v>59.5</v>
      </c>
      <c r="C28" s="15">
        <f t="shared" si="0"/>
        <v>-40.5</v>
      </c>
      <c r="D28" s="15">
        <f t="shared" si="1"/>
        <v>-28.349999999999998</v>
      </c>
    </row>
    <row r="29" spans="2:12" x14ac:dyDescent="0.35">
      <c r="B29" s="27">
        <f t="shared" si="2"/>
        <v>60</v>
      </c>
      <c r="C29" s="15">
        <f t="shared" si="0"/>
        <v>-40</v>
      </c>
      <c r="D29" s="15">
        <f t="shared" si="1"/>
        <v>-28</v>
      </c>
    </row>
    <row r="30" spans="2:12" x14ac:dyDescent="0.35">
      <c r="B30" s="27">
        <f t="shared" si="2"/>
        <v>60.5</v>
      </c>
      <c r="C30" s="15">
        <f t="shared" si="0"/>
        <v>-39.5</v>
      </c>
      <c r="D30" s="15">
        <f t="shared" si="1"/>
        <v>-27.65</v>
      </c>
    </row>
    <row r="31" spans="2:12" x14ac:dyDescent="0.35">
      <c r="B31" s="27">
        <f t="shared" si="2"/>
        <v>61</v>
      </c>
      <c r="C31" s="15">
        <f t="shared" si="0"/>
        <v>-39</v>
      </c>
      <c r="D31" s="15">
        <f t="shared" si="1"/>
        <v>-27.299999999999997</v>
      </c>
    </row>
    <row r="32" spans="2:12" x14ac:dyDescent="0.35">
      <c r="B32" s="27">
        <f t="shared" si="2"/>
        <v>61.5</v>
      </c>
      <c r="C32" s="15">
        <f t="shared" si="0"/>
        <v>-38.5</v>
      </c>
      <c r="D32" s="15">
        <f t="shared" si="1"/>
        <v>-26.95</v>
      </c>
    </row>
    <row r="33" spans="2:4" x14ac:dyDescent="0.35">
      <c r="B33" s="27">
        <f t="shared" si="2"/>
        <v>62</v>
      </c>
      <c r="C33" s="15">
        <f t="shared" si="0"/>
        <v>-38</v>
      </c>
      <c r="D33" s="15">
        <f t="shared" si="1"/>
        <v>-26.599999999999998</v>
      </c>
    </row>
    <row r="34" spans="2:4" x14ac:dyDescent="0.35">
      <c r="B34" s="27">
        <f t="shared" si="2"/>
        <v>62.5</v>
      </c>
      <c r="C34" s="15">
        <f t="shared" si="0"/>
        <v>-37.5</v>
      </c>
      <c r="D34" s="15">
        <f t="shared" si="1"/>
        <v>-26.25</v>
      </c>
    </row>
    <row r="35" spans="2:4" x14ac:dyDescent="0.35">
      <c r="B35" s="27">
        <f t="shared" si="2"/>
        <v>63</v>
      </c>
      <c r="C35" s="15">
        <f t="shared" si="0"/>
        <v>-37</v>
      </c>
      <c r="D35" s="15">
        <f t="shared" si="1"/>
        <v>-25.9</v>
      </c>
    </row>
    <row r="36" spans="2:4" x14ac:dyDescent="0.35">
      <c r="B36" s="27">
        <f t="shared" si="2"/>
        <v>63.5</v>
      </c>
      <c r="C36" s="15">
        <f t="shared" si="0"/>
        <v>-36.5</v>
      </c>
      <c r="D36" s="15">
        <f t="shared" si="1"/>
        <v>-25.549999999999997</v>
      </c>
    </row>
    <row r="37" spans="2:4" x14ac:dyDescent="0.35">
      <c r="B37" s="27">
        <f t="shared" si="2"/>
        <v>64</v>
      </c>
      <c r="C37" s="15">
        <f t="shared" si="0"/>
        <v>-36</v>
      </c>
      <c r="D37" s="15">
        <f t="shared" si="1"/>
        <v>-25.2</v>
      </c>
    </row>
    <row r="38" spans="2:4" x14ac:dyDescent="0.35">
      <c r="B38" s="27">
        <f t="shared" si="2"/>
        <v>64.5</v>
      </c>
      <c r="C38" s="15">
        <f t="shared" si="0"/>
        <v>-35.5</v>
      </c>
      <c r="D38" s="15">
        <f t="shared" si="1"/>
        <v>-24.849999999999998</v>
      </c>
    </row>
    <row r="39" spans="2:4" x14ac:dyDescent="0.35">
      <c r="B39" s="27">
        <f t="shared" si="2"/>
        <v>65</v>
      </c>
      <c r="C39" s="15">
        <f t="shared" si="0"/>
        <v>-35</v>
      </c>
      <c r="D39" s="15">
        <f t="shared" si="1"/>
        <v>-24.5</v>
      </c>
    </row>
    <row r="40" spans="2:4" x14ac:dyDescent="0.35">
      <c r="B40" s="27">
        <f t="shared" si="2"/>
        <v>65.5</v>
      </c>
      <c r="C40" s="15">
        <f t="shared" si="0"/>
        <v>-34.5</v>
      </c>
      <c r="D40" s="15">
        <f t="shared" si="1"/>
        <v>-24.15</v>
      </c>
    </row>
    <row r="41" spans="2:4" x14ac:dyDescent="0.35">
      <c r="B41" s="27">
        <f t="shared" si="2"/>
        <v>66</v>
      </c>
      <c r="C41" s="15">
        <f t="shared" ref="C41:C72" si="3">B41-So</f>
        <v>-34</v>
      </c>
      <c r="D41" s="15">
        <f t="shared" ref="D41:D72" si="4">IF(B41&gt;So,fatup*(B41-So),IF(B41&gt;KI,0,fatdown*(B41-So)))</f>
        <v>-23.799999999999997</v>
      </c>
    </row>
    <row r="42" spans="2:4" x14ac:dyDescent="0.35">
      <c r="B42" s="27">
        <f t="shared" si="2"/>
        <v>66.5</v>
      </c>
      <c r="C42" s="15">
        <f t="shared" si="3"/>
        <v>-33.5</v>
      </c>
      <c r="D42" s="15">
        <f t="shared" si="4"/>
        <v>-23.45</v>
      </c>
    </row>
    <row r="43" spans="2:4" x14ac:dyDescent="0.35">
      <c r="B43" s="27">
        <f t="shared" si="2"/>
        <v>67</v>
      </c>
      <c r="C43" s="15">
        <f t="shared" si="3"/>
        <v>-33</v>
      </c>
      <c r="D43" s="15">
        <f t="shared" si="4"/>
        <v>-23.099999999999998</v>
      </c>
    </row>
    <row r="44" spans="2:4" x14ac:dyDescent="0.35">
      <c r="B44" s="27">
        <f t="shared" si="2"/>
        <v>67.5</v>
      </c>
      <c r="C44" s="15">
        <f t="shared" si="3"/>
        <v>-32.5</v>
      </c>
      <c r="D44" s="15">
        <f t="shared" si="4"/>
        <v>-22.75</v>
      </c>
    </row>
    <row r="45" spans="2:4" x14ac:dyDescent="0.35">
      <c r="B45" s="27">
        <f t="shared" si="2"/>
        <v>68</v>
      </c>
      <c r="C45" s="15">
        <f t="shared" si="3"/>
        <v>-32</v>
      </c>
      <c r="D45" s="15">
        <f t="shared" si="4"/>
        <v>-22.4</v>
      </c>
    </row>
    <row r="46" spans="2:4" x14ac:dyDescent="0.35">
      <c r="B46" s="27">
        <f t="shared" si="2"/>
        <v>68.5</v>
      </c>
      <c r="C46" s="15">
        <f t="shared" si="3"/>
        <v>-31.5</v>
      </c>
      <c r="D46" s="15">
        <f t="shared" si="4"/>
        <v>-22.049999999999997</v>
      </c>
    </row>
    <row r="47" spans="2:4" x14ac:dyDescent="0.35">
      <c r="B47" s="27">
        <f t="shared" si="2"/>
        <v>69</v>
      </c>
      <c r="C47" s="15">
        <f t="shared" si="3"/>
        <v>-31</v>
      </c>
      <c r="D47" s="15">
        <f t="shared" si="4"/>
        <v>-21.7</v>
      </c>
    </row>
    <row r="48" spans="2:4" x14ac:dyDescent="0.35">
      <c r="B48" s="27">
        <f t="shared" si="2"/>
        <v>69.5</v>
      </c>
      <c r="C48" s="15">
        <f t="shared" si="3"/>
        <v>-30.5</v>
      </c>
      <c r="D48" s="15">
        <f t="shared" si="4"/>
        <v>-21.349999999999998</v>
      </c>
    </row>
    <row r="49" spans="2:4" x14ac:dyDescent="0.35">
      <c r="B49" s="27">
        <f t="shared" si="2"/>
        <v>70</v>
      </c>
      <c r="C49" s="15">
        <f t="shared" si="3"/>
        <v>-30</v>
      </c>
      <c r="D49" s="15">
        <f t="shared" si="4"/>
        <v>-21</v>
      </c>
    </row>
    <row r="50" spans="2:4" x14ac:dyDescent="0.35">
      <c r="B50" s="27">
        <f t="shared" si="2"/>
        <v>70.5</v>
      </c>
      <c r="C50" s="15">
        <f t="shared" si="3"/>
        <v>-29.5</v>
      </c>
      <c r="D50" s="15">
        <f t="shared" si="4"/>
        <v>0</v>
      </c>
    </row>
    <row r="51" spans="2:4" x14ac:dyDescent="0.35">
      <c r="B51" s="27">
        <f t="shared" si="2"/>
        <v>71</v>
      </c>
      <c r="C51" s="15">
        <f t="shared" si="3"/>
        <v>-29</v>
      </c>
      <c r="D51" s="15">
        <f t="shared" si="4"/>
        <v>0</v>
      </c>
    </row>
    <row r="52" spans="2:4" x14ac:dyDescent="0.35">
      <c r="B52" s="27">
        <f t="shared" si="2"/>
        <v>71.5</v>
      </c>
      <c r="C52" s="15">
        <f t="shared" si="3"/>
        <v>-28.5</v>
      </c>
      <c r="D52" s="15">
        <f t="shared" si="4"/>
        <v>0</v>
      </c>
    </row>
    <row r="53" spans="2:4" x14ac:dyDescent="0.35">
      <c r="B53" s="27">
        <f t="shared" si="2"/>
        <v>72</v>
      </c>
      <c r="C53" s="15">
        <f t="shared" si="3"/>
        <v>-28</v>
      </c>
      <c r="D53" s="15">
        <f t="shared" si="4"/>
        <v>0</v>
      </c>
    </row>
    <row r="54" spans="2:4" x14ac:dyDescent="0.35">
      <c r="B54" s="27">
        <f t="shared" si="2"/>
        <v>72.5</v>
      </c>
      <c r="C54" s="15">
        <f t="shared" si="3"/>
        <v>-27.5</v>
      </c>
      <c r="D54" s="15">
        <f t="shared" si="4"/>
        <v>0</v>
      </c>
    </row>
    <row r="55" spans="2:4" x14ac:dyDescent="0.35">
      <c r="B55" s="27">
        <f t="shared" si="2"/>
        <v>73</v>
      </c>
      <c r="C55" s="15">
        <f t="shared" si="3"/>
        <v>-27</v>
      </c>
      <c r="D55" s="15">
        <f t="shared" si="4"/>
        <v>0</v>
      </c>
    </row>
    <row r="56" spans="2:4" x14ac:dyDescent="0.35">
      <c r="B56" s="27">
        <f t="shared" si="2"/>
        <v>73.5</v>
      </c>
      <c r="C56" s="15">
        <f t="shared" si="3"/>
        <v>-26.5</v>
      </c>
      <c r="D56" s="15">
        <f t="shared" si="4"/>
        <v>0</v>
      </c>
    </row>
    <row r="57" spans="2:4" x14ac:dyDescent="0.35">
      <c r="B57" s="27">
        <f t="shared" si="2"/>
        <v>74</v>
      </c>
      <c r="C57" s="15">
        <f t="shared" si="3"/>
        <v>-26</v>
      </c>
      <c r="D57" s="15">
        <f t="shared" si="4"/>
        <v>0</v>
      </c>
    </row>
    <row r="58" spans="2:4" x14ac:dyDescent="0.35">
      <c r="B58" s="27">
        <f t="shared" si="2"/>
        <v>74.5</v>
      </c>
      <c r="C58" s="15">
        <f t="shared" si="3"/>
        <v>-25.5</v>
      </c>
      <c r="D58" s="15">
        <f t="shared" si="4"/>
        <v>0</v>
      </c>
    </row>
    <row r="59" spans="2:4" x14ac:dyDescent="0.35">
      <c r="B59" s="27">
        <f t="shared" si="2"/>
        <v>75</v>
      </c>
      <c r="C59" s="15">
        <f t="shared" si="3"/>
        <v>-25</v>
      </c>
      <c r="D59" s="15">
        <f t="shared" si="4"/>
        <v>0</v>
      </c>
    </row>
    <row r="60" spans="2:4" x14ac:dyDescent="0.35">
      <c r="B60" s="27">
        <f t="shared" si="2"/>
        <v>75.5</v>
      </c>
      <c r="C60" s="15">
        <f t="shared" si="3"/>
        <v>-24.5</v>
      </c>
      <c r="D60" s="15">
        <f t="shared" si="4"/>
        <v>0</v>
      </c>
    </row>
    <row r="61" spans="2:4" x14ac:dyDescent="0.35">
      <c r="B61" s="27">
        <f t="shared" si="2"/>
        <v>76</v>
      </c>
      <c r="C61" s="15">
        <f t="shared" si="3"/>
        <v>-24</v>
      </c>
      <c r="D61" s="15">
        <f t="shared" si="4"/>
        <v>0</v>
      </c>
    </row>
    <row r="62" spans="2:4" x14ac:dyDescent="0.35">
      <c r="B62" s="27">
        <f t="shared" si="2"/>
        <v>76.5</v>
      </c>
      <c r="C62" s="15">
        <f t="shared" si="3"/>
        <v>-23.5</v>
      </c>
      <c r="D62" s="15">
        <f t="shared" si="4"/>
        <v>0</v>
      </c>
    </row>
    <row r="63" spans="2:4" x14ac:dyDescent="0.35">
      <c r="B63" s="27">
        <f t="shared" si="2"/>
        <v>77</v>
      </c>
      <c r="C63" s="15">
        <f t="shared" si="3"/>
        <v>-23</v>
      </c>
      <c r="D63" s="15">
        <f t="shared" si="4"/>
        <v>0</v>
      </c>
    </row>
    <row r="64" spans="2:4" x14ac:dyDescent="0.35">
      <c r="B64" s="27">
        <f t="shared" si="2"/>
        <v>77.5</v>
      </c>
      <c r="C64" s="15">
        <f t="shared" si="3"/>
        <v>-22.5</v>
      </c>
      <c r="D64" s="15">
        <f t="shared" si="4"/>
        <v>0</v>
      </c>
    </row>
    <row r="65" spans="2:4" x14ac:dyDescent="0.35">
      <c r="B65" s="27">
        <f t="shared" si="2"/>
        <v>78</v>
      </c>
      <c r="C65" s="15">
        <f t="shared" si="3"/>
        <v>-22</v>
      </c>
      <c r="D65" s="15">
        <f t="shared" si="4"/>
        <v>0</v>
      </c>
    </row>
    <row r="66" spans="2:4" x14ac:dyDescent="0.35">
      <c r="B66" s="27">
        <f t="shared" si="2"/>
        <v>78.5</v>
      </c>
      <c r="C66" s="15">
        <f t="shared" si="3"/>
        <v>-21.5</v>
      </c>
      <c r="D66" s="15">
        <f t="shared" si="4"/>
        <v>0</v>
      </c>
    </row>
    <row r="67" spans="2:4" x14ac:dyDescent="0.35">
      <c r="B67" s="27">
        <f t="shared" si="2"/>
        <v>79</v>
      </c>
      <c r="C67" s="15">
        <f t="shared" si="3"/>
        <v>-21</v>
      </c>
      <c r="D67" s="15">
        <f t="shared" si="4"/>
        <v>0</v>
      </c>
    </row>
    <row r="68" spans="2:4" x14ac:dyDescent="0.35">
      <c r="B68" s="27">
        <f t="shared" si="2"/>
        <v>79.5</v>
      </c>
      <c r="C68" s="15">
        <f t="shared" si="3"/>
        <v>-20.5</v>
      </c>
      <c r="D68" s="15">
        <f t="shared" si="4"/>
        <v>0</v>
      </c>
    </row>
    <row r="69" spans="2:4" x14ac:dyDescent="0.35">
      <c r="B69" s="27">
        <f t="shared" si="2"/>
        <v>80</v>
      </c>
      <c r="C69" s="15">
        <f t="shared" si="3"/>
        <v>-20</v>
      </c>
      <c r="D69" s="15">
        <f t="shared" si="4"/>
        <v>0</v>
      </c>
    </row>
    <row r="70" spans="2:4" x14ac:dyDescent="0.35">
      <c r="B70" s="27">
        <f t="shared" si="2"/>
        <v>80.5</v>
      </c>
      <c r="C70" s="15">
        <f t="shared" si="3"/>
        <v>-19.5</v>
      </c>
      <c r="D70" s="15">
        <f t="shared" si="4"/>
        <v>0</v>
      </c>
    </row>
    <row r="71" spans="2:4" x14ac:dyDescent="0.35">
      <c r="B71" s="27">
        <f t="shared" si="2"/>
        <v>81</v>
      </c>
      <c r="C71" s="15">
        <f t="shared" si="3"/>
        <v>-19</v>
      </c>
      <c r="D71" s="15">
        <f t="shared" si="4"/>
        <v>0</v>
      </c>
    </row>
    <row r="72" spans="2:4" x14ac:dyDescent="0.35">
      <c r="B72" s="27">
        <f t="shared" si="2"/>
        <v>81.5</v>
      </c>
      <c r="C72" s="15">
        <f t="shared" si="3"/>
        <v>-18.5</v>
      </c>
      <c r="D72" s="15">
        <f t="shared" si="4"/>
        <v>0</v>
      </c>
    </row>
    <row r="73" spans="2:4" x14ac:dyDescent="0.35">
      <c r="B73" s="27">
        <f t="shared" si="2"/>
        <v>82</v>
      </c>
      <c r="C73" s="15">
        <f t="shared" ref="C73:C104" si="5">B73-So</f>
        <v>-18</v>
      </c>
      <c r="D73" s="15">
        <f t="shared" ref="D73:D104" si="6">IF(B73&gt;So,fatup*(B73-So),IF(B73&gt;KI,0,fatdown*(B73-So)))</f>
        <v>0</v>
      </c>
    </row>
    <row r="74" spans="2:4" x14ac:dyDescent="0.35">
      <c r="B74" s="27">
        <f t="shared" si="2"/>
        <v>82.5</v>
      </c>
      <c r="C74" s="15">
        <f t="shared" si="5"/>
        <v>-17.5</v>
      </c>
      <c r="D74" s="15">
        <f t="shared" si="6"/>
        <v>0</v>
      </c>
    </row>
    <row r="75" spans="2:4" x14ac:dyDescent="0.35">
      <c r="B75" s="27">
        <f t="shared" ref="B75:B138" si="7">B74+0.5</f>
        <v>83</v>
      </c>
      <c r="C75" s="15">
        <f t="shared" si="5"/>
        <v>-17</v>
      </c>
      <c r="D75" s="15">
        <f t="shared" si="6"/>
        <v>0</v>
      </c>
    </row>
    <row r="76" spans="2:4" x14ac:dyDescent="0.35">
      <c r="B76" s="27">
        <f t="shared" si="7"/>
        <v>83.5</v>
      </c>
      <c r="C76" s="15">
        <f t="shared" si="5"/>
        <v>-16.5</v>
      </c>
      <c r="D76" s="15">
        <f t="shared" si="6"/>
        <v>0</v>
      </c>
    </row>
    <row r="77" spans="2:4" x14ac:dyDescent="0.35">
      <c r="B77" s="27">
        <f t="shared" si="7"/>
        <v>84</v>
      </c>
      <c r="C77" s="15">
        <f t="shared" si="5"/>
        <v>-16</v>
      </c>
      <c r="D77" s="15">
        <f t="shared" si="6"/>
        <v>0</v>
      </c>
    </row>
    <row r="78" spans="2:4" x14ac:dyDescent="0.35">
      <c r="B78" s="27">
        <f t="shared" si="7"/>
        <v>84.5</v>
      </c>
      <c r="C78" s="15">
        <f t="shared" si="5"/>
        <v>-15.5</v>
      </c>
      <c r="D78" s="15">
        <f t="shared" si="6"/>
        <v>0</v>
      </c>
    </row>
    <row r="79" spans="2:4" x14ac:dyDescent="0.35">
      <c r="B79" s="27">
        <f t="shared" si="7"/>
        <v>85</v>
      </c>
      <c r="C79" s="15">
        <f t="shared" si="5"/>
        <v>-15</v>
      </c>
      <c r="D79" s="15">
        <f t="shared" si="6"/>
        <v>0</v>
      </c>
    </row>
    <row r="80" spans="2:4" x14ac:dyDescent="0.35">
      <c r="B80" s="27">
        <f t="shared" si="7"/>
        <v>85.5</v>
      </c>
      <c r="C80" s="15">
        <f t="shared" si="5"/>
        <v>-14.5</v>
      </c>
      <c r="D80" s="15">
        <f t="shared" si="6"/>
        <v>0</v>
      </c>
    </row>
    <row r="81" spans="2:4" x14ac:dyDescent="0.35">
      <c r="B81" s="27">
        <f t="shared" si="7"/>
        <v>86</v>
      </c>
      <c r="C81" s="15">
        <f t="shared" si="5"/>
        <v>-14</v>
      </c>
      <c r="D81" s="15">
        <f t="shared" si="6"/>
        <v>0</v>
      </c>
    </row>
    <row r="82" spans="2:4" x14ac:dyDescent="0.35">
      <c r="B82" s="27">
        <f t="shared" si="7"/>
        <v>86.5</v>
      </c>
      <c r="C82" s="15">
        <f t="shared" si="5"/>
        <v>-13.5</v>
      </c>
      <c r="D82" s="15">
        <f t="shared" si="6"/>
        <v>0</v>
      </c>
    </row>
    <row r="83" spans="2:4" x14ac:dyDescent="0.35">
      <c r="B83" s="27">
        <f t="shared" si="7"/>
        <v>87</v>
      </c>
      <c r="C83" s="15">
        <f t="shared" si="5"/>
        <v>-13</v>
      </c>
      <c r="D83" s="15">
        <f t="shared" si="6"/>
        <v>0</v>
      </c>
    </row>
    <row r="84" spans="2:4" x14ac:dyDescent="0.35">
      <c r="B84" s="27">
        <f t="shared" si="7"/>
        <v>87.5</v>
      </c>
      <c r="C84" s="15">
        <f t="shared" si="5"/>
        <v>-12.5</v>
      </c>
      <c r="D84" s="15">
        <f t="shared" si="6"/>
        <v>0</v>
      </c>
    </row>
    <row r="85" spans="2:4" x14ac:dyDescent="0.35">
      <c r="B85" s="27">
        <f t="shared" si="7"/>
        <v>88</v>
      </c>
      <c r="C85" s="15">
        <f t="shared" si="5"/>
        <v>-12</v>
      </c>
      <c r="D85" s="15">
        <f t="shared" si="6"/>
        <v>0</v>
      </c>
    </row>
    <row r="86" spans="2:4" x14ac:dyDescent="0.35">
      <c r="B86" s="27">
        <f t="shared" si="7"/>
        <v>88.5</v>
      </c>
      <c r="C86" s="15">
        <f t="shared" si="5"/>
        <v>-11.5</v>
      </c>
      <c r="D86" s="15">
        <f t="shared" si="6"/>
        <v>0</v>
      </c>
    </row>
    <row r="87" spans="2:4" x14ac:dyDescent="0.35">
      <c r="B87" s="27">
        <f t="shared" si="7"/>
        <v>89</v>
      </c>
      <c r="C87" s="15">
        <f t="shared" si="5"/>
        <v>-11</v>
      </c>
      <c r="D87" s="15">
        <f t="shared" si="6"/>
        <v>0</v>
      </c>
    </row>
    <row r="88" spans="2:4" x14ac:dyDescent="0.35">
      <c r="B88" s="27">
        <f t="shared" si="7"/>
        <v>89.5</v>
      </c>
      <c r="C88" s="15">
        <f t="shared" si="5"/>
        <v>-10.5</v>
      </c>
      <c r="D88" s="15">
        <f t="shared" si="6"/>
        <v>0</v>
      </c>
    </row>
    <row r="89" spans="2:4" x14ac:dyDescent="0.35">
      <c r="B89" s="27">
        <f t="shared" si="7"/>
        <v>90</v>
      </c>
      <c r="C89" s="15">
        <f t="shared" si="5"/>
        <v>-10</v>
      </c>
      <c r="D89" s="15">
        <f t="shared" si="6"/>
        <v>0</v>
      </c>
    </row>
    <row r="90" spans="2:4" x14ac:dyDescent="0.35">
      <c r="B90" s="27">
        <f t="shared" si="7"/>
        <v>90.5</v>
      </c>
      <c r="C90" s="15">
        <f t="shared" si="5"/>
        <v>-9.5</v>
      </c>
      <c r="D90" s="15">
        <f t="shared" si="6"/>
        <v>0</v>
      </c>
    </row>
    <row r="91" spans="2:4" x14ac:dyDescent="0.35">
      <c r="B91" s="27">
        <f t="shared" si="7"/>
        <v>91</v>
      </c>
      <c r="C91" s="15">
        <f t="shared" si="5"/>
        <v>-9</v>
      </c>
      <c r="D91" s="15">
        <f t="shared" si="6"/>
        <v>0</v>
      </c>
    </row>
    <row r="92" spans="2:4" x14ac:dyDescent="0.35">
      <c r="B92" s="27">
        <f t="shared" si="7"/>
        <v>91.5</v>
      </c>
      <c r="C92" s="15">
        <f t="shared" si="5"/>
        <v>-8.5</v>
      </c>
      <c r="D92" s="15">
        <f t="shared" si="6"/>
        <v>0</v>
      </c>
    </row>
    <row r="93" spans="2:4" x14ac:dyDescent="0.35">
      <c r="B93" s="27">
        <f t="shared" si="7"/>
        <v>92</v>
      </c>
      <c r="C93" s="15">
        <f t="shared" si="5"/>
        <v>-8</v>
      </c>
      <c r="D93" s="15">
        <f t="shared" si="6"/>
        <v>0</v>
      </c>
    </row>
    <row r="94" spans="2:4" x14ac:dyDescent="0.35">
      <c r="B94" s="27">
        <f t="shared" si="7"/>
        <v>92.5</v>
      </c>
      <c r="C94" s="15">
        <f t="shared" si="5"/>
        <v>-7.5</v>
      </c>
      <c r="D94" s="15">
        <f t="shared" si="6"/>
        <v>0</v>
      </c>
    </row>
    <row r="95" spans="2:4" x14ac:dyDescent="0.35">
      <c r="B95" s="27">
        <f t="shared" si="7"/>
        <v>93</v>
      </c>
      <c r="C95" s="15">
        <f t="shared" si="5"/>
        <v>-7</v>
      </c>
      <c r="D95" s="15">
        <f t="shared" si="6"/>
        <v>0</v>
      </c>
    </row>
    <row r="96" spans="2:4" x14ac:dyDescent="0.35">
      <c r="B96" s="27">
        <f t="shared" si="7"/>
        <v>93.5</v>
      </c>
      <c r="C96" s="15">
        <f t="shared" si="5"/>
        <v>-6.5</v>
      </c>
      <c r="D96" s="15">
        <f t="shared" si="6"/>
        <v>0</v>
      </c>
    </row>
    <row r="97" spans="2:4" x14ac:dyDescent="0.35">
      <c r="B97" s="27">
        <f t="shared" si="7"/>
        <v>94</v>
      </c>
      <c r="C97" s="15">
        <f t="shared" si="5"/>
        <v>-6</v>
      </c>
      <c r="D97" s="15">
        <f t="shared" si="6"/>
        <v>0</v>
      </c>
    </row>
    <row r="98" spans="2:4" x14ac:dyDescent="0.35">
      <c r="B98" s="27">
        <f t="shared" si="7"/>
        <v>94.5</v>
      </c>
      <c r="C98" s="15">
        <f t="shared" si="5"/>
        <v>-5.5</v>
      </c>
      <c r="D98" s="15">
        <f t="shared" si="6"/>
        <v>0</v>
      </c>
    </row>
    <row r="99" spans="2:4" x14ac:dyDescent="0.35">
      <c r="B99" s="27">
        <f t="shared" si="7"/>
        <v>95</v>
      </c>
      <c r="C99" s="15">
        <f t="shared" si="5"/>
        <v>-5</v>
      </c>
      <c r="D99" s="15">
        <f t="shared" si="6"/>
        <v>0</v>
      </c>
    </row>
    <row r="100" spans="2:4" x14ac:dyDescent="0.35">
      <c r="B100" s="27">
        <f t="shared" si="7"/>
        <v>95.5</v>
      </c>
      <c r="C100" s="15">
        <f t="shared" si="5"/>
        <v>-4.5</v>
      </c>
      <c r="D100" s="15">
        <f t="shared" si="6"/>
        <v>0</v>
      </c>
    </row>
    <row r="101" spans="2:4" x14ac:dyDescent="0.35">
      <c r="B101" s="27">
        <f t="shared" si="7"/>
        <v>96</v>
      </c>
      <c r="C101" s="15">
        <f t="shared" si="5"/>
        <v>-4</v>
      </c>
      <c r="D101" s="15">
        <f t="shared" si="6"/>
        <v>0</v>
      </c>
    </row>
    <row r="102" spans="2:4" x14ac:dyDescent="0.35">
      <c r="B102" s="27">
        <f t="shared" si="7"/>
        <v>96.5</v>
      </c>
      <c r="C102" s="15">
        <f t="shared" si="5"/>
        <v>-3.5</v>
      </c>
      <c r="D102" s="15">
        <f t="shared" si="6"/>
        <v>0</v>
      </c>
    </row>
    <row r="103" spans="2:4" x14ac:dyDescent="0.35">
      <c r="B103" s="27">
        <f t="shared" si="7"/>
        <v>97</v>
      </c>
      <c r="C103" s="15">
        <f t="shared" si="5"/>
        <v>-3</v>
      </c>
      <c r="D103" s="15">
        <f t="shared" si="6"/>
        <v>0</v>
      </c>
    </row>
    <row r="104" spans="2:4" x14ac:dyDescent="0.35">
      <c r="B104" s="27">
        <f t="shared" si="7"/>
        <v>97.5</v>
      </c>
      <c r="C104" s="15">
        <f t="shared" si="5"/>
        <v>-2.5</v>
      </c>
      <c r="D104" s="15">
        <f t="shared" si="6"/>
        <v>0</v>
      </c>
    </row>
    <row r="105" spans="2:4" x14ac:dyDescent="0.35">
      <c r="B105" s="27">
        <f t="shared" si="7"/>
        <v>98</v>
      </c>
      <c r="C105" s="15">
        <f t="shared" ref="C105:C136" si="8">B105-So</f>
        <v>-2</v>
      </c>
      <c r="D105" s="15">
        <f t="shared" ref="D105:D136" si="9">IF(B105&gt;So,fatup*(B105-So),IF(B105&gt;KI,0,fatdown*(B105-So)))</f>
        <v>0</v>
      </c>
    </row>
    <row r="106" spans="2:4" x14ac:dyDescent="0.35">
      <c r="B106" s="27">
        <f t="shared" si="7"/>
        <v>98.5</v>
      </c>
      <c r="C106" s="15">
        <f t="shared" si="8"/>
        <v>-1.5</v>
      </c>
      <c r="D106" s="15">
        <f t="shared" si="9"/>
        <v>0</v>
      </c>
    </row>
    <row r="107" spans="2:4" x14ac:dyDescent="0.35">
      <c r="B107" s="27">
        <f t="shared" si="7"/>
        <v>99</v>
      </c>
      <c r="C107" s="15">
        <f t="shared" si="8"/>
        <v>-1</v>
      </c>
      <c r="D107" s="15">
        <f t="shared" si="9"/>
        <v>0</v>
      </c>
    </row>
    <row r="108" spans="2:4" x14ac:dyDescent="0.35">
      <c r="B108" s="27">
        <f t="shared" si="7"/>
        <v>99.5</v>
      </c>
      <c r="C108" s="15">
        <f t="shared" si="8"/>
        <v>-0.5</v>
      </c>
      <c r="D108" s="15">
        <f t="shared" si="9"/>
        <v>0</v>
      </c>
    </row>
    <row r="109" spans="2:4" x14ac:dyDescent="0.35">
      <c r="B109" s="27">
        <f t="shared" si="7"/>
        <v>100</v>
      </c>
      <c r="C109" s="15">
        <f t="shared" si="8"/>
        <v>0</v>
      </c>
      <c r="D109" s="15">
        <f t="shared" si="9"/>
        <v>0</v>
      </c>
    </row>
    <row r="110" spans="2:4" x14ac:dyDescent="0.35">
      <c r="B110" s="27">
        <f t="shared" si="7"/>
        <v>100.5</v>
      </c>
      <c r="C110" s="15">
        <f t="shared" si="8"/>
        <v>0.5</v>
      </c>
      <c r="D110" s="15">
        <f t="shared" si="9"/>
        <v>0.75</v>
      </c>
    </row>
    <row r="111" spans="2:4" x14ac:dyDescent="0.35">
      <c r="B111" s="27">
        <f t="shared" si="7"/>
        <v>101</v>
      </c>
      <c r="C111" s="15">
        <f t="shared" si="8"/>
        <v>1</v>
      </c>
      <c r="D111" s="15">
        <f t="shared" si="9"/>
        <v>1.5</v>
      </c>
    </row>
    <row r="112" spans="2:4" x14ac:dyDescent="0.35">
      <c r="B112" s="27">
        <f t="shared" si="7"/>
        <v>101.5</v>
      </c>
      <c r="C112" s="15">
        <f t="shared" si="8"/>
        <v>1.5</v>
      </c>
      <c r="D112" s="15">
        <f t="shared" si="9"/>
        <v>2.25</v>
      </c>
    </row>
    <row r="113" spans="2:4" x14ac:dyDescent="0.35">
      <c r="B113" s="27">
        <f t="shared" si="7"/>
        <v>102</v>
      </c>
      <c r="C113" s="15">
        <f t="shared" si="8"/>
        <v>2</v>
      </c>
      <c r="D113" s="15">
        <f t="shared" si="9"/>
        <v>3</v>
      </c>
    </row>
    <row r="114" spans="2:4" x14ac:dyDescent="0.35">
      <c r="B114" s="27">
        <f t="shared" si="7"/>
        <v>102.5</v>
      </c>
      <c r="C114" s="15">
        <f t="shared" si="8"/>
        <v>2.5</v>
      </c>
      <c r="D114" s="15">
        <f t="shared" si="9"/>
        <v>3.75</v>
      </c>
    </row>
    <row r="115" spans="2:4" x14ac:dyDescent="0.35">
      <c r="B115" s="27">
        <f t="shared" si="7"/>
        <v>103</v>
      </c>
      <c r="C115" s="15">
        <f t="shared" si="8"/>
        <v>3</v>
      </c>
      <c r="D115" s="15">
        <f t="shared" si="9"/>
        <v>4.5</v>
      </c>
    </row>
    <row r="116" spans="2:4" x14ac:dyDescent="0.35">
      <c r="B116" s="27">
        <f t="shared" si="7"/>
        <v>103.5</v>
      </c>
      <c r="C116" s="15">
        <f t="shared" si="8"/>
        <v>3.5</v>
      </c>
      <c r="D116" s="15">
        <f t="shared" si="9"/>
        <v>5.25</v>
      </c>
    </row>
    <row r="117" spans="2:4" x14ac:dyDescent="0.35">
      <c r="B117" s="27">
        <f t="shared" si="7"/>
        <v>104</v>
      </c>
      <c r="C117" s="15">
        <f t="shared" si="8"/>
        <v>4</v>
      </c>
      <c r="D117" s="15">
        <f t="shared" si="9"/>
        <v>6</v>
      </c>
    </row>
    <row r="118" spans="2:4" x14ac:dyDescent="0.35">
      <c r="B118" s="27">
        <f t="shared" si="7"/>
        <v>104.5</v>
      </c>
      <c r="C118" s="15">
        <f t="shared" si="8"/>
        <v>4.5</v>
      </c>
      <c r="D118" s="15">
        <f t="shared" si="9"/>
        <v>6.75</v>
      </c>
    </row>
    <row r="119" spans="2:4" x14ac:dyDescent="0.35">
      <c r="B119" s="27">
        <f t="shared" si="7"/>
        <v>105</v>
      </c>
      <c r="C119" s="15">
        <f t="shared" si="8"/>
        <v>5</v>
      </c>
      <c r="D119" s="15">
        <f t="shared" si="9"/>
        <v>7.5</v>
      </c>
    </row>
    <row r="120" spans="2:4" x14ac:dyDescent="0.35">
      <c r="B120" s="27">
        <f t="shared" si="7"/>
        <v>105.5</v>
      </c>
      <c r="C120" s="15">
        <f t="shared" si="8"/>
        <v>5.5</v>
      </c>
      <c r="D120" s="15">
        <f t="shared" si="9"/>
        <v>8.25</v>
      </c>
    </row>
    <row r="121" spans="2:4" x14ac:dyDescent="0.35">
      <c r="B121" s="27">
        <f t="shared" si="7"/>
        <v>106</v>
      </c>
      <c r="C121" s="15">
        <f t="shared" si="8"/>
        <v>6</v>
      </c>
      <c r="D121" s="15">
        <f t="shared" si="9"/>
        <v>9</v>
      </c>
    </row>
    <row r="122" spans="2:4" x14ac:dyDescent="0.35">
      <c r="B122" s="27">
        <f t="shared" si="7"/>
        <v>106.5</v>
      </c>
      <c r="C122" s="15">
        <f t="shared" si="8"/>
        <v>6.5</v>
      </c>
      <c r="D122" s="15">
        <f t="shared" si="9"/>
        <v>9.75</v>
      </c>
    </row>
    <row r="123" spans="2:4" x14ac:dyDescent="0.35">
      <c r="B123" s="27">
        <f t="shared" si="7"/>
        <v>107</v>
      </c>
      <c r="C123" s="15">
        <f t="shared" si="8"/>
        <v>7</v>
      </c>
      <c r="D123" s="15">
        <f t="shared" si="9"/>
        <v>10.5</v>
      </c>
    </row>
    <row r="124" spans="2:4" x14ac:dyDescent="0.35">
      <c r="B124" s="27">
        <f t="shared" si="7"/>
        <v>107.5</v>
      </c>
      <c r="C124" s="15">
        <f t="shared" si="8"/>
        <v>7.5</v>
      </c>
      <c r="D124" s="15">
        <f t="shared" si="9"/>
        <v>11.25</v>
      </c>
    </row>
    <row r="125" spans="2:4" x14ac:dyDescent="0.35">
      <c r="B125" s="27">
        <f t="shared" si="7"/>
        <v>108</v>
      </c>
      <c r="C125" s="15">
        <f t="shared" si="8"/>
        <v>8</v>
      </c>
      <c r="D125" s="15">
        <f t="shared" si="9"/>
        <v>12</v>
      </c>
    </row>
    <row r="126" spans="2:4" x14ac:dyDescent="0.35">
      <c r="B126" s="27">
        <f t="shared" si="7"/>
        <v>108.5</v>
      </c>
      <c r="C126" s="15">
        <f t="shared" si="8"/>
        <v>8.5</v>
      </c>
      <c r="D126" s="15">
        <f t="shared" si="9"/>
        <v>12.75</v>
      </c>
    </row>
    <row r="127" spans="2:4" x14ac:dyDescent="0.35">
      <c r="B127" s="27">
        <f t="shared" si="7"/>
        <v>109</v>
      </c>
      <c r="C127" s="15">
        <f t="shared" si="8"/>
        <v>9</v>
      </c>
      <c r="D127" s="15">
        <f t="shared" si="9"/>
        <v>13.5</v>
      </c>
    </row>
    <row r="128" spans="2:4" x14ac:dyDescent="0.35">
      <c r="B128" s="27">
        <f t="shared" si="7"/>
        <v>109.5</v>
      </c>
      <c r="C128" s="15">
        <f t="shared" si="8"/>
        <v>9.5</v>
      </c>
      <c r="D128" s="15">
        <f t="shared" si="9"/>
        <v>14.25</v>
      </c>
    </row>
    <row r="129" spans="2:4" x14ac:dyDescent="0.35">
      <c r="B129" s="27">
        <f t="shared" si="7"/>
        <v>110</v>
      </c>
      <c r="C129" s="15">
        <f t="shared" si="8"/>
        <v>10</v>
      </c>
      <c r="D129" s="15">
        <f t="shared" si="9"/>
        <v>15</v>
      </c>
    </row>
    <row r="130" spans="2:4" x14ac:dyDescent="0.35">
      <c r="B130" s="27">
        <f t="shared" si="7"/>
        <v>110.5</v>
      </c>
      <c r="C130" s="15">
        <f t="shared" si="8"/>
        <v>10.5</v>
      </c>
      <c r="D130" s="15">
        <f t="shared" si="9"/>
        <v>15.75</v>
      </c>
    </row>
    <row r="131" spans="2:4" x14ac:dyDescent="0.35">
      <c r="B131" s="27">
        <f t="shared" si="7"/>
        <v>111</v>
      </c>
      <c r="C131" s="15">
        <f t="shared" si="8"/>
        <v>11</v>
      </c>
      <c r="D131" s="15">
        <f t="shared" si="9"/>
        <v>16.5</v>
      </c>
    </row>
    <row r="132" spans="2:4" x14ac:dyDescent="0.35">
      <c r="B132" s="27">
        <f t="shared" si="7"/>
        <v>111.5</v>
      </c>
      <c r="C132" s="15">
        <f t="shared" si="8"/>
        <v>11.5</v>
      </c>
      <c r="D132" s="15">
        <f t="shared" si="9"/>
        <v>17.25</v>
      </c>
    </row>
    <row r="133" spans="2:4" x14ac:dyDescent="0.35">
      <c r="B133" s="27">
        <f t="shared" si="7"/>
        <v>112</v>
      </c>
      <c r="C133" s="15">
        <f t="shared" si="8"/>
        <v>12</v>
      </c>
      <c r="D133" s="15">
        <f t="shared" si="9"/>
        <v>18</v>
      </c>
    </row>
    <row r="134" spans="2:4" x14ac:dyDescent="0.35">
      <c r="B134" s="27">
        <f t="shared" si="7"/>
        <v>112.5</v>
      </c>
      <c r="C134" s="15">
        <f t="shared" si="8"/>
        <v>12.5</v>
      </c>
      <c r="D134" s="15">
        <f t="shared" si="9"/>
        <v>18.75</v>
      </c>
    </row>
    <row r="135" spans="2:4" x14ac:dyDescent="0.35">
      <c r="B135" s="27">
        <f t="shared" si="7"/>
        <v>113</v>
      </c>
      <c r="C135" s="15">
        <f t="shared" si="8"/>
        <v>13</v>
      </c>
      <c r="D135" s="15">
        <f t="shared" si="9"/>
        <v>19.5</v>
      </c>
    </row>
    <row r="136" spans="2:4" x14ac:dyDescent="0.35">
      <c r="B136" s="27">
        <f t="shared" si="7"/>
        <v>113.5</v>
      </c>
      <c r="C136" s="15">
        <f t="shared" si="8"/>
        <v>13.5</v>
      </c>
      <c r="D136" s="15">
        <f t="shared" si="9"/>
        <v>20.25</v>
      </c>
    </row>
    <row r="137" spans="2:4" x14ac:dyDescent="0.35">
      <c r="B137" s="27">
        <f t="shared" si="7"/>
        <v>114</v>
      </c>
      <c r="C137" s="15">
        <f t="shared" ref="C137:C168" si="10">B137-So</f>
        <v>14</v>
      </c>
      <c r="D137" s="15">
        <f t="shared" ref="D137:D168" si="11">IF(B137&gt;So,fatup*(B137-So),IF(B137&gt;KI,0,fatdown*(B137-So)))</f>
        <v>21</v>
      </c>
    </row>
    <row r="138" spans="2:4" x14ac:dyDescent="0.35">
      <c r="B138" s="27">
        <f t="shared" si="7"/>
        <v>114.5</v>
      </c>
      <c r="C138" s="15">
        <f t="shared" si="10"/>
        <v>14.5</v>
      </c>
      <c r="D138" s="15">
        <f t="shared" si="11"/>
        <v>21.75</v>
      </c>
    </row>
    <row r="139" spans="2:4" x14ac:dyDescent="0.35">
      <c r="B139" s="27">
        <f t="shared" ref="B139:B202" si="12">B138+0.5</f>
        <v>115</v>
      </c>
      <c r="C139" s="15">
        <f t="shared" si="10"/>
        <v>15</v>
      </c>
      <c r="D139" s="15">
        <f t="shared" si="11"/>
        <v>22.5</v>
      </c>
    </row>
    <row r="140" spans="2:4" x14ac:dyDescent="0.35">
      <c r="B140" s="27">
        <f t="shared" si="12"/>
        <v>115.5</v>
      </c>
      <c r="C140" s="15">
        <f t="shared" si="10"/>
        <v>15.5</v>
      </c>
      <c r="D140" s="15">
        <f t="shared" si="11"/>
        <v>23.25</v>
      </c>
    </row>
    <row r="141" spans="2:4" x14ac:dyDescent="0.35">
      <c r="B141" s="27">
        <f t="shared" si="12"/>
        <v>116</v>
      </c>
      <c r="C141" s="15">
        <f t="shared" si="10"/>
        <v>16</v>
      </c>
      <c r="D141" s="15">
        <f t="shared" si="11"/>
        <v>24</v>
      </c>
    </row>
    <row r="142" spans="2:4" x14ac:dyDescent="0.35">
      <c r="B142" s="27">
        <f t="shared" si="12"/>
        <v>116.5</v>
      </c>
      <c r="C142" s="15">
        <f t="shared" si="10"/>
        <v>16.5</v>
      </c>
      <c r="D142" s="15">
        <f t="shared" si="11"/>
        <v>24.75</v>
      </c>
    </row>
    <row r="143" spans="2:4" x14ac:dyDescent="0.35">
      <c r="B143" s="27">
        <f t="shared" si="12"/>
        <v>117</v>
      </c>
      <c r="C143" s="15">
        <f t="shared" si="10"/>
        <v>17</v>
      </c>
      <c r="D143" s="15">
        <f t="shared" si="11"/>
        <v>25.5</v>
      </c>
    </row>
    <row r="144" spans="2:4" x14ac:dyDescent="0.35">
      <c r="B144" s="27">
        <f t="shared" si="12"/>
        <v>117.5</v>
      </c>
      <c r="C144" s="15">
        <f t="shared" si="10"/>
        <v>17.5</v>
      </c>
      <c r="D144" s="15">
        <f t="shared" si="11"/>
        <v>26.25</v>
      </c>
    </row>
    <row r="145" spans="2:4" x14ac:dyDescent="0.35">
      <c r="B145" s="27">
        <f t="shared" si="12"/>
        <v>118</v>
      </c>
      <c r="C145" s="15">
        <f t="shared" si="10"/>
        <v>18</v>
      </c>
      <c r="D145" s="15">
        <f t="shared" si="11"/>
        <v>27</v>
      </c>
    </row>
    <row r="146" spans="2:4" x14ac:dyDescent="0.35">
      <c r="B146" s="27">
        <f t="shared" si="12"/>
        <v>118.5</v>
      </c>
      <c r="C146" s="15">
        <f t="shared" si="10"/>
        <v>18.5</v>
      </c>
      <c r="D146" s="15">
        <f t="shared" si="11"/>
        <v>27.75</v>
      </c>
    </row>
    <row r="147" spans="2:4" x14ac:dyDescent="0.35">
      <c r="B147" s="27">
        <f t="shared" si="12"/>
        <v>119</v>
      </c>
      <c r="C147" s="15">
        <f t="shared" si="10"/>
        <v>19</v>
      </c>
      <c r="D147" s="15">
        <f t="shared" si="11"/>
        <v>28.5</v>
      </c>
    </row>
    <row r="148" spans="2:4" x14ac:dyDescent="0.35">
      <c r="B148" s="27">
        <f t="shared" si="12"/>
        <v>119.5</v>
      </c>
      <c r="C148" s="15">
        <f t="shared" si="10"/>
        <v>19.5</v>
      </c>
      <c r="D148" s="15">
        <f t="shared" si="11"/>
        <v>29.25</v>
      </c>
    </row>
    <row r="149" spans="2:4" x14ac:dyDescent="0.35">
      <c r="B149" s="27">
        <f t="shared" si="12"/>
        <v>120</v>
      </c>
      <c r="C149" s="15">
        <f t="shared" si="10"/>
        <v>20</v>
      </c>
      <c r="D149" s="15">
        <f t="shared" si="11"/>
        <v>30</v>
      </c>
    </row>
    <row r="150" spans="2:4" x14ac:dyDescent="0.35">
      <c r="B150" s="27">
        <f t="shared" si="12"/>
        <v>120.5</v>
      </c>
      <c r="C150" s="15">
        <f t="shared" si="10"/>
        <v>20.5</v>
      </c>
      <c r="D150" s="15">
        <f t="shared" si="11"/>
        <v>30.75</v>
      </c>
    </row>
    <row r="151" spans="2:4" x14ac:dyDescent="0.35">
      <c r="B151" s="27">
        <f t="shared" si="12"/>
        <v>121</v>
      </c>
      <c r="C151" s="15">
        <f t="shared" si="10"/>
        <v>21</v>
      </c>
      <c r="D151" s="15">
        <f t="shared" si="11"/>
        <v>31.5</v>
      </c>
    </row>
    <row r="152" spans="2:4" x14ac:dyDescent="0.35">
      <c r="B152" s="27">
        <f t="shared" si="12"/>
        <v>121.5</v>
      </c>
      <c r="C152" s="15">
        <f t="shared" si="10"/>
        <v>21.5</v>
      </c>
      <c r="D152" s="15">
        <f t="shared" si="11"/>
        <v>32.25</v>
      </c>
    </row>
    <row r="153" spans="2:4" x14ac:dyDescent="0.35">
      <c r="B153" s="27">
        <f t="shared" si="12"/>
        <v>122</v>
      </c>
      <c r="C153" s="15">
        <f t="shared" si="10"/>
        <v>22</v>
      </c>
      <c r="D153" s="15">
        <f t="shared" si="11"/>
        <v>33</v>
      </c>
    </row>
    <row r="154" spans="2:4" x14ac:dyDescent="0.35">
      <c r="B154" s="27">
        <f t="shared" si="12"/>
        <v>122.5</v>
      </c>
      <c r="C154" s="15">
        <f t="shared" si="10"/>
        <v>22.5</v>
      </c>
      <c r="D154" s="15">
        <f t="shared" si="11"/>
        <v>33.75</v>
      </c>
    </row>
    <row r="155" spans="2:4" x14ac:dyDescent="0.35">
      <c r="B155" s="27">
        <f t="shared" si="12"/>
        <v>123</v>
      </c>
      <c r="C155" s="15">
        <f t="shared" si="10"/>
        <v>23</v>
      </c>
      <c r="D155" s="15">
        <f t="shared" si="11"/>
        <v>34.5</v>
      </c>
    </row>
    <row r="156" spans="2:4" x14ac:dyDescent="0.35">
      <c r="B156" s="27">
        <f t="shared" si="12"/>
        <v>123.5</v>
      </c>
      <c r="C156" s="15">
        <f t="shared" si="10"/>
        <v>23.5</v>
      </c>
      <c r="D156" s="15">
        <f t="shared" si="11"/>
        <v>35.25</v>
      </c>
    </row>
    <row r="157" spans="2:4" x14ac:dyDescent="0.35">
      <c r="B157" s="27">
        <f t="shared" si="12"/>
        <v>124</v>
      </c>
      <c r="C157" s="15">
        <f t="shared" si="10"/>
        <v>24</v>
      </c>
      <c r="D157" s="15">
        <f t="shared" si="11"/>
        <v>36</v>
      </c>
    </row>
    <row r="158" spans="2:4" x14ac:dyDescent="0.35">
      <c r="B158" s="27">
        <f t="shared" si="12"/>
        <v>124.5</v>
      </c>
      <c r="C158" s="15">
        <f t="shared" si="10"/>
        <v>24.5</v>
      </c>
      <c r="D158" s="15">
        <f t="shared" si="11"/>
        <v>36.75</v>
      </c>
    </row>
    <row r="159" spans="2:4" x14ac:dyDescent="0.35">
      <c r="B159" s="27">
        <f t="shared" si="12"/>
        <v>125</v>
      </c>
      <c r="C159" s="15">
        <f t="shared" si="10"/>
        <v>25</v>
      </c>
      <c r="D159" s="15">
        <f t="shared" si="11"/>
        <v>37.5</v>
      </c>
    </row>
    <row r="160" spans="2:4" x14ac:dyDescent="0.35">
      <c r="B160" s="27">
        <f t="shared" si="12"/>
        <v>125.5</v>
      </c>
      <c r="C160" s="15">
        <f t="shared" si="10"/>
        <v>25.5</v>
      </c>
      <c r="D160" s="15">
        <f t="shared" si="11"/>
        <v>38.25</v>
      </c>
    </row>
    <row r="161" spans="2:4" x14ac:dyDescent="0.35">
      <c r="B161" s="27">
        <f t="shared" si="12"/>
        <v>126</v>
      </c>
      <c r="C161" s="15">
        <f t="shared" si="10"/>
        <v>26</v>
      </c>
      <c r="D161" s="15">
        <f t="shared" si="11"/>
        <v>39</v>
      </c>
    </row>
    <row r="162" spans="2:4" x14ac:dyDescent="0.35">
      <c r="B162" s="27">
        <f t="shared" si="12"/>
        <v>126.5</v>
      </c>
      <c r="C162" s="15">
        <f t="shared" si="10"/>
        <v>26.5</v>
      </c>
      <c r="D162" s="15">
        <f t="shared" si="11"/>
        <v>39.75</v>
      </c>
    </row>
    <row r="163" spans="2:4" x14ac:dyDescent="0.35">
      <c r="B163" s="27">
        <f t="shared" si="12"/>
        <v>127</v>
      </c>
      <c r="C163" s="15">
        <f t="shared" si="10"/>
        <v>27</v>
      </c>
      <c r="D163" s="15">
        <f t="shared" si="11"/>
        <v>40.5</v>
      </c>
    </row>
    <row r="164" spans="2:4" x14ac:dyDescent="0.35">
      <c r="B164" s="27">
        <f t="shared" si="12"/>
        <v>127.5</v>
      </c>
      <c r="C164" s="15">
        <f t="shared" si="10"/>
        <v>27.5</v>
      </c>
      <c r="D164" s="15">
        <f t="shared" si="11"/>
        <v>41.25</v>
      </c>
    </row>
    <row r="165" spans="2:4" x14ac:dyDescent="0.35">
      <c r="B165" s="27">
        <f t="shared" si="12"/>
        <v>128</v>
      </c>
      <c r="C165" s="15">
        <f t="shared" si="10"/>
        <v>28</v>
      </c>
      <c r="D165" s="15">
        <f t="shared" si="11"/>
        <v>42</v>
      </c>
    </row>
    <row r="166" spans="2:4" x14ac:dyDescent="0.35">
      <c r="B166" s="27">
        <f t="shared" si="12"/>
        <v>128.5</v>
      </c>
      <c r="C166" s="15">
        <f t="shared" si="10"/>
        <v>28.5</v>
      </c>
      <c r="D166" s="15">
        <f t="shared" si="11"/>
        <v>42.75</v>
      </c>
    </row>
    <row r="167" spans="2:4" x14ac:dyDescent="0.35">
      <c r="B167" s="27">
        <f t="shared" si="12"/>
        <v>129</v>
      </c>
      <c r="C167" s="15">
        <f t="shared" si="10"/>
        <v>29</v>
      </c>
      <c r="D167" s="15">
        <f t="shared" si="11"/>
        <v>43.5</v>
      </c>
    </row>
    <row r="168" spans="2:4" x14ac:dyDescent="0.35">
      <c r="B168" s="27">
        <f t="shared" si="12"/>
        <v>129.5</v>
      </c>
      <c r="C168" s="15">
        <f t="shared" si="10"/>
        <v>29.5</v>
      </c>
      <c r="D168" s="15">
        <f t="shared" si="11"/>
        <v>44.25</v>
      </c>
    </row>
    <row r="169" spans="2:4" x14ac:dyDescent="0.35">
      <c r="B169" s="27">
        <f t="shared" si="12"/>
        <v>130</v>
      </c>
      <c r="C169" s="15">
        <f t="shared" ref="C169:C200" si="13">B169-So</f>
        <v>30</v>
      </c>
      <c r="D169" s="15">
        <f t="shared" ref="D169:D200" si="14">IF(B169&gt;So,fatup*(B169-So),IF(B169&gt;KI,0,fatdown*(B169-So)))</f>
        <v>45</v>
      </c>
    </row>
    <row r="170" spans="2:4" x14ac:dyDescent="0.35">
      <c r="B170" s="27">
        <f t="shared" si="12"/>
        <v>130.5</v>
      </c>
      <c r="C170" s="15">
        <f t="shared" si="13"/>
        <v>30.5</v>
      </c>
      <c r="D170" s="15">
        <f t="shared" si="14"/>
        <v>45.75</v>
      </c>
    </row>
    <row r="171" spans="2:4" x14ac:dyDescent="0.35">
      <c r="B171" s="27">
        <f t="shared" si="12"/>
        <v>131</v>
      </c>
      <c r="C171" s="15">
        <f t="shared" si="13"/>
        <v>31</v>
      </c>
      <c r="D171" s="15">
        <f t="shared" si="14"/>
        <v>46.5</v>
      </c>
    </row>
    <row r="172" spans="2:4" x14ac:dyDescent="0.35">
      <c r="B172" s="27">
        <f t="shared" si="12"/>
        <v>131.5</v>
      </c>
      <c r="C172" s="15">
        <f t="shared" si="13"/>
        <v>31.5</v>
      </c>
      <c r="D172" s="15">
        <f t="shared" si="14"/>
        <v>47.25</v>
      </c>
    </row>
    <row r="173" spans="2:4" x14ac:dyDescent="0.35">
      <c r="B173" s="27">
        <f t="shared" si="12"/>
        <v>132</v>
      </c>
      <c r="C173" s="15">
        <f t="shared" si="13"/>
        <v>32</v>
      </c>
      <c r="D173" s="15">
        <f t="shared" si="14"/>
        <v>48</v>
      </c>
    </row>
    <row r="174" spans="2:4" x14ac:dyDescent="0.35">
      <c r="B174" s="27">
        <f t="shared" si="12"/>
        <v>132.5</v>
      </c>
      <c r="C174" s="15">
        <f t="shared" si="13"/>
        <v>32.5</v>
      </c>
      <c r="D174" s="15">
        <f t="shared" si="14"/>
        <v>48.75</v>
      </c>
    </row>
    <row r="175" spans="2:4" x14ac:dyDescent="0.35">
      <c r="B175" s="27">
        <f t="shared" si="12"/>
        <v>133</v>
      </c>
      <c r="C175" s="15">
        <f t="shared" si="13"/>
        <v>33</v>
      </c>
      <c r="D175" s="15">
        <f t="shared" si="14"/>
        <v>49.5</v>
      </c>
    </row>
    <row r="176" spans="2:4" x14ac:dyDescent="0.35">
      <c r="B176" s="27">
        <f t="shared" si="12"/>
        <v>133.5</v>
      </c>
      <c r="C176" s="15">
        <f t="shared" si="13"/>
        <v>33.5</v>
      </c>
      <c r="D176" s="15">
        <f t="shared" si="14"/>
        <v>50.25</v>
      </c>
    </row>
    <row r="177" spans="2:4" x14ac:dyDescent="0.35">
      <c r="B177" s="27">
        <f t="shared" si="12"/>
        <v>134</v>
      </c>
      <c r="C177" s="15">
        <f t="shared" si="13"/>
        <v>34</v>
      </c>
      <c r="D177" s="15">
        <f t="shared" si="14"/>
        <v>51</v>
      </c>
    </row>
    <row r="178" spans="2:4" x14ac:dyDescent="0.35">
      <c r="B178" s="27">
        <f t="shared" si="12"/>
        <v>134.5</v>
      </c>
      <c r="C178" s="15">
        <f t="shared" si="13"/>
        <v>34.5</v>
      </c>
      <c r="D178" s="15">
        <f t="shared" si="14"/>
        <v>51.75</v>
      </c>
    </row>
    <row r="179" spans="2:4" x14ac:dyDescent="0.35">
      <c r="B179" s="27">
        <f t="shared" si="12"/>
        <v>135</v>
      </c>
      <c r="C179" s="15">
        <f t="shared" si="13"/>
        <v>35</v>
      </c>
      <c r="D179" s="15">
        <f t="shared" si="14"/>
        <v>52.5</v>
      </c>
    </row>
    <row r="180" spans="2:4" x14ac:dyDescent="0.35">
      <c r="B180" s="27">
        <f t="shared" si="12"/>
        <v>135.5</v>
      </c>
      <c r="C180" s="15">
        <f t="shared" si="13"/>
        <v>35.5</v>
      </c>
      <c r="D180" s="15">
        <f t="shared" si="14"/>
        <v>53.25</v>
      </c>
    </row>
    <row r="181" spans="2:4" x14ac:dyDescent="0.35">
      <c r="B181" s="27">
        <f t="shared" si="12"/>
        <v>136</v>
      </c>
      <c r="C181" s="15">
        <f t="shared" si="13"/>
        <v>36</v>
      </c>
      <c r="D181" s="15">
        <f t="shared" si="14"/>
        <v>54</v>
      </c>
    </row>
    <row r="182" spans="2:4" x14ac:dyDescent="0.35">
      <c r="B182" s="27">
        <f t="shared" si="12"/>
        <v>136.5</v>
      </c>
      <c r="C182" s="15">
        <f t="shared" si="13"/>
        <v>36.5</v>
      </c>
      <c r="D182" s="15">
        <f t="shared" si="14"/>
        <v>54.75</v>
      </c>
    </row>
    <row r="183" spans="2:4" x14ac:dyDescent="0.35">
      <c r="B183" s="27">
        <f t="shared" si="12"/>
        <v>137</v>
      </c>
      <c r="C183" s="15">
        <f t="shared" si="13"/>
        <v>37</v>
      </c>
      <c r="D183" s="15">
        <f t="shared" si="14"/>
        <v>55.5</v>
      </c>
    </row>
    <row r="184" spans="2:4" x14ac:dyDescent="0.35">
      <c r="B184" s="27">
        <f t="shared" si="12"/>
        <v>137.5</v>
      </c>
      <c r="C184" s="15">
        <f t="shared" si="13"/>
        <v>37.5</v>
      </c>
      <c r="D184" s="15">
        <f t="shared" si="14"/>
        <v>56.25</v>
      </c>
    </row>
    <row r="185" spans="2:4" x14ac:dyDescent="0.35">
      <c r="B185" s="27">
        <f t="shared" si="12"/>
        <v>138</v>
      </c>
      <c r="C185" s="15">
        <f t="shared" si="13"/>
        <v>38</v>
      </c>
      <c r="D185" s="15">
        <f t="shared" si="14"/>
        <v>57</v>
      </c>
    </row>
    <row r="186" spans="2:4" x14ac:dyDescent="0.35">
      <c r="B186" s="27">
        <f t="shared" si="12"/>
        <v>138.5</v>
      </c>
      <c r="C186" s="15">
        <f t="shared" si="13"/>
        <v>38.5</v>
      </c>
      <c r="D186" s="15">
        <f t="shared" si="14"/>
        <v>57.75</v>
      </c>
    </row>
    <row r="187" spans="2:4" x14ac:dyDescent="0.35">
      <c r="B187" s="27">
        <f t="shared" si="12"/>
        <v>139</v>
      </c>
      <c r="C187" s="15">
        <f t="shared" si="13"/>
        <v>39</v>
      </c>
      <c r="D187" s="15">
        <f t="shared" si="14"/>
        <v>58.5</v>
      </c>
    </row>
    <row r="188" spans="2:4" x14ac:dyDescent="0.35">
      <c r="B188" s="27">
        <f t="shared" si="12"/>
        <v>139.5</v>
      </c>
      <c r="C188" s="15">
        <f t="shared" si="13"/>
        <v>39.5</v>
      </c>
      <c r="D188" s="15">
        <f t="shared" si="14"/>
        <v>59.25</v>
      </c>
    </row>
    <row r="189" spans="2:4" x14ac:dyDescent="0.35">
      <c r="B189" s="27">
        <f t="shared" si="12"/>
        <v>140</v>
      </c>
      <c r="C189" s="15">
        <f t="shared" si="13"/>
        <v>40</v>
      </c>
      <c r="D189" s="15">
        <f t="shared" si="14"/>
        <v>60</v>
      </c>
    </row>
    <row r="190" spans="2:4" x14ac:dyDescent="0.35">
      <c r="B190" s="27">
        <f t="shared" si="12"/>
        <v>140.5</v>
      </c>
      <c r="C190" s="15">
        <f t="shared" si="13"/>
        <v>40.5</v>
      </c>
      <c r="D190" s="15">
        <f t="shared" si="14"/>
        <v>60.75</v>
      </c>
    </row>
    <row r="191" spans="2:4" x14ac:dyDescent="0.35">
      <c r="B191" s="27">
        <f t="shared" si="12"/>
        <v>141</v>
      </c>
      <c r="C191" s="15">
        <f t="shared" si="13"/>
        <v>41</v>
      </c>
      <c r="D191" s="15">
        <f t="shared" si="14"/>
        <v>61.5</v>
      </c>
    </row>
    <row r="192" spans="2:4" x14ac:dyDescent="0.35">
      <c r="B192" s="27">
        <f t="shared" si="12"/>
        <v>141.5</v>
      </c>
      <c r="C192" s="15">
        <f t="shared" si="13"/>
        <v>41.5</v>
      </c>
      <c r="D192" s="15">
        <f t="shared" si="14"/>
        <v>62.25</v>
      </c>
    </row>
    <row r="193" spans="2:4" x14ac:dyDescent="0.35">
      <c r="B193" s="27">
        <f t="shared" si="12"/>
        <v>142</v>
      </c>
      <c r="C193" s="15">
        <f t="shared" si="13"/>
        <v>42</v>
      </c>
      <c r="D193" s="15">
        <f t="shared" si="14"/>
        <v>63</v>
      </c>
    </row>
    <row r="194" spans="2:4" x14ac:dyDescent="0.35">
      <c r="B194" s="27">
        <f t="shared" si="12"/>
        <v>142.5</v>
      </c>
      <c r="C194" s="15">
        <f t="shared" si="13"/>
        <v>42.5</v>
      </c>
      <c r="D194" s="15">
        <f t="shared" si="14"/>
        <v>63.75</v>
      </c>
    </row>
    <row r="195" spans="2:4" x14ac:dyDescent="0.35">
      <c r="B195" s="27">
        <f t="shared" si="12"/>
        <v>143</v>
      </c>
      <c r="C195" s="15">
        <f t="shared" si="13"/>
        <v>43</v>
      </c>
      <c r="D195" s="15">
        <f t="shared" si="14"/>
        <v>64.5</v>
      </c>
    </row>
    <row r="196" spans="2:4" x14ac:dyDescent="0.35">
      <c r="B196" s="27">
        <f t="shared" si="12"/>
        <v>143.5</v>
      </c>
      <c r="C196" s="15">
        <f t="shared" si="13"/>
        <v>43.5</v>
      </c>
      <c r="D196" s="15">
        <f t="shared" si="14"/>
        <v>65.25</v>
      </c>
    </row>
    <row r="197" spans="2:4" x14ac:dyDescent="0.35">
      <c r="B197" s="27">
        <f t="shared" si="12"/>
        <v>144</v>
      </c>
      <c r="C197" s="15">
        <f t="shared" si="13"/>
        <v>44</v>
      </c>
      <c r="D197" s="15">
        <f t="shared" si="14"/>
        <v>66</v>
      </c>
    </row>
    <row r="198" spans="2:4" x14ac:dyDescent="0.35">
      <c r="B198" s="27">
        <f t="shared" si="12"/>
        <v>144.5</v>
      </c>
      <c r="C198" s="15">
        <f t="shared" si="13"/>
        <v>44.5</v>
      </c>
      <c r="D198" s="15">
        <f t="shared" si="14"/>
        <v>66.75</v>
      </c>
    </row>
    <row r="199" spans="2:4" x14ac:dyDescent="0.35">
      <c r="B199" s="27">
        <f t="shared" si="12"/>
        <v>145</v>
      </c>
      <c r="C199" s="15">
        <f t="shared" si="13"/>
        <v>45</v>
      </c>
      <c r="D199" s="15">
        <f t="shared" si="14"/>
        <v>67.5</v>
      </c>
    </row>
    <row r="200" spans="2:4" x14ac:dyDescent="0.35">
      <c r="B200" s="27">
        <f t="shared" si="12"/>
        <v>145.5</v>
      </c>
      <c r="C200" s="15">
        <f t="shared" si="13"/>
        <v>45.5</v>
      </c>
      <c r="D200" s="15">
        <f t="shared" si="14"/>
        <v>68.25</v>
      </c>
    </row>
    <row r="201" spans="2:4" x14ac:dyDescent="0.35">
      <c r="B201" s="27">
        <f t="shared" si="12"/>
        <v>146</v>
      </c>
      <c r="C201" s="15">
        <f t="shared" ref="C201:C208" si="15">B201-So</f>
        <v>46</v>
      </c>
      <c r="D201" s="15">
        <f t="shared" ref="D201:D208" si="16">IF(B201&gt;So,fatup*(B201-So),IF(B201&gt;KI,0,fatdown*(B201-So)))</f>
        <v>69</v>
      </c>
    </row>
    <row r="202" spans="2:4" x14ac:dyDescent="0.35">
      <c r="B202" s="27">
        <f t="shared" si="12"/>
        <v>146.5</v>
      </c>
      <c r="C202" s="15">
        <f t="shared" si="15"/>
        <v>46.5</v>
      </c>
      <c r="D202" s="15">
        <f t="shared" si="16"/>
        <v>69.75</v>
      </c>
    </row>
    <row r="203" spans="2:4" x14ac:dyDescent="0.35">
      <c r="B203" s="27">
        <f t="shared" ref="B203:B208" si="17">B202+0.5</f>
        <v>147</v>
      </c>
      <c r="C203" s="15">
        <f t="shared" si="15"/>
        <v>47</v>
      </c>
      <c r="D203" s="15">
        <f t="shared" si="16"/>
        <v>70.5</v>
      </c>
    </row>
    <row r="204" spans="2:4" x14ac:dyDescent="0.35">
      <c r="B204" s="27">
        <f t="shared" si="17"/>
        <v>147.5</v>
      </c>
      <c r="C204" s="15">
        <f t="shared" si="15"/>
        <v>47.5</v>
      </c>
      <c r="D204" s="15">
        <f t="shared" si="16"/>
        <v>71.25</v>
      </c>
    </row>
    <row r="205" spans="2:4" x14ac:dyDescent="0.35">
      <c r="B205" s="27">
        <f t="shared" si="17"/>
        <v>148</v>
      </c>
      <c r="C205" s="15">
        <f t="shared" si="15"/>
        <v>48</v>
      </c>
      <c r="D205" s="15">
        <f t="shared" si="16"/>
        <v>72</v>
      </c>
    </row>
    <row r="206" spans="2:4" x14ac:dyDescent="0.35">
      <c r="B206" s="27">
        <f t="shared" si="17"/>
        <v>148.5</v>
      </c>
      <c r="C206" s="15">
        <f t="shared" si="15"/>
        <v>48.5</v>
      </c>
      <c r="D206" s="15">
        <f t="shared" si="16"/>
        <v>72.75</v>
      </c>
    </row>
    <row r="207" spans="2:4" x14ac:dyDescent="0.35">
      <c r="B207" s="27">
        <f t="shared" si="17"/>
        <v>149</v>
      </c>
      <c r="C207" s="15">
        <f t="shared" si="15"/>
        <v>49</v>
      </c>
      <c r="D207" s="15">
        <f t="shared" si="16"/>
        <v>73.5</v>
      </c>
    </row>
    <row r="208" spans="2:4" x14ac:dyDescent="0.35">
      <c r="B208" s="27">
        <f t="shared" si="17"/>
        <v>149.5</v>
      </c>
      <c r="C208" s="15">
        <f t="shared" si="15"/>
        <v>49.5</v>
      </c>
      <c r="D208" s="15">
        <f t="shared" si="16"/>
        <v>74.25</v>
      </c>
    </row>
  </sheetData>
  <mergeCells count="2">
    <mergeCell ref="F8:J8"/>
    <mergeCell ref="L8:P8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L12"/>
  <sheetViews>
    <sheetView workbookViewId="0">
      <selection activeCell="J20" sqref="J20"/>
    </sheetView>
  </sheetViews>
  <sheetFormatPr defaultColWidth="9.1796875" defaultRowHeight="14.5" x14ac:dyDescent="0.35"/>
  <cols>
    <col min="1" max="16384" width="9.1796875" style="1"/>
  </cols>
  <sheetData>
    <row r="1" spans="2:12" x14ac:dyDescent="0.35">
      <c r="B1" s="26" t="s">
        <v>19</v>
      </c>
      <c r="C1" s="15">
        <v>120</v>
      </c>
    </row>
    <row r="4" spans="2:12" x14ac:dyDescent="0.35">
      <c r="B4" s="34" t="s">
        <v>4</v>
      </c>
      <c r="C4" s="34"/>
      <c r="D4" s="34"/>
      <c r="E4" s="34"/>
      <c r="F4" s="34"/>
      <c r="G4" s="23"/>
      <c r="H4" s="34" t="s">
        <v>18</v>
      </c>
      <c r="I4" s="34"/>
      <c r="J4" s="34"/>
      <c r="K4" s="34"/>
      <c r="L4" s="34"/>
    </row>
    <row r="5" spans="2:12" x14ac:dyDescent="0.35">
      <c r="B5" s="21">
        <f>MAX(X-CRR!B7,EXP(-rf*T/4)*(CRR!B14*C5+(1-CRR!B14)*C6))</f>
        <v>28.924610552923102</v>
      </c>
      <c r="C5" s="17">
        <f>MAX(X-CRR!C7,EXP(-rf*T/4)*(CRR!C14*D5+(1-CRR!C14)*D6))</f>
        <v>16.217275032901604</v>
      </c>
      <c r="D5" s="17">
        <f>MAX(X-CRR!D7,EXP(-rf*T/4)*(CRR!D14*E5+(1-CRR!D14)*E6))</f>
        <v>5.7271315451021731</v>
      </c>
      <c r="E5" s="17">
        <f>MAX(X-CRR!E7,EXP(-rf*T/4)*(CRR!E14*F5+(1-CRR!E14)*F6))</f>
        <v>0</v>
      </c>
      <c r="F5" s="17">
        <f>MAX(X-CRR!F7,0)</f>
        <v>0</v>
      </c>
      <c r="H5" s="21">
        <f>MAX(X-DK!B5,EXP(-rf*T/4)*(DK!B12*I5+(1-DK!B12)*I6))</f>
        <v>26.397564866627608</v>
      </c>
      <c r="I5" s="17">
        <f>MAX(X-DK!C5,EXP(-rf*T/4)*(DK!C12*J5+(1-DK!C12)*J6))</f>
        <v>15.269942217578425</v>
      </c>
      <c r="J5" s="17">
        <f>MAX(X-DK!D5,EXP(-rf*T/4)*(DK!D12*K5+(1-DK!D12)*K6))</f>
        <v>4.2313539819285202</v>
      </c>
      <c r="K5" s="17">
        <f>MAX(X-DK!E5,EXP(-rf*T/4)*(DK!E12*L5+(1-DK!E12)*L6))</f>
        <v>0</v>
      </c>
      <c r="L5" s="17">
        <f>MAX(X-DK!F5,0)</f>
        <v>0</v>
      </c>
    </row>
    <row r="6" spans="2:12" x14ac:dyDescent="0.35">
      <c r="B6" s="17"/>
      <c r="C6" s="17">
        <f>MAX(X-CRR!C8,EXP(-rf*T/4)*(CRR!C15*D6+(1-CRR!C15)*D7))</f>
        <v>40.114996838301764</v>
      </c>
      <c r="D6" s="17">
        <f>MAX(X-CRR!D8,EXP(-rf*T/4)*(CRR!D15*E6+(1-CRR!D15)*E7))</f>
        <v>25.383749845605575</v>
      </c>
      <c r="E6" s="17">
        <f>MAX(X-CRR!E8,EXP(-rf*T/4)*(CRR!E15*F6+(1-CRR!E15)*F7))</f>
        <v>10.702459105366554</v>
      </c>
      <c r="F6" s="17">
        <f>MAX(X-CRR!F8,0)</f>
        <v>0</v>
      </c>
      <c r="H6" s="17"/>
      <c r="I6" s="17">
        <f>MAX(X-DK!C6,EXP(-rf*T/4)*(DK!C13*J6+(1-DK!C13)*J7))</f>
        <v>36.751546134281121</v>
      </c>
      <c r="J6" s="17">
        <f>MAX(X-DK!D6,EXP(-rf*T/4)*(DK!D13*K6+(1-DK!D13)*K7))</f>
        <v>23.786894871371022</v>
      </c>
      <c r="K6" s="17">
        <f>MAX(X-DK!E6,EXP(-rf*T/4)*(DK!E13*L6+(1-DK!E13)*L7))</f>
        <v>9.3779983121557109</v>
      </c>
      <c r="L6" s="17">
        <f>MAX(X-DK!F6,0)</f>
        <v>0</v>
      </c>
    </row>
    <row r="7" spans="2:12" x14ac:dyDescent="0.35">
      <c r="B7" s="17"/>
      <c r="C7" s="17"/>
      <c r="D7" s="17">
        <f>MAX(X-CRR!D9,EXP(-rf*T/4)*(CRR!D16*E7+(1-CRR!D16)*E8))</f>
        <v>53.149049066919474</v>
      </c>
      <c r="E7" s="17">
        <f>MAX(X-CRR!E9,EXP(-rf*T/4)*(CRR!E16*F7+(1-CRR!E16)*F8))</f>
        <v>38.237569181756513</v>
      </c>
      <c r="F7" s="17">
        <f>MAX(X-CRR!F9,0)</f>
        <v>20</v>
      </c>
      <c r="H7" s="17"/>
      <c r="I7" s="17"/>
      <c r="J7" s="17">
        <f>MAX(X-DK!D7,EXP(-rf*T/4)*(DK!D14*K7+(1-DK!D14)*K8))</f>
        <v>66.257945971636858</v>
      </c>
      <c r="K7" s="17">
        <f>MAX(X-DK!E7,EXP(-rf*T/4)*(DK!E14*L7+(1-DK!E14)*L8))</f>
        <v>36.692456683921151</v>
      </c>
      <c r="L7" s="17">
        <f>MAX(X-DK!F7,0)</f>
        <v>20</v>
      </c>
    </row>
    <row r="8" spans="2:12" x14ac:dyDescent="0.35">
      <c r="B8" s="17"/>
      <c r="C8" s="17"/>
      <c r="D8" s="17"/>
      <c r="E8" s="17">
        <f>MAX(X-CRR!E10,EXP(-rf*T/4)*(CRR!E17*F8+(1-CRR!E17)*F9))</f>
        <v>65.34103749200213</v>
      </c>
      <c r="F8" s="17">
        <f>MAX(X-CRR!F10,0)</f>
        <v>53.149049066919474</v>
      </c>
      <c r="H8" s="17"/>
      <c r="I8" s="17"/>
      <c r="J8" s="17"/>
      <c r="K8" s="17">
        <f>MAX(X-DK!E8,EXP(-rf*T/4)*(DK!E15*L8+(1-DK!E15)*L9))</f>
        <v>77.743834184762306</v>
      </c>
      <c r="L8" s="17">
        <f>MAX(X-DK!F8,0)</f>
        <v>59.342796955601678</v>
      </c>
    </row>
    <row r="9" spans="2:12" x14ac:dyDescent="0.35">
      <c r="B9" s="22"/>
      <c r="C9" s="22"/>
      <c r="D9" s="22"/>
      <c r="E9" s="22"/>
      <c r="F9" s="17">
        <f>MAX(X-CRR!F11,0)</f>
        <v>75.309503593428587</v>
      </c>
      <c r="H9" s="22"/>
      <c r="I9" s="22"/>
      <c r="J9" s="22"/>
      <c r="K9" s="22"/>
      <c r="L9" s="17">
        <f>MAX(X-DK!F9,0)</f>
        <v>101.55002094601485</v>
      </c>
    </row>
    <row r="12" spans="2:12" x14ac:dyDescent="0.35">
      <c r="H12" s="25"/>
    </row>
  </sheetData>
  <mergeCells count="2">
    <mergeCell ref="B4:F4"/>
    <mergeCell ref="H4:L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23" baseType="lpstr">
      <vt:lpstr>CRR</vt:lpstr>
      <vt:lpstr>DK</vt:lpstr>
      <vt:lpstr>Trajetórias</vt:lpstr>
      <vt:lpstr>Auto Call</vt:lpstr>
      <vt:lpstr>Put Americana</vt:lpstr>
      <vt:lpstr>Gaf trajetórias</vt:lpstr>
      <vt:lpstr>Distribuições</vt:lpstr>
      <vt:lpstr>Payoff Auto-Call</vt:lpstr>
      <vt:lpstr>cupom</vt:lpstr>
      <vt:lpstr>dk_ad</vt:lpstr>
      <vt:lpstr>dk_market</vt:lpstr>
      <vt:lpstr>dk_prices</vt:lpstr>
      <vt:lpstr>dk_probs</vt:lpstr>
      <vt:lpstr>dk_real_probs</vt:lpstr>
      <vt:lpstr>fatdown</vt:lpstr>
      <vt:lpstr>fatup</vt:lpstr>
      <vt:lpstr>KI</vt:lpstr>
      <vt:lpstr>rf</vt:lpstr>
      <vt:lpstr>sigma</vt:lpstr>
      <vt:lpstr>So</vt:lpstr>
      <vt:lpstr>T</vt:lpstr>
      <vt:lpstr>vol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Sylvio Azevedo</cp:lastModifiedBy>
  <dcterms:created xsi:type="dcterms:W3CDTF">2019-05-06T02:30:25Z</dcterms:created>
  <dcterms:modified xsi:type="dcterms:W3CDTF">2025-03-22T14:30:28Z</dcterms:modified>
</cp:coreProperties>
</file>