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chloe/Desktop/Stage BT4/Fiches prod./"/>
    </mc:Choice>
  </mc:AlternateContent>
  <xr:revisionPtr revIDLastSave="0" documentId="13_ncr:1_{5FFF6B16-237F-CE42-802D-7078E3DFA234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Data" sheetId="1" r:id="rId1"/>
    <sheet name="Fiche de production 7000 L" sheetId="2" r:id="rId2"/>
    <sheet name="CUVE 1 et 2 Mesure" sheetId="10" r:id="rId3"/>
    <sheet name="Recette" sheetId="7" r:id="rId4"/>
  </sheets>
  <externalReferences>
    <externalReference r:id="rId5"/>
  </externalReferences>
  <calcPr calcId="191029" iterate="1" iterateDelta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po8ek4Am3sUr2XRPd6GrgifRd1CbtSkCeA7ViODFHOE="/>
    </ext>
  </extLst>
</workbook>
</file>

<file path=xl/calcChain.xml><?xml version="1.0" encoding="utf-8"?>
<calcChain xmlns="http://schemas.openxmlformats.org/spreadsheetml/2006/main">
  <c r="K64" i="2" l="1"/>
  <c r="K65" i="2" s="1"/>
  <c r="K16" i="2"/>
  <c r="K14" i="2"/>
  <c r="C40" i="10"/>
  <c r="C39" i="10"/>
  <c r="C38" i="10"/>
  <c r="D37" i="10"/>
  <c r="C37" i="10"/>
  <c r="D35" i="10"/>
  <c r="D32" i="10"/>
  <c r="D31" i="10"/>
  <c r="C31" i="10"/>
  <c r="D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B14" i="10"/>
  <c r="B15" i="10" s="1"/>
  <c r="B16" i="10" s="1"/>
  <c r="D13" i="10"/>
  <c r="C13" i="10"/>
  <c r="D12" i="10"/>
  <c r="C12" i="10"/>
  <c r="C32" i="10" s="1"/>
  <c r="D11" i="10"/>
  <c r="D33" i="10" s="1"/>
  <c r="C11" i="10"/>
  <c r="C33" i="10" s="1"/>
  <c r="D10" i="10"/>
  <c r="D34" i="10" s="1"/>
  <c r="C10" i="10"/>
  <c r="C34" i="10" s="1"/>
  <c r="D9" i="10"/>
  <c r="C9" i="10"/>
  <c r="C35" i="10" s="1"/>
  <c r="D8" i="10"/>
  <c r="D36" i="10" s="1"/>
  <c r="C8" i="10"/>
  <c r="C36" i="10" s="1"/>
  <c r="D7" i="10"/>
  <c r="D6" i="10"/>
  <c r="D38" i="10" s="1"/>
  <c r="C6" i="10"/>
  <c r="D5" i="10"/>
  <c r="D39" i="10" s="1"/>
  <c r="C5" i="10"/>
  <c r="D4" i="10"/>
  <c r="D40" i="10" s="1"/>
  <c r="C4" i="10"/>
  <c r="D3" i="10"/>
  <c r="D41" i="10" s="1"/>
  <c r="C3" i="10"/>
  <c r="C41" i="10" s="1"/>
  <c r="H70" i="2"/>
  <c r="O73" i="2"/>
  <c r="D43" i="2"/>
  <c r="A43" i="2"/>
  <c r="B17" i="10" l="1"/>
  <c r="D16" i="10"/>
  <c r="U14" i="2"/>
  <c r="S14" i="2"/>
  <c r="Q14" i="2"/>
  <c r="O14" i="2"/>
  <c r="M14" i="2"/>
  <c r="M60" i="2"/>
  <c r="M70" i="2" s="1"/>
  <c r="B18" i="10" l="1"/>
  <c r="D17" i="10"/>
  <c r="G36" i="2" l="1"/>
  <c r="H44" i="2" s="1"/>
  <c r="H45" i="2" s="1"/>
  <c r="D18" i="10"/>
  <c r="B19" i="10"/>
  <c r="G1" i="10" l="1"/>
  <c r="H50" i="2"/>
  <c r="S64" i="2" s="1"/>
  <c r="S65" i="2" s="1"/>
  <c r="B20" i="10"/>
  <c r="D19" i="10"/>
  <c r="U64" i="2"/>
  <c r="U65" i="2" s="1"/>
  <c r="O64" i="2"/>
  <c r="O65" i="2" s="1"/>
  <c r="G4" i="7"/>
  <c r="B23" i="7"/>
  <c r="B14" i="7"/>
  <c r="D15" i="7" s="1"/>
  <c r="B3" i="7"/>
  <c r="C4" i="7"/>
  <c r="D4" i="7" s="1"/>
  <c r="C5" i="7"/>
  <c r="D5" i="7" s="1"/>
  <c r="C6" i="7"/>
  <c r="D6" i="7" s="1"/>
  <c r="G9" i="10" l="1"/>
  <c r="M64" i="2"/>
  <c r="M65" i="2" s="1"/>
  <c r="Q64" i="2"/>
  <c r="Q65" i="2" s="1"/>
  <c r="G3" i="10" a="1"/>
  <c r="G3" i="10" s="1"/>
  <c r="G2" i="10" a="1"/>
  <c r="G2" i="10" s="1"/>
  <c r="B21" i="10"/>
  <c r="D20" i="10"/>
  <c r="F6" i="7"/>
  <c r="F4" i="7"/>
  <c r="C7" i="7"/>
  <c r="D18" i="7"/>
  <c r="D26" i="7"/>
  <c r="D24" i="7"/>
  <c r="D25" i="7"/>
  <c r="D17" i="7"/>
  <c r="D16" i="7"/>
  <c r="D27" i="7"/>
  <c r="H4" i="7"/>
  <c r="D7" i="7"/>
  <c r="F5" i="7"/>
  <c r="F7" i="7" s="1"/>
  <c r="F8" i="7" s="1"/>
  <c r="Z10" i="2"/>
  <c r="G10" i="10" l="1" a="1"/>
  <c r="G10" i="10" s="1"/>
  <c r="G11" i="10" a="1"/>
  <c r="G11" i="10" s="1"/>
  <c r="G13" i="10" s="1"/>
  <c r="B22" i="10"/>
  <c r="D21" i="10"/>
  <c r="G32" i="2"/>
  <c r="G30" i="2"/>
  <c r="G31" i="2"/>
  <c r="G29" i="2"/>
  <c r="I6" i="7"/>
  <c r="I7" i="7" s="1"/>
  <c r="F9" i="7"/>
  <c r="I4" i="7" s="1"/>
  <c r="G34" i="2" s="1"/>
  <c r="F10" i="7"/>
  <c r="G33" i="2" s="1"/>
  <c r="D22" i="10" l="1"/>
  <c r="B23" i="10"/>
  <c r="D10" i="2"/>
  <c r="E5" i="1"/>
  <c r="Y55" i="2"/>
  <c r="D49" i="2"/>
  <c r="A49" i="2"/>
  <c r="B24" i="10" l="1"/>
  <c r="D23" i="10"/>
  <c r="A12" i="2"/>
  <c r="K76" i="2"/>
  <c r="Q76" i="2" s="1"/>
  <c r="B25" i="10" l="1"/>
  <c r="D24" i="10"/>
  <c r="B26" i="10" l="1"/>
  <c r="D25" i="10"/>
  <c r="D26" i="10" l="1"/>
  <c r="B27" i="10"/>
  <c r="B28" i="10" l="1"/>
  <c r="D27" i="10"/>
  <c r="G4" i="10"/>
  <c r="B29" i="10" l="1"/>
  <c r="D28" i="10"/>
  <c r="G5" i="10"/>
  <c r="G6" i="10" s="1"/>
  <c r="H46" i="2" s="1"/>
  <c r="B30" i="10" l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G12" i="10" s="1"/>
  <c r="G14" i="10" s="1"/>
  <c r="H51" i="2" s="1"/>
  <c r="D29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<sst xmlns="http://schemas.openxmlformats.org/spreadsheetml/2006/main" count="198" uniqueCount="117">
  <si>
    <t>Produit 1</t>
  </si>
  <si>
    <t>K. Original</t>
  </si>
  <si>
    <t>K. Menthe - Citron Vert</t>
  </si>
  <si>
    <t>K. Gingembre</t>
  </si>
  <si>
    <t>K. Pamplemousse</t>
  </si>
  <si>
    <t>K. Mangue - Passion</t>
  </si>
  <si>
    <t>EP. Menthe Poivrée</t>
  </si>
  <si>
    <t>EP. Mélisse</t>
  </si>
  <si>
    <t>EP. Anis étoilée</t>
  </si>
  <si>
    <t>IG. Pêche</t>
  </si>
  <si>
    <t xml:space="preserve">Autre : </t>
  </si>
  <si>
    <t>pour 1L</t>
  </si>
  <si>
    <t>Code : PROD_EN_002</t>
  </si>
  <si>
    <t>Création : 20/07/2021</t>
  </si>
  <si>
    <t>Fermentation</t>
  </si>
  <si>
    <t>Brix</t>
  </si>
  <si>
    <t>°C</t>
  </si>
  <si>
    <t>Observation</t>
  </si>
  <si>
    <t>Volume filtré :</t>
  </si>
  <si>
    <t>Hauteur :</t>
  </si>
  <si>
    <t>Bouteilles</t>
  </si>
  <si>
    <t>Remarques</t>
  </si>
  <si>
    <t>Cartons</t>
  </si>
  <si>
    <t>Incidents</t>
  </si>
  <si>
    <t>Date</t>
  </si>
  <si>
    <t>Heure</t>
  </si>
  <si>
    <t>PH</t>
  </si>
  <si>
    <t>Matricule</t>
  </si>
  <si>
    <t>Fin de la fermentation</t>
  </si>
  <si>
    <t>Volume de remplissage :</t>
  </si>
  <si>
    <t>Niveau de liquide :</t>
  </si>
  <si>
    <t>Volume total :</t>
  </si>
  <si>
    <t>33 CL</t>
  </si>
  <si>
    <t>75 CL</t>
  </si>
  <si>
    <t>Phase 1 : Fermentation</t>
  </si>
  <si>
    <t>Phase 2 : Filtration</t>
  </si>
  <si>
    <t>Phase 3 : Remplissage</t>
  </si>
  <si>
    <t>................................</t>
  </si>
  <si>
    <t>DDM</t>
  </si>
  <si>
    <t>Date de la production :</t>
  </si>
  <si>
    <t>Ajouts de Jus / L</t>
  </si>
  <si>
    <t>Prévisions de conditionnement</t>
  </si>
  <si>
    <t>Conditionnement réel</t>
  </si>
  <si>
    <t>IMPORTANT : la hauteur totale prend en compte l'ajout des jus de l'aromatisation</t>
  </si>
  <si>
    <t>Palettes</t>
  </si>
  <si>
    <t>Données à prendre en compte pour la production</t>
  </si>
  <si>
    <t>DDM :</t>
  </si>
  <si>
    <t>LOT :</t>
  </si>
  <si>
    <t>Pression sur le bulleur :</t>
  </si>
  <si>
    <t>3 bars</t>
  </si>
  <si>
    <t>Température de cuve :</t>
  </si>
  <si>
    <t>Volume total cuve</t>
  </si>
  <si>
    <t>Volume (L)</t>
  </si>
  <si>
    <t>Goût</t>
  </si>
  <si>
    <t>OK/NOK</t>
  </si>
  <si>
    <t>Ecommerce</t>
  </si>
  <si>
    <t>Tracabilité</t>
  </si>
  <si>
    <t>…............................</t>
  </si>
  <si>
    <t>qtt net (kg)</t>
  </si>
  <si>
    <t>qtt sucre (kg)</t>
  </si>
  <si>
    <t>masse volumique (kg/L)</t>
  </si>
  <si>
    <t>Brix attendu</t>
  </si>
  <si>
    <t>Brix cible 900L</t>
  </si>
  <si>
    <t>sucre blanc</t>
  </si>
  <si>
    <t>figues</t>
  </si>
  <si>
    <t>jus citron</t>
  </si>
  <si>
    <t>perte de sucre (kg)</t>
  </si>
  <si>
    <t>total</t>
  </si>
  <si>
    <t>perte de sucre (%)</t>
  </si>
  <si>
    <t>eau</t>
  </si>
  <si>
    <t>liquide dilué</t>
  </si>
  <si>
    <t>Sucre (kg)</t>
  </si>
  <si>
    <t>Figues (kg)</t>
  </si>
  <si>
    <t>Jus de Citron (kg)</t>
  </si>
  <si>
    <t>eau + figues + jus</t>
  </si>
  <si>
    <t xml:space="preserve">Brix cible </t>
  </si>
  <si>
    <t xml:space="preserve">RECETTE </t>
  </si>
  <si>
    <t>sucre  (kg)</t>
  </si>
  <si>
    <t>Volume avant sucre</t>
  </si>
  <si>
    <t xml:space="preserve">Grains </t>
  </si>
  <si>
    <t>grain</t>
  </si>
  <si>
    <t>Facteur 1L</t>
  </si>
  <si>
    <t xml:space="preserve">Recette Kefir </t>
  </si>
  <si>
    <t xml:space="preserve">Recette Eau </t>
  </si>
  <si>
    <t>Quantité</t>
  </si>
  <si>
    <t>Volume final :</t>
  </si>
  <si>
    <t>Antoine</t>
  </si>
  <si>
    <t>Répartition en carton :</t>
  </si>
  <si>
    <t>France</t>
  </si>
  <si>
    <t>X6</t>
  </si>
  <si>
    <t>X4</t>
  </si>
  <si>
    <t>EP. Zest d'agrumes</t>
  </si>
  <si>
    <t>24°C</t>
  </si>
  <si>
    <t>Limite Basse</t>
  </si>
  <si>
    <t>Limite Haute</t>
  </si>
  <si>
    <t>Hauteur limite Basse</t>
  </si>
  <si>
    <t>Hauteur limite Haute</t>
  </si>
  <si>
    <t>HAUTEUR CIBLE</t>
  </si>
  <si>
    <t>NIKO</t>
  </si>
  <si>
    <t>Produit préparé</t>
  </si>
  <si>
    <t>Version : 07</t>
  </si>
  <si>
    <t>Mis à jour : 14/10/2025</t>
  </si>
  <si>
    <t>Produit  :</t>
  </si>
  <si>
    <t xml:space="preserve">NIKO
X6 (saft) </t>
  </si>
  <si>
    <r>
      <rPr>
        <b/>
        <sz val="11"/>
        <color rgb="FFFF0000"/>
        <rFont val="Times New Roman"/>
        <family val="1"/>
      </rPr>
      <t>Résultat :</t>
    </r>
    <r>
      <rPr>
        <sz val="11"/>
        <color rgb="FFFF0000"/>
        <rFont val="Times New Roman"/>
        <family val="1"/>
      </rPr>
      <t xml:space="preserve">   </t>
    </r>
    <r>
      <rPr>
        <sz val="11"/>
        <color theme="1"/>
        <rFont val="Times New Roman"/>
        <family val="1"/>
      </rPr>
      <t xml:space="preserve">                 Conforme :                        </t>
    </r>
  </si>
  <si>
    <t>Non conforme :</t>
  </si>
  <si>
    <t>Volume (en L)</t>
  </si>
  <si>
    <t>Regle (en cm)</t>
  </si>
  <si>
    <t>Palier de Volume</t>
  </si>
  <si>
    <t>Palier de cm</t>
  </si>
  <si>
    <t>Valeur recherchée Produit  Cuve pleine</t>
  </si>
  <si>
    <t>Valeur recherchée Produit  Post Filtration</t>
  </si>
  <si>
    <t>Fiche de production Cuve de 5000 L</t>
  </si>
  <si>
    <t>❯❯</t>
  </si>
  <si>
    <t xml:space="preserve">Dilution </t>
  </si>
  <si>
    <t>Transfert</t>
  </si>
  <si>
    <t>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</si>
</sst>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&quot; L&quot;"/>
    <numFmt numFmtId="165" formatCode="#,##0&quot; cm&quot;"/>
    <numFmt numFmtId="166" formatCode="[$-40C]d\-mmm\-yy;@"/>
    <numFmt numFmtId="167" formatCode="ddmmyy"/>
    <numFmt numFmtId="168" formatCode="0.0"/>
    <numFmt numFmtId="169" formatCode="0.000%"/>
    <numFmt numFmtId="170" formatCode="0.0000%"/>
    <numFmt numFmtId="171" formatCode="#,##0.00&quot; L&quot;"/>
    <numFmt numFmtId="172" formatCode="#,##0.000&quot; L&quot;"/>
    <numFmt numFmtId="173" formatCode="#,##0.00000&quot; L&quot;"/>
    <numFmt numFmtId="174" formatCode="0.000000"/>
  </numFmts>
  <fonts count="45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sz val="8"/>
      <color theme="1"/>
      <name val="Aptos Narrow"/>
      <family val="2"/>
    </font>
    <font>
      <b/>
      <sz val="14"/>
      <color theme="1"/>
      <name val="Aptos Narrow"/>
      <family val="2"/>
    </font>
    <font>
      <b/>
      <sz val="11"/>
      <color theme="1"/>
      <name val="Arial"/>
      <family val="2"/>
    </font>
    <font>
      <b/>
      <sz val="11"/>
      <name val="Aptos Narrow"/>
      <family val="2"/>
    </font>
    <font>
      <b/>
      <sz val="9"/>
      <color theme="1"/>
      <name val="Aptos Narrow"/>
      <family val="2"/>
    </font>
    <font>
      <sz val="9"/>
      <color theme="1"/>
      <name val="Arial"/>
      <family val="2"/>
    </font>
    <font>
      <u/>
      <sz val="11"/>
      <color theme="1"/>
      <name val="Aptos Narrow"/>
      <family val="2"/>
    </font>
    <font>
      <b/>
      <u/>
      <sz val="12"/>
      <color theme="1"/>
      <name val="Aptos Narrow"/>
      <family val="2"/>
    </font>
    <font>
      <u/>
      <sz val="12"/>
      <color theme="1"/>
      <name val="Aptos Narrow"/>
      <family val="2"/>
    </font>
    <font>
      <sz val="8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i/>
      <sz val="10"/>
      <color theme="1"/>
      <name val="Aptos Narrow"/>
      <family val="2"/>
    </font>
    <font>
      <b/>
      <sz val="8"/>
      <color theme="1"/>
      <name val="Aptos Narrow"/>
      <family val="2"/>
    </font>
    <font>
      <sz val="12"/>
      <color theme="1"/>
      <name val="Aptos Narrow"/>
      <family val="2"/>
    </font>
    <font>
      <sz val="10"/>
      <color rgb="FFFF0000"/>
      <name val="Aptos Narrow"/>
      <family val="2"/>
      <scheme val="minor"/>
    </font>
    <font>
      <i/>
      <sz val="9"/>
      <color theme="1"/>
      <name val="Aptos Narrow"/>
      <family val="2"/>
    </font>
    <font>
      <sz val="9"/>
      <name val="Aptos Narrow"/>
      <family val="2"/>
    </font>
    <font>
      <b/>
      <u/>
      <sz val="10"/>
      <color theme="1"/>
      <name val="Aptos Narrow"/>
      <family val="2"/>
    </font>
    <font>
      <sz val="10"/>
      <color theme="1"/>
      <name val="Aptos Narrow"/>
      <family val="2"/>
    </font>
    <font>
      <sz val="11"/>
      <color rgb="FFFF0000"/>
      <name val="Aptos Narrow (Corps)"/>
    </font>
    <font>
      <sz val="11"/>
      <color theme="1"/>
      <name val="Times New Roman"/>
      <family val="1"/>
    </font>
    <font>
      <b/>
      <sz val="9"/>
      <color rgb="FFFF0000"/>
      <name val="Aptos Narrow"/>
      <family val="2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FF0000"/>
      <name val="Aptos Narrow"/>
      <family val="2"/>
    </font>
    <font>
      <sz val="16"/>
      <color rgb="FF414856"/>
      <name val="Marianne_light"/>
    </font>
    <font>
      <sz val="11"/>
      <color theme="1"/>
      <name val="Aptos Narrow"/>
    </font>
    <font>
      <sz val="11"/>
      <name val="Aptos Narrow"/>
    </font>
    <font>
      <sz val="8"/>
      <color theme="1"/>
      <name val="Aptos Narrow"/>
    </font>
    <font>
      <b/>
      <sz val="11"/>
      <color theme="1"/>
      <name val="Aptos Narrow"/>
      <scheme val="minor"/>
    </font>
    <font>
      <b/>
      <sz val="9"/>
      <name val="Aptos Narrow"/>
    </font>
    <font>
      <sz val="12"/>
      <color theme="1"/>
      <name val="Aptos Narrow"/>
    </font>
    <font>
      <i/>
      <sz val="11"/>
      <color theme="1"/>
      <name val="Aptos Narrow"/>
      <scheme val="minor"/>
    </font>
    <font>
      <b/>
      <sz val="9"/>
      <color theme="1"/>
      <name val="Aptos Narrow"/>
    </font>
  </fonts>
  <fills count="14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rgb="FFD0D0D0"/>
        <bgColor rgb="FFD0D0D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3CAEB"/>
      </patternFill>
    </fill>
    <fill>
      <patternFill patternType="solid">
        <fgColor theme="0"/>
        <bgColor rgb="FFC1E4F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D0D0D0"/>
      </patternFill>
    </fill>
    <fill>
      <patternFill patternType="solid">
        <fgColor rgb="FFFFFDE8"/>
        <bgColor rgb="FFD0D0D0"/>
      </patternFill>
    </fill>
    <fill>
      <patternFill patternType="solid">
        <fgColor rgb="FFFFFDE8"/>
        <bgColor indexed="64"/>
      </patternFill>
    </fill>
    <fill>
      <patternFill patternType="solid">
        <fgColor rgb="FFFFFDE8"/>
        <bgColor rgb="FF83CAEB"/>
      </patternFill>
    </fill>
    <fill>
      <patternFill patternType="solid">
        <fgColor rgb="FFC0E6F6"/>
        <bgColor indexed="64"/>
      </patternFill>
    </fill>
    <fill>
      <patternFill patternType="solid">
        <fgColor rgb="FFC0E6F6"/>
        <bgColor rgb="FF83CAEB"/>
      </patternFill>
    </fill>
  </fills>
  <borders count="56">
    <border>
      <left/>
      <right/>
      <top/>
      <bottom/>
      <diagonal/>
    </border>
    <border>
      <left style="thin">
        <color rgb="FF45B0E1"/>
      </left>
      <right style="thin">
        <color rgb="FF45B0E1"/>
      </right>
      <top style="thin">
        <color rgb="FF45B0E1"/>
      </top>
      <bottom style="thin">
        <color rgb="FF45B0E1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rgb="FFFF0000"/>
      </right>
      <top/>
      <bottom style="thin">
        <color theme="1"/>
      </bottom>
      <diagonal/>
    </border>
    <border>
      <left style="thin">
        <color rgb="FFFF0000"/>
      </left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theme="1"/>
      </top>
      <bottom style="thin">
        <color theme="1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2"/>
    <xf numFmtId="9" fontId="1" fillId="0" borderId="2" applyFont="0" applyFill="0" applyBorder="0" applyAlignment="0" applyProtection="0"/>
    <xf numFmtId="9" fontId="34" fillId="0" borderId="0" applyFont="0" applyFill="0" applyBorder="0" applyAlignment="0" applyProtection="0"/>
  </cellStyleXfs>
  <cellXfs count="307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0" fillId="4" borderId="0" xfId="0" applyFill="1"/>
    <xf numFmtId="0" fontId="3" fillId="5" borderId="2" xfId="0" applyFont="1" applyFill="1" applyBorder="1"/>
    <xf numFmtId="0" fontId="8" fillId="4" borderId="2" xfId="0" applyFont="1" applyFill="1" applyBorder="1" applyAlignment="1">
      <alignment horizontal="center"/>
    </xf>
    <xf numFmtId="0" fontId="5" fillId="4" borderId="2" xfId="0" applyFont="1" applyFill="1" applyBorder="1"/>
    <xf numFmtId="0" fontId="3" fillId="6" borderId="2" xfId="0" applyFont="1" applyFill="1" applyBorder="1"/>
    <xf numFmtId="0" fontId="0" fillId="0" borderId="0" xfId="0" applyAlignment="1">
      <alignment vertical="center" wrapText="1"/>
    </xf>
    <xf numFmtId="0" fontId="0" fillId="4" borderId="2" xfId="0" applyFill="1" applyBorder="1"/>
    <xf numFmtId="0" fontId="3" fillId="4" borderId="2" xfId="0" applyFont="1" applyFill="1" applyBorder="1"/>
    <xf numFmtId="164" fontId="3" fillId="4" borderId="2" xfId="0" applyNumberFormat="1" applyFont="1" applyFill="1" applyBorder="1"/>
    <xf numFmtId="165" fontId="3" fillId="4" borderId="2" xfId="0" applyNumberFormat="1" applyFont="1" applyFill="1" applyBorder="1"/>
    <xf numFmtId="0" fontId="2" fillId="4" borderId="2" xfId="0" applyFont="1" applyFill="1" applyBorder="1"/>
    <xf numFmtId="0" fontId="4" fillId="4" borderId="2" xfId="0" applyFont="1" applyFill="1" applyBorder="1"/>
    <xf numFmtId="0" fontId="12" fillId="4" borderId="2" xfId="0" applyFont="1" applyFill="1" applyBorder="1"/>
    <xf numFmtId="0" fontId="13" fillId="4" borderId="2" xfId="0" applyFont="1" applyFill="1" applyBorder="1"/>
    <xf numFmtId="0" fontId="14" fillId="4" borderId="2" xfId="0" applyFont="1" applyFill="1" applyBorder="1"/>
    <xf numFmtId="0" fontId="7" fillId="8" borderId="2" xfId="0" applyFont="1" applyFill="1" applyBorder="1" applyAlignment="1">
      <alignment horizontal="center"/>
    </xf>
    <xf numFmtId="0" fontId="0" fillId="4" borderId="9" xfId="0" applyFill="1" applyBorder="1"/>
    <xf numFmtId="0" fontId="5" fillId="4" borderId="2" xfId="0" applyFont="1" applyFill="1" applyBorder="1" applyAlignment="1">
      <alignment vertical="center"/>
    </xf>
    <xf numFmtId="0" fontId="22" fillId="4" borderId="2" xfId="0" applyFont="1" applyFill="1" applyBorder="1"/>
    <xf numFmtId="0" fontId="4" fillId="8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center" vertical="center"/>
    </xf>
    <xf numFmtId="0" fontId="25" fillId="8" borderId="2" xfId="0" applyFont="1" applyFill="1" applyBorder="1" applyAlignment="1">
      <alignment horizontal="left" vertical="center"/>
    </xf>
    <xf numFmtId="164" fontId="0" fillId="0" borderId="0" xfId="0" applyNumberFormat="1"/>
    <xf numFmtId="164" fontId="18" fillId="4" borderId="2" xfId="0" applyNumberFormat="1" applyFont="1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0" fontId="27" fillId="4" borderId="2" xfId="0" applyFont="1" applyFill="1" applyBorder="1"/>
    <xf numFmtId="0" fontId="19" fillId="4" borderId="2" xfId="0" applyFont="1" applyFill="1" applyBorder="1"/>
    <xf numFmtId="0" fontId="3" fillId="4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 wrapText="1"/>
    </xf>
    <xf numFmtId="0" fontId="30" fillId="4" borderId="0" xfId="0" applyFont="1" applyFill="1" applyAlignment="1">
      <alignment horizontal="left" vertical="center"/>
    </xf>
    <xf numFmtId="0" fontId="10" fillId="4" borderId="15" xfId="0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11" xfId="0" applyFont="1" applyFill="1" applyBorder="1" applyAlignment="1">
      <alignment horizontal="left" vertical="center"/>
    </xf>
    <xf numFmtId="0" fontId="18" fillId="4" borderId="9" xfId="0" applyFont="1" applyFill="1" applyBorder="1" applyAlignment="1">
      <alignment horizontal="left" vertical="center"/>
    </xf>
    <xf numFmtId="166" fontId="21" fillId="8" borderId="2" xfId="0" applyNumberFormat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left" vertical="top"/>
    </xf>
    <xf numFmtId="0" fontId="4" fillId="8" borderId="9" xfId="0" applyFont="1" applyFill="1" applyBorder="1" applyAlignment="1">
      <alignment horizontal="left" vertical="top"/>
    </xf>
    <xf numFmtId="0" fontId="4" fillId="8" borderId="12" xfId="0" applyFont="1" applyFill="1" applyBorder="1" applyAlignment="1">
      <alignment horizontal="left" vertical="top"/>
    </xf>
    <xf numFmtId="0" fontId="4" fillId="8" borderId="13" xfId="0" applyFont="1" applyFill="1" applyBorder="1" applyAlignment="1">
      <alignment horizontal="left" vertical="top"/>
    </xf>
    <xf numFmtId="0" fontId="4" fillId="8" borderId="2" xfId="0" applyFont="1" applyFill="1" applyBorder="1" applyAlignment="1">
      <alignment horizontal="left" vertical="top"/>
    </xf>
    <xf numFmtId="0" fontId="4" fillId="8" borderId="14" xfId="0" applyFont="1" applyFill="1" applyBorder="1" applyAlignment="1">
      <alignment horizontal="left" vertical="top"/>
    </xf>
    <xf numFmtId="0" fontId="4" fillId="8" borderId="6" xfId="0" applyFont="1" applyFill="1" applyBorder="1" applyAlignment="1">
      <alignment horizontal="left" vertical="top"/>
    </xf>
    <xf numFmtId="0" fontId="4" fillId="8" borderId="7" xfId="0" applyFont="1" applyFill="1" applyBorder="1" applyAlignment="1">
      <alignment horizontal="left" vertical="top"/>
    </xf>
    <xf numFmtId="0" fontId="4" fillId="8" borderId="8" xfId="0" applyFont="1" applyFill="1" applyBorder="1" applyAlignment="1">
      <alignment horizontal="left" vertical="top"/>
    </xf>
    <xf numFmtId="0" fontId="18" fillId="4" borderId="6" xfId="0" applyFont="1" applyFill="1" applyBorder="1" applyAlignment="1">
      <alignment vertical="center"/>
    </xf>
    <xf numFmtId="0" fontId="18" fillId="4" borderId="7" xfId="0" applyFont="1" applyFill="1" applyBorder="1" applyAlignment="1">
      <alignment vertical="center"/>
    </xf>
    <xf numFmtId="0" fontId="18" fillId="4" borderId="2" xfId="0" applyFont="1" applyFill="1" applyBorder="1" applyAlignment="1">
      <alignment horizontal="center"/>
    </xf>
    <xf numFmtId="0" fontId="1" fillId="0" borderId="2" xfId="1"/>
    <xf numFmtId="168" fontId="1" fillId="0" borderId="2" xfId="1" applyNumberFormat="1"/>
    <xf numFmtId="1" fontId="1" fillId="0" borderId="2" xfId="1" applyNumberFormat="1"/>
    <xf numFmtId="9" fontId="0" fillId="0" borderId="2" xfId="2" applyFont="1" applyBorder="1"/>
    <xf numFmtId="2" fontId="1" fillId="0" borderId="2" xfId="1" applyNumberFormat="1"/>
    <xf numFmtId="0" fontId="1" fillId="0" borderId="49" xfId="1" applyBorder="1"/>
    <xf numFmtId="0" fontId="1" fillId="0" borderId="48" xfId="1" applyBorder="1"/>
    <xf numFmtId="0" fontId="1" fillId="0" borderId="47" xfId="1" applyBorder="1"/>
    <xf numFmtId="0" fontId="1" fillId="0" borderId="50" xfId="1" applyBorder="1"/>
    <xf numFmtId="0" fontId="1" fillId="0" borderId="46" xfId="1" applyBorder="1"/>
    <xf numFmtId="0" fontId="1" fillId="0" borderId="51" xfId="1" applyBorder="1"/>
    <xf numFmtId="0" fontId="1" fillId="0" borderId="45" xfId="1" applyBorder="1"/>
    <xf numFmtId="0" fontId="1" fillId="0" borderId="44" xfId="1" applyBorder="1"/>
    <xf numFmtId="9" fontId="0" fillId="0" borderId="2" xfId="2" applyFont="1"/>
    <xf numFmtId="1" fontId="1" fillId="0" borderId="8" xfId="1" applyNumberFormat="1" applyBorder="1"/>
    <xf numFmtId="0" fontId="1" fillId="0" borderId="6" xfId="1" applyBorder="1"/>
    <xf numFmtId="168" fontId="1" fillId="0" borderId="48" xfId="1" applyNumberFormat="1" applyBorder="1"/>
    <xf numFmtId="1" fontId="1" fillId="0" borderId="14" xfId="1" applyNumberFormat="1" applyBorder="1"/>
    <xf numFmtId="0" fontId="1" fillId="0" borderId="13" xfId="1" applyBorder="1"/>
    <xf numFmtId="0" fontId="1" fillId="0" borderId="12" xfId="1" applyBorder="1"/>
    <xf numFmtId="0" fontId="1" fillId="0" borderId="11" xfId="1" applyBorder="1"/>
    <xf numFmtId="0" fontId="17" fillId="0" borderId="2" xfId="1" applyFont="1"/>
    <xf numFmtId="1" fontId="0" fillId="0" borderId="0" xfId="0" applyNumberFormat="1"/>
    <xf numFmtId="9" fontId="0" fillId="0" borderId="0" xfId="3" applyFont="1"/>
    <xf numFmtId="169" fontId="0" fillId="0" borderId="0" xfId="3" applyNumberFormat="1" applyFont="1"/>
    <xf numFmtId="170" fontId="0" fillId="0" borderId="0" xfId="3" applyNumberFormat="1" applyFont="1"/>
    <xf numFmtId="171" fontId="0" fillId="0" borderId="0" xfId="0" applyNumberFormat="1"/>
    <xf numFmtId="172" fontId="0" fillId="0" borderId="0" xfId="0" applyNumberFormat="1"/>
    <xf numFmtId="2" fontId="0" fillId="0" borderId="0" xfId="3" applyNumberFormat="1" applyFont="1"/>
    <xf numFmtId="2" fontId="0" fillId="0" borderId="0" xfId="0" applyNumberFormat="1"/>
    <xf numFmtId="173" fontId="0" fillId="0" borderId="0" xfId="0" applyNumberFormat="1"/>
    <xf numFmtId="174" fontId="0" fillId="0" borderId="0" xfId="0" applyNumberFormat="1"/>
    <xf numFmtId="164" fontId="0" fillId="0" borderId="0" xfId="0" applyNumberFormat="1" applyAlignment="1">
      <alignment vertical="center" wrapText="1"/>
    </xf>
    <xf numFmtId="0" fontId="36" fillId="0" borderId="0" xfId="0" applyFont="1"/>
    <xf numFmtId="0" fontId="1" fillId="0" borderId="0" xfId="0" applyFont="1"/>
    <xf numFmtId="0" fontId="37" fillId="8" borderId="2" xfId="0" applyFont="1" applyFill="1" applyBorder="1" applyAlignment="1">
      <alignment vertical="center"/>
    </xf>
    <xf numFmtId="0" fontId="38" fillId="4" borderId="2" xfId="0" applyFont="1" applyFill="1" applyBorder="1" applyAlignment="1">
      <alignment vertical="center"/>
    </xf>
    <xf numFmtId="0" fontId="37" fillId="8" borderId="2" xfId="0" applyFont="1" applyFill="1" applyBorder="1" applyAlignment="1">
      <alignment horizontal="left" vertical="center"/>
    </xf>
    <xf numFmtId="0" fontId="10" fillId="8" borderId="2" xfId="0" applyFont="1" applyFill="1" applyBorder="1" applyAlignment="1">
      <alignment vertical="center"/>
    </xf>
    <xf numFmtId="0" fontId="40" fillId="0" borderId="0" xfId="0" applyFont="1"/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23" fillId="8" borderId="2" xfId="0" applyFont="1" applyFill="1" applyBorder="1"/>
    <xf numFmtId="0" fontId="3" fillId="4" borderId="7" xfId="0" applyFont="1" applyFill="1" applyBorder="1"/>
    <xf numFmtId="0" fontId="13" fillId="4" borderId="7" xfId="0" applyFont="1" applyFill="1" applyBorder="1"/>
    <xf numFmtId="164" fontId="18" fillId="4" borderId="2" xfId="0" applyNumberFormat="1" applyFont="1" applyFill="1" applyBorder="1" applyAlignment="1">
      <alignment horizontal="left"/>
    </xf>
    <xf numFmtId="165" fontId="35" fillId="4" borderId="7" xfId="0" applyNumberFormat="1" applyFont="1" applyFill="1" applyBorder="1" applyAlignment="1">
      <alignment horizontal="left"/>
    </xf>
    <xf numFmtId="164" fontId="18" fillId="4" borderId="2" xfId="0" applyNumberFormat="1" applyFont="1" applyFill="1" applyBorder="1"/>
    <xf numFmtId="165" fontId="35" fillId="4" borderId="7" xfId="0" applyNumberFormat="1" applyFont="1" applyFill="1" applyBorder="1"/>
    <xf numFmtId="0" fontId="18" fillId="4" borderId="2" xfId="0" applyFont="1" applyFill="1" applyBorder="1" applyAlignment="1">
      <alignment vertical="center"/>
    </xf>
    <xf numFmtId="0" fontId="28" fillId="4" borderId="2" xfId="0" applyFont="1" applyFill="1" applyBorder="1"/>
    <xf numFmtId="0" fontId="23" fillId="8" borderId="7" xfId="0" applyFont="1" applyFill="1" applyBorder="1"/>
    <xf numFmtId="0" fontId="8" fillId="4" borderId="2" xfId="0" applyFont="1" applyFill="1" applyBorder="1" applyAlignment="1">
      <alignment vertical="center"/>
    </xf>
    <xf numFmtId="168" fontId="0" fillId="0" borderId="0" xfId="0" applyNumberFormat="1"/>
    <xf numFmtId="0" fontId="42" fillId="4" borderId="2" xfId="0" applyFont="1" applyFill="1" applyBorder="1"/>
    <xf numFmtId="0" fontId="3" fillId="13" borderId="4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 vertical="center"/>
    </xf>
    <xf numFmtId="0" fontId="43" fillId="4" borderId="0" xfId="0" applyFont="1" applyFill="1"/>
    <xf numFmtId="0" fontId="40" fillId="4" borderId="0" xfId="0" applyFont="1" applyFill="1"/>
    <xf numFmtId="1" fontId="10" fillId="0" borderId="3" xfId="0" applyNumberFormat="1" applyFont="1" applyBorder="1" applyAlignment="1">
      <alignment horizontal="center" vertical="center"/>
    </xf>
    <xf numFmtId="1" fontId="10" fillId="0" borderId="4" xfId="0" applyNumberFormat="1" applyFont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center" vertical="center"/>
    </xf>
    <xf numFmtId="166" fontId="18" fillId="8" borderId="3" xfId="0" applyNumberFormat="1" applyFont="1" applyFill="1" applyBorder="1" applyAlignment="1">
      <alignment horizontal="center" vertical="center"/>
    </xf>
    <xf numFmtId="166" fontId="18" fillId="8" borderId="4" xfId="0" applyNumberFormat="1" applyFont="1" applyFill="1" applyBorder="1" applyAlignment="1">
      <alignment horizontal="center" vertical="center"/>
    </xf>
    <xf numFmtId="166" fontId="18" fillId="8" borderId="52" xfId="0" applyNumberFormat="1" applyFont="1" applyFill="1" applyBorder="1" applyAlignment="1">
      <alignment horizontal="center" vertical="center"/>
    </xf>
    <xf numFmtId="0" fontId="39" fillId="8" borderId="3" xfId="0" applyFont="1" applyFill="1" applyBorder="1" applyAlignment="1">
      <alignment horizontal="center"/>
    </xf>
    <xf numFmtId="0" fontId="39" fillId="8" borderId="4" xfId="0" applyFont="1" applyFill="1" applyBorder="1" applyAlignment="1">
      <alignment horizontal="center"/>
    </xf>
    <xf numFmtId="0" fontId="4" fillId="8" borderId="10" xfId="0" applyFont="1" applyFill="1" applyBorder="1" applyAlignment="1">
      <alignment horizontal="center"/>
    </xf>
    <xf numFmtId="0" fontId="24" fillId="4" borderId="2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0" fontId="18" fillId="4" borderId="2" xfId="0" applyFont="1" applyFill="1" applyBorder="1" applyAlignment="1">
      <alignment horizontal="center" vertical="center"/>
    </xf>
    <xf numFmtId="164" fontId="18" fillId="4" borderId="2" xfId="0" applyNumberFormat="1" applyFont="1" applyFill="1" applyBorder="1" applyAlignment="1">
      <alignment horizontal="center"/>
    </xf>
    <xf numFmtId="0" fontId="23" fillId="8" borderId="7" xfId="0" applyFont="1" applyFill="1" applyBorder="1" applyAlignment="1">
      <alignment horizontal="center"/>
    </xf>
    <xf numFmtId="0" fontId="23" fillId="8" borderId="8" xfId="0" applyFont="1" applyFill="1" applyBorder="1" applyAlignment="1">
      <alignment horizontal="center"/>
    </xf>
    <xf numFmtId="0" fontId="23" fillId="8" borderId="3" xfId="0" applyFont="1" applyFill="1" applyBorder="1" applyAlignment="1">
      <alignment horizontal="center"/>
    </xf>
    <xf numFmtId="0" fontId="23" fillId="8" borderId="4" xfId="0" applyFont="1" applyFill="1" applyBorder="1" applyAlignment="1">
      <alignment horizontal="center"/>
    </xf>
    <xf numFmtId="0" fontId="23" fillId="8" borderId="5" xfId="0" applyFont="1" applyFill="1" applyBorder="1" applyAlignment="1">
      <alignment horizontal="center"/>
    </xf>
    <xf numFmtId="0" fontId="10" fillId="8" borderId="52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0" xfId="0" applyFont="1" applyBorder="1" applyAlignment="1">
      <alignment horizontal="center"/>
    </xf>
    <xf numFmtId="0" fontId="20" fillId="0" borderId="19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10" fillId="0" borderId="28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14" fontId="9" fillId="7" borderId="4" xfId="0" applyNumberFormat="1" applyFont="1" applyFill="1" applyBorder="1" applyAlignment="1">
      <alignment horizontal="center"/>
    </xf>
    <xf numFmtId="14" fontId="9" fillId="7" borderId="5" xfId="0" applyNumberFormat="1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10" fillId="0" borderId="39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41" fillId="4" borderId="10" xfId="0" applyFont="1" applyFill="1" applyBorder="1" applyAlignment="1">
      <alignment horizontal="center" wrapText="1"/>
    </xf>
    <xf numFmtId="0" fontId="41" fillId="4" borderId="10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left" vertical="center"/>
    </xf>
    <xf numFmtId="0" fontId="10" fillId="8" borderId="4" xfId="0" applyFont="1" applyFill="1" applyBorder="1" applyAlignment="1">
      <alignment horizontal="left" vertical="center"/>
    </xf>
    <xf numFmtId="0" fontId="10" fillId="8" borderId="5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9" borderId="52" xfId="0" applyFont="1" applyFill="1" applyBorder="1" applyAlignment="1">
      <alignment horizontal="center" vertical="center"/>
    </xf>
    <xf numFmtId="0" fontId="10" fillId="9" borderId="4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10" fillId="0" borderId="35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7" fontId="9" fillId="0" borderId="4" xfId="0" applyNumberFormat="1" applyFont="1" applyBorder="1" applyAlignment="1">
      <alignment horizontal="center"/>
    </xf>
    <xf numFmtId="167" fontId="9" fillId="0" borderId="5" xfId="0" applyNumberFormat="1" applyFont="1" applyBorder="1" applyAlignment="1">
      <alignment horizontal="center"/>
    </xf>
    <xf numFmtId="14" fontId="11" fillId="10" borderId="37" xfId="0" applyNumberFormat="1" applyFont="1" applyFill="1" applyBorder="1" applyAlignment="1">
      <alignment horizontal="center" vertical="center"/>
    </xf>
    <xf numFmtId="14" fontId="11" fillId="10" borderId="17" xfId="0" applyNumberFormat="1" applyFont="1" applyFill="1" applyBorder="1" applyAlignment="1">
      <alignment horizontal="center" vertical="center"/>
    </xf>
    <xf numFmtId="14" fontId="11" fillId="10" borderId="26" xfId="0" applyNumberFormat="1" applyFont="1" applyFill="1" applyBorder="1" applyAlignment="1">
      <alignment horizontal="center" vertical="center"/>
    </xf>
    <xf numFmtId="0" fontId="41" fillId="10" borderId="10" xfId="0" applyFont="1" applyFill="1" applyBorder="1" applyAlignment="1">
      <alignment horizontal="center"/>
    </xf>
    <xf numFmtId="0" fontId="18" fillId="12" borderId="9" xfId="0" applyFont="1" applyFill="1" applyBorder="1" applyAlignment="1">
      <alignment horizontal="center"/>
    </xf>
    <xf numFmtId="0" fontId="18" fillId="12" borderId="12" xfId="0" applyFont="1" applyFill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1" fontId="18" fillId="4" borderId="9" xfId="0" applyNumberFormat="1" applyFont="1" applyFill="1" applyBorder="1" applyAlignment="1">
      <alignment horizontal="center"/>
    </xf>
    <xf numFmtId="1" fontId="18" fillId="4" borderId="12" xfId="0" applyNumberFormat="1" applyFont="1" applyFill="1" applyBorder="1" applyAlignment="1">
      <alignment horizontal="center"/>
    </xf>
    <xf numFmtId="1" fontId="18" fillId="4" borderId="2" xfId="0" applyNumberFormat="1" applyFont="1" applyFill="1" applyBorder="1" applyAlignment="1">
      <alignment horizontal="center"/>
    </xf>
    <xf numFmtId="1" fontId="18" fillId="4" borderId="14" xfId="0" applyNumberFormat="1" applyFont="1" applyFill="1" applyBorder="1" applyAlignment="1">
      <alignment horizontal="center"/>
    </xf>
    <xf numFmtId="2" fontId="33" fillId="0" borderId="7" xfId="0" applyNumberFormat="1" applyFont="1" applyBorder="1" applyAlignment="1">
      <alignment horizontal="center"/>
    </xf>
    <xf numFmtId="2" fontId="33" fillId="0" borderId="8" xfId="0" applyNumberFormat="1" applyFont="1" applyBorder="1" applyAlignment="1">
      <alignment horizontal="center"/>
    </xf>
    <xf numFmtId="0" fontId="18" fillId="4" borderId="13" xfId="0" applyFont="1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left" vertical="center"/>
    </xf>
    <xf numFmtId="0" fontId="18" fillId="4" borderId="7" xfId="0" applyFont="1" applyFill="1" applyBorder="1" applyAlignment="1">
      <alignment horizontal="left" vertical="center"/>
    </xf>
    <xf numFmtId="0" fontId="33" fillId="4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3" fillId="13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165" fontId="35" fillId="4" borderId="2" xfId="0" applyNumberFormat="1" applyFont="1" applyFill="1" applyBorder="1" applyAlignment="1">
      <alignment horizontal="center"/>
    </xf>
    <xf numFmtId="0" fontId="18" fillId="12" borderId="11" xfId="0" applyFont="1" applyFill="1" applyBorder="1" applyAlignment="1">
      <alignment horizontal="center" vertical="center"/>
    </xf>
    <xf numFmtId="0" fontId="18" fillId="12" borderId="9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64" fontId="18" fillId="4" borderId="9" xfId="0" applyNumberFormat="1" applyFont="1" applyFill="1" applyBorder="1" applyAlignment="1">
      <alignment horizontal="center"/>
    </xf>
    <xf numFmtId="164" fontId="18" fillId="4" borderId="12" xfId="0" applyNumberFormat="1" applyFont="1" applyFill="1" applyBorder="1" applyAlignment="1">
      <alignment horizontal="center"/>
    </xf>
    <xf numFmtId="0" fontId="29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165" fontId="18" fillId="4" borderId="2" xfId="0" applyNumberFormat="1" applyFont="1" applyFill="1" applyBorder="1" applyAlignment="1">
      <alignment horizontal="center"/>
    </xf>
    <xf numFmtId="165" fontId="18" fillId="4" borderId="14" xfId="0" applyNumberFormat="1" applyFont="1" applyFill="1" applyBorder="1" applyAlignment="1">
      <alignment horizontal="center"/>
    </xf>
    <xf numFmtId="165" fontId="26" fillId="4" borderId="2" xfId="0" applyNumberFormat="1" applyFont="1" applyFill="1" applyBorder="1" applyAlignment="1">
      <alignment horizontal="center"/>
    </xf>
    <xf numFmtId="165" fontId="26" fillId="4" borderId="14" xfId="0" applyNumberFormat="1" applyFont="1" applyFill="1" applyBorder="1" applyAlignment="1">
      <alignment horizontal="center"/>
    </xf>
    <xf numFmtId="165" fontId="18" fillId="4" borderId="7" xfId="0" applyNumberFormat="1" applyFont="1" applyFill="1" applyBorder="1" applyAlignment="1">
      <alignment horizontal="center"/>
    </xf>
    <xf numFmtId="165" fontId="18" fillId="4" borderId="8" xfId="0" applyNumberFormat="1" applyFont="1" applyFill="1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166" fontId="0" fillId="4" borderId="0" xfId="0" applyNumberFormat="1" applyFill="1" applyAlignment="1">
      <alignment horizontal="center"/>
    </xf>
    <xf numFmtId="0" fontId="18" fillId="4" borderId="13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164" fontId="18" fillId="4" borderId="14" xfId="0" applyNumberFormat="1" applyFont="1" applyFill="1" applyBorder="1" applyAlignment="1">
      <alignment horizontal="center"/>
    </xf>
    <xf numFmtId="165" fontId="35" fillId="4" borderId="7" xfId="0" applyNumberFormat="1" applyFont="1" applyFill="1" applyBorder="1" applyAlignment="1">
      <alignment horizontal="center"/>
    </xf>
    <xf numFmtId="165" fontId="35" fillId="4" borderId="8" xfId="0" applyNumberFormat="1" applyFont="1" applyFill="1" applyBorder="1" applyAlignment="1">
      <alignment horizontal="center"/>
    </xf>
    <xf numFmtId="0" fontId="10" fillId="8" borderId="13" xfId="0" applyFont="1" applyFill="1" applyBorder="1" applyAlignment="1">
      <alignment vertical="center"/>
    </xf>
    <xf numFmtId="0" fontId="10" fillId="8" borderId="2" xfId="0" applyFont="1" applyFill="1" applyBorder="1" applyAlignment="1">
      <alignment vertical="center"/>
    </xf>
    <xf numFmtId="0" fontId="10" fillId="8" borderId="14" xfId="0" applyFont="1" applyFill="1" applyBorder="1" applyAlignment="1">
      <alignment vertical="center"/>
    </xf>
    <xf numFmtId="0" fontId="39" fillId="8" borderId="52" xfId="0" applyFont="1" applyFill="1" applyBorder="1" applyAlignment="1">
      <alignment horizontal="center"/>
    </xf>
    <xf numFmtId="0" fontId="39" fillId="8" borderId="20" xfId="0" applyFont="1" applyFill="1" applyBorder="1" applyAlignment="1">
      <alignment horizontal="center"/>
    </xf>
    <xf numFmtId="0" fontId="39" fillId="8" borderId="21" xfId="0" applyFont="1" applyFill="1" applyBorder="1" applyAlignment="1">
      <alignment horizontal="center"/>
    </xf>
    <xf numFmtId="0" fontId="10" fillId="8" borderId="29" xfId="0" applyFont="1" applyFill="1" applyBorder="1" applyAlignment="1">
      <alignment vertical="center"/>
    </xf>
    <xf numFmtId="0" fontId="10" fillId="8" borderId="27" xfId="0" applyFont="1" applyFill="1" applyBorder="1" applyAlignment="1">
      <alignment vertical="center"/>
    </xf>
    <xf numFmtId="0" fontId="10" fillId="8" borderId="28" xfId="0" applyFont="1" applyFill="1" applyBorder="1" applyAlignment="1">
      <alignment vertical="center"/>
    </xf>
    <xf numFmtId="0" fontId="39" fillId="8" borderId="29" xfId="0" applyFont="1" applyFill="1" applyBorder="1" applyAlignment="1">
      <alignment horizontal="center"/>
    </xf>
    <xf numFmtId="0" fontId="39" fillId="8" borderId="22" xfId="0" applyFont="1" applyFill="1" applyBorder="1" applyAlignment="1">
      <alignment horizontal="center"/>
    </xf>
    <xf numFmtId="0" fontId="39" fillId="8" borderId="53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vertical="center"/>
    </xf>
    <xf numFmtId="0" fontId="10" fillId="8" borderId="7" xfId="0" applyFont="1" applyFill="1" applyBorder="1" applyAlignment="1">
      <alignment vertical="center"/>
    </xf>
    <xf numFmtId="0" fontId="10" fillId="8" borderId="8" xfId="0" applyFont="1" applyFill="1" applyBorder="1" applyAlignment="1">
      <alignment vertical="center"/>
    </xf>
    <xf numFmtId="0" fontId="39" fillId="8" borderId="5" xfId="0" applyFont="1" applyFill="1" applyBorder="1" applyAlignment="1">
      <alignment horizontal="center"/>
    </xf>
    <xf numFmtId="0" fontId="39" fillId="8" borderId="27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166" fontId="18" fillId="8" borderId="54" xfId="0" applyNumberFormat="1" applyFont="1" applyFill="1" applyBorder="1" applyAlignment="1">
      <alignment horizontal="center" vertical="center"/>
    </xf>
    <xf numFmtId="166" fontId="18" fillId="8" borderId="7" xfId="0" applyNumberFormat="1" applyFont="1" applyFill="1" applyBorder="1" applyAlignment="1">
      <alignment horizontal="center" vertical="center"/>
    </xf>
    <xf numFmtId="166" fontId="18" fillId="8" borderId="8" xfId="0" applyNumberFormat="1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55" xfId="0" applyFont="1" applyFill="1" applyBorder="1" applyAlignment="1">
      <alignment horizontal="center"/>
    </xf>
    <xf numFmtId="0" fontId="44" fillId="8" borderId="3" xfId="0" applyFont="1" applyFill="1" applyBorder="1" applyAlignment="1">
      <alignment horizontal="center" vertical="center"/>
    </xf>
    <xf numFmtId="0" fontId="44" fillId="8" borderId="4" xfId="0" applyFont="1" applyFill="1" applyBorder="1" applyAlignment="1">
      <alignment horizontal="center" vertical="center"/>
    </xf>
    <xf numFmtId="0" fontId="44" fillId="8" borderId="52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BC8E7C5D-3D37-4428-86EB-68EC087238D8}"/>
    <cellStyle name="Pourcentage" xfId="3" builtinId="5"/>
    <cellStyle name="Pourcentage 2" xfId="2" xr:uid="{BE1C380C-C463-4AB5-B39D-403266AC51EA}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Feuil2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colors>
    <mruColors>
      <color rgb="FFC0E6F6"/>
      <color rgb="FF3DB1DF"/>
      <color rgb="FFFFFD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9525</xdr:rowOff>
    </xdr:from>
    <xdr:ext cx="1057275" cy="695325"/>
    <xdr:pic>
      <xdr:nvPicPr>
        <xdr:cNvPr id="17" name="image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67</xdr:row>
      <xdr:rowOff>0</xdr:rowOff>
    </xdr:from>
    <xdr:ext cx="276225" cy="0"/>
    <xdr:pic>
      <xdr:nvPicPr>
        <xdr:cNvPr id="18" name="image2.png" descr="Boîte avec un remplissage uni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590550</xdr:colOff>
      <xdr:row>108</xdr:row>
      <xdr:rowOff>0</xdr:rowOff>
    </xdr:from>
    <xdr:ext cx="276225" cy="0"/>
    <xdr:pic>
      <xdr:nvPicPr>
        <xdr:cNvPr id="13" name="image2.png" descr="Boîte avec un remplissage uni">
          <a:extLst>
            <a:ext uri="{FF2B5EF4-FFF2-40B4-BE49-F238E27FC236}">
              <a16:creationId xmlns:a16="http://schemas.microsoft.com/office/drawing/2014/main" id="{219ECED0-E838-7F40-A7A7-699406E1BD8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7650" y="14447520"/>
          <a:ext cx="276225" cy="0"/>
        </a:xfrm>
        <a:prstGeom prst="rect">
          <a:avLst/>
        </a:prstGeom>
        <a:noFill/>
      </xdr:spPr>
    </xdr:pic>
    <xdr:clientData fLocksWithSheet="0"/>
  </xdr:oneCellAnchor>
  <xdr:twoCellAnchor>
    <xdr:from>
      <xdr:col>26</xdr:col>
      <xdr:colOff>57271</xdr:colOff>
      <xdr:row>24</xdr:row>
      <xdr:rowOff>26764</xdr:rowOff>
    </xdr:from>
    <xdr:to>
      <xdr:col>27</xdr:col>
      <xdr:colOff>0</xdr:colOff>
      <xdr:row>25</xdr:row>
      <xdr:rowOff>11239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FBC7E80-ED35-617B-210E-B15E6074B881}"/>
            </a:ext>
          </a:extLst>
        </xdr:cNvPr>
        <xdr:cNvSpPr/>
      </xdr:nvSpPr>
      <xdr:spPr>
        <a:xfrm>
          <a:off x="5845324" y="4926941"/>
          <a:ext cx="167508" cy="164298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>
    <xdr:from>
      <xdr:col>9</xdr:col>
      <xdr:colOff>160020</xdr:colOff>
      <xdr:row>24</xdr:row>
      <xdr:rowOff>35561</xdr:rowOff>
    </xdr:from>
    <xdr:to>
      <xdr:col>10</xdr:col>
      <xdr:colOff>89912</xdr:colOff>
      <xdr:row>25</xdr:row>
      <xdr:rowOff>11239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0805536-7AF1-588D-E38D-313D0F1E32BB}"/>
            </a:ext>
          </a:extLst>
        </xdr:cNvPr>
        <xdr:cNvSpPr/>
      </xdr:nvSpPr>
      <xdr:spPr>
        <a:xfrm>
          <a:off x="2227985" y="4935738"/>
          <a:ext cx="154670" cy="155501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fr-FR"/>
        </a:p>
      </xdr:txBody>
    </xdr:sp>
    <xdr:clientData/>
  </xdr:twoCellAnchor>
  <xdr:twoCellAnchor editAs="oneCell">
    <xdr:from>
      <xdr:col>19</xdr:col>
      <xdr:colOff>56195</xdr:colOff>
      <xdr:row>28</xdr:row>
      <xdr:rowOff>16185</xdr:rowOff>
    </xdr:from>
    <xdr:to>
      <xdr:col>29</xdr:col>
      <xdr:colOff>67433</xdr:colOff>
      <xdr:row>52</xdr:row>
      <xdr:rowOff>4945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27278AF-3D85-F6EE-29E8-FF41DB2B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5930" y="5489548"/>
          <a:ext cx="2090442" cy="43607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gabri/Downloads/Fiche%20de%20Prod%20d&#233;mentiellement%20puissante(2).xlsx" TargetMode="External"/><Relationship Id="rId1" Type="http://schemas.openxmlformats.org/officeDocument/2006/relationships/externalLinkPath" Target="file:///C:/Users/gabri/Downloads/Fiche%20de%20Prod%20d&#233;mentiellement%20puissante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Fiche de production 7000 L"/>
    </sheetNames>
    <sheetDataSet>
      <sheetData sheetId="0"/>
      <sheetData sheetId="1">
        <row r="23">
          <cell r="Y23">
            <v>243.88</v>
          </cell>
        </row>
        <row r="24">
          <cell r="Y24">
            <v>111.5</v>
          </cell>
        </row>
        <row r="25">
          <cell r="Y25">
            <v>27.87</v>
          </cell>
        </row>
      </sheetData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12">
  <tableColumns count="2">
    <tableColumn id="1" xr3:uid="{00000000-0010-0000-0000-000001000000}" name="Produit 1"/>
    <tableColumn id="2" xr3:uid="{60E58EA5-4216-6A42-8588-3C42C11595EE}" name="DDM" dataDxfId="2"/>
  </tableColumns>
  <tableStyleInfo name="TableStyleLight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6"/>
  <sheetViews>
    <sheetView zoomScale="139" workbookViewId="0">
      <selection activeCell="D15" sqref="D15"/>
    </sheetView>
  </sheetViews>
  <sheetFormatPr baseColWidth="10" defaultColWidth="12.6640625" defaultRowHeight="15" customHeight="1"/>
  <cols>
    <col min="1" max="1" width="20.33203125" customWidth="1"/>
    <col min="2" max="3" width="10.6640625" customWidth="1"/>
    <col min="4" max="4" width="18.1640625" bestFit="1" customWidth="1"/>
    <col min="5" max="5" width="7.1640625" bestFit="1" customWidth="1"/>
    <col min="6" max="25" width="10.6640625" customWidth="1"/>
  </cols>
  <sheetData>
    <row r="1" spans="1:9" ht="14.25" customHeight="1">
      <c r="A1" t="s">
        <v>0</v>
      </c>
      <c r="B1" t="s">
        <v>38</v>
      </c>
      <c r="D1" t="s">
        <v>40</v>
      </c>
      <c r="E1" s="1" t="s">
        <v>11</v>
      </c>
      <c r="H1" t="s">
        <v>51</v>
      </c>
    </row>
    <row r="2" spans="1:9" ht="14.25" customHeight="1">
      <c r="A2" s="1" t="s">
        <v>1</v>
      </c>
      <c r="B2" s="1">
        <v>365</v>
      </c>
      <c r="D2" s="2" t="s">
        <v>1</v>
      </c>
      <c r="E2" s="1">
        <v>4.0000000000000001E-3</v>
      </c>
      <c r="I2" s="26">
        <v>7000</v>
      </c>
    </row>
    <row r="3" spans="1:9" ht="14.25" customHeight="1">
      <c r="A3" s="1" t="s">
        <v>2</v>
      </c>
      <c r="B3" s="1">
        <v>365</v>
      </c>
      <c r="D3" s="3" t="s">
        <v>2</v>
      </c>
      <c r="E3" s="1">
        <v>8.0000000000000002E-3</v>
      </c>
      <c r="I3" s="26">
        <v>5000</v>
      </c>
    </row>
    <row r="4" spans="1:9" ht="14.25" customHeight="1">
      <c r="A4" s="1" t="s">
        <v>3</v>
      </c>
      <c r="B4" s="1">
        <v>365</v>
      </c>
      <c r="D4" s="2" t="s">
        <v>3</v>
      </c>
      <c r="E4" s="1">
        <v>2.4E-2</v>
      </c>
      <c r="G4" s="26"/>
      <c r="H4" s="26"/>
      <c r="I4" s="26">
        <v>3669</v>
      </c>
    </row>
    <row r="5" spans="1:9" ht="14.25" customHeight="1">
      <c r="A5" s="1" t="s">
        <v>4</v>
      </c>
      <c r="B5" s="1">
        <v>365</v>
      </c>
      <c r="D5" s="3" t="s">
        <v>4</v>
      </c>
      <c r="E5" s="1">
        <f>0.08+0.0012+0.004</f>
        <v>8.5200000000000012E-2</v>
      </c>
    </row>
    <row r="6" spans="1:9" ht="14.25" customHeight="1">
      <c r="A6" s="1" t="s">
        <v>5</v>
      </c>
      <c r="B6" s="1">
        <v>365</v>
      </c>
      <c r="D6" s="2" t="s">
        <v>5</v>
      </c>
      <c r="E6" s="1">
        <v>3.4000000000000002E-2</v>
      </c>
    </row>
    <row r="7" spans="1:9" ht="14.25" customHeight="1">
      <c r="A7" s="1" t="s">
        <v>6</v>
      </c>
      <c r="B7" s="1">
        <v>365</v>
      </c>
      <c r="D7" s="3" t="s">
        <v>6</v>
      </c>
      <c r="E7" s="1">
        <v>0</v>
      </c>
    </row>
    <row r="8" spans="1:9" ht="14.25" customHeight="1">
      <c r="A8" s="1" t="s">
        <v>7</v>
      </c>
      <c r="B8" s="1">
        <v>365</v>
      </c>
      <c r="D8" s="2" t="s">
        <v>7</v>
      </c>
      <c r="E8" s="1">
        <v>0</v>
      </c>
    </row>
    <row r="9" spans="1:9" ht="14.25" customHeight="1">
      <c r="A9" s="1" t="s">
        <v>8</v>
      </c>
      <c r="B9" s="1">
        <v>365</v>
      </c>
      <c r="D9" s="3" t="s">
        <v>8</v>
      </c>
      <c r="E9" s="1">
        <v>0</v>
      </c>
    </row>
    <row r="10" spans="1:9" ht="14.25" customHeight="1">
      <c r="A10" s="3" t="s">
        <v>91</v>
      </c>
      <c r="B10" s="1">
        <v>365</v>
      </c>
      <c r="D10" s="3" t="s">
        <v>91</v>
      </c>
      <c r="E10" s="1">
        <v>0</v>
      </c>
    </row>
    <row r="11" spans="1:9" ht="14.25" customHeight="1">
      <c r="A11" s="1" t="s">
        <v>9</v>
      </c>
      <c r="B11" s="1">
        <v>365</v>
      </c>
      <c r="D11" s="2" t="s">
        <v>9</v>
      </c>
      <c r="E11" s="1">
        <v>5.0999999999999997E-2</v>
      </c>
    </row>
    <row r="12" spans="1:9" ht="14.25" customHeight="1">
      <c r="A12" s="1" t="s">
        <v>10</v>
      </c>
      <c r="B12" s="1">
        <v>365</v>
      </c>
    </row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64"/>
  <sheetViews>
    <sheetView tabSelected="1" view="pageLayout" topLeftCell="A93" zoomScale="113" zoomScaleNormal="167" zoomScaleSheetLayoutView="57" zoomScalePageLayoutView="113" workbookViewId="0">
      <selection activeCell="AA13" sqref="AA13"/>
    </sheetView>
  </sheetViews>
  <sheetFormatPr baseColWidth="10" defaultColWidth="12.6640625" defaultRowHeight="15" customHeight="1"/>
  <cols>
    <col min="1" max="1" width="3" customWidth="1"/>
    <col min="2" max="2" width="2.83203125" customWidth="1"/>
    <col min="3" max="7" width="3" customWidth="1"/>
    <col min="8" max="8" width="3.6640625" customWidth="1"/>
    <col min="9" max="14" width="3" customWidth="1"/>
    <col min="15" max="15" width="2.5" customWidth="1"/>
    <col min="16" max="21" width="3" customWidth="1"/>
    <col min="22" max="22" width="2.5" customWidth="1"/>
    <col min="23" max="24" width="2.83203125" customWidth="1"/>
    <col min="25" max="25" width="3" customWidth="1"/>
    <col min="26" max="26" width="2.83203125" customWidth="1"/>
    <col min="27" max="28" width="3" customWidth="1"/>
    <col min="29" max="29" width="1.6640625" customWidth="1"/>
  </cols>
  <sheetData>
    <row r="1" spans="1:33" ht="14.25" customHeight="1">
      <c r="A1" s="202" t="s">
        <v>112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4"/>
      <c r="Y1" s="190" t="s">
        <v>12</v>
      </c>
      <c r="Z1" s="191"/>
      <c r="AA1" s="191"/>
      <c r="AB1" s="191"/>
      <c r="AC1" s="192"/>
    </row>
    <row r="2" spans="1:33" ht="14.25" customHeight="1">
      <c r="A2" s="205"/>
      <c r="B2" s="206"/>
      <c r="C2" s="206"/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  <c r="X2" s="207"/>
      <c r="Y2" s="193" t="s">
        <v>100</v>
      </c>
      <c r="Z2" s="194"/>
      <c r="AA2" s="194"/>
      <c r="AB2" s="194"/>
      <c r="AC2" s="195"/>
    </row>
    <row r="3" spans="1:33" ht="14.25" customHeight="1">
      <c r="A3" s="205"/>
      <c r="B3" s="206"/>
      <c r="C3" s="206"/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  <c r="X3" s="207"/>
      <c r="Y3" s="196" t="s">
        <v>13</v>
      </c>
      <c r="Z3" s="197"/>
      <c r="AA3" s="197"/>
      <c r="AB3" s="197"/>
      <c r="AC3" s="198"/>
    </row>
    <row r="4" spans="1:33" ht="20" customHeight="1">
      <c r="A4" s="208"/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209"/>
      <c r="T4" s="209"/>
      <c r="U4" s="209"/>
      <c r="V4" s="209"/>
      <c r="W4" s="209"/>
      <c r="X4" s="210"/>
      <c r="Y4" s="199" t="s">
        <v>101</v>
      </c>
      <c r="Z4" s="200"/>
      <c r="AA4" s="200"/>
      <c r="AB4" s="200"/>
      <c r="AC4" s="201"/>
    </row>
    <row r="5" spans="1:33" ht="9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33" ht="19">
      <c r="A6" s="211" t="s">
        <v>99</v>
      </c>
      <c r="B6" s="212"/>
      <c r="C6" s="212"/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3"/>
      <c r="AE6" s="89"/>
    </row>
    <row r="7" spans="1:33" ht="9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</row>
    <row r="8" spans="1:33" ht="14.25" customHeight="1">
      <c r="A8" s="214" t="s">
        <v>102</v>
      </c>
      <c r="B8" s="215"/>
      <c r="C8" s="215"/>
      <c r="D8" s="215"/>
      <c r="E8" s="215"/>
      <c r="F8" s="215"/>
      <c r="G8" s="216"/>
      <c r="H8" s="217" t="s">
        <v>5</v>
      </c>
      <c r="I8" s="218"/>
      <c r="J8" s="218"/>
      <c r="K8" s="218"/>
      <c r="L8" s="218"/>
      <c r="M8" s="218"/>
      <c r="N8" s="218"/>
      <c r="O8" s="218"/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9"/>
    </row>
    <row r="9" spans="1:33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7"/>
      <c r="U9" s="8"/>
      <c r="V9" s="8"/>
      <c r="W9" s="8"/>
      <c r="X9" s="4"/>
      <c r="Y9" s="4"/>
      <c r="Z9" s="4"/>
      <c r="AA9" s="4"/>
      <c r="AB9" s="4"/>
      <c r="AC9" s="4"/>
    </row>
    <row r="10" spans="1:33" ht="14.25" customHeight="1">
      <c r="A10" s="159" t="s">
        <v>46</v>
      </c>
      <c r="B10" s="160"/>
      <c r="C10" s="160"/>
      <c r="D10" s="161">
        <f>_xlfn.XLOOKUP(H8,Data!A2:A12,Data!B2:B12)+A20</f>
        <v>46270</v>
      </c>
      <c r="E10" s="161"/>
      <c r="F10" s="161"/>
      <c r="G10" s="162"/>
      <c r="H10" s="6"/>
      <c r="I10" s="6"/>
      <c r="J10" s="6"/>
      <c r="K10" s="6"/>
      <c r="L10" s="6"/>
      <c r="M10" s="6"/>
      <c r="N10" s="4"/>
      <c r="O10" s="4"/>
      <c r="P10" s="4"/>
      <c r="Q10" s="4"/>
      <c r="R10" s="4"/>
      <c r="S10" s="4"/>
      <c r="T10" s="4"/>
      <c r="U10" s="8"/>
      <c r="V10" s="8"/>
      <c r="W10" s="222" t="s">
        <v>47</v>
      </c>
      <c r="X10" s="223"/>
      <c r="Y10" s="223"/>
      <c r="Z10" s="224">
        <f>_xlfn.XLOOKUP(H8,Data!A2:A12,Data!B2:B12)+A20</f>
        <v>46270</v>
      </c>
      <c r="AA10" s="224"/>
      <c r="AB10" s="224"/>
      <c r="AC10" s="225"/>
    </row>
    <row r="11" spans="1:33" ht="14.2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7"/>
      <c r="P11" s="7"/>
      <c r="Q11" s="7"/>
      <c r="R11" s="7"/>
      <c r="S11" s="7"/>
      <c r="T11" s="7"/>
      <c r="U11" s="7"/>
      <c r="V11" s="7"/>
      <c r="W11" s="7"/>
      <c r="X11" s="4"/>
      <c r="Y11" s="4"/>
      <c r="Z11" s="4"/>
      <c r="AA11" s="4"/>
      <c r="AB11" s="4"/>
      <c r="AC11" s="4"/>
      <c r="AD11" s="89"/>
      <c r="AE11" s="89"/>
    </row>
    <row r="12" spans="1:33" ht="14.25" customHeight="1">
      <c r="A12" s="128" t="str">
        <f ca="1">IF(OR(D10&lt;(TODAY()+355),D10&gt;(TODAY()+375)),"ATTENTION ERREUR DDM","DDM SEMBLE OK")</f>
        <v>ATTENTION ERREUR DDM</v>
      </c>
      <c r="B12" s="128"/>
      <c r="C12" s="128"/>
      <c r="D12" s="128"/>
      <c r="E12" s="97"/>
      <c r="F12" s="97"/>
      <c r="G12" s="97"/>
      <c r="H12" s="133" t="s">
        <v>84</v>
      </c>
      <c r="I12" s="133"/>
      <c r="J12" s="134"/>
      <c r="K12" s="304" t="s">
        <v>32</v>
      </c>
      <c r="L12" s="305"/>
      <c r="M12" s="305"/>
      <c r="N12" s="305"/>
      <c r="O12" s="305"/>
      <c r="P12" s="306"/>
      <c r="Q12" s="121" t="s">
        <v>33</v>
      </c>
      <c r="R12" s="121"/>
      <c r="S12" s="121"/>
      <c r="T12" s="121"/>
      <c r="U12" s="121"/>
      <c r="V12" s="120"/>
      <c r="W12" s="4"/>
      <c r="X12" s="4"/>
      <c r="Y12" s="4"/>
      <c r="Z12" s="4"/>
      <c r="AA12" s="4"/>
      <c r="AB12" s="4"/>
      <c r="AC12" s="4"/>
    </row>
    <row r="13" spans="1:33" ht="25" customHeight="1">
      <c r="A13" s="128"/>
      <c r="B13" s="128"/>
      <c r="C13" s="128"/>
      <c r="D13" s="128"/>
      <c r="E13" s="97"/>
      <c r="F13" s="97"/>
      <c r="G13" s="97"/>
      <c r="H13" s="135"/>
      <c r="I13" s="136"/>
      <c r="J13" s="137"/>
      <c r="K13" s="119" t="s">
        <v>116</v>
      </c>
      <c r="L13" s="120"/>
      <c r="M13" s="119" t="s">
        <v>88</v>
      </c>
      <c r="N13" s="120"/>
      <c r="O13" s="119" t="s">
        <v>98</v>
      </c>
      <c r="P13" s="138"/>
      <c r="Q13" s="169" t="s">
        <v>89</v>
      </c>
      <c r="R13" s="170"/>
      <c r="S13" s="171" t="s">
        <v>90</v>
      </c>
      <c r="T13" s="170"/>
      <c r="U13" s="172" t="s">
        <v>103</v>
      </c>
      <c r="V13" s="173"/>
      <c r="W13" s="4"/>
      <c r="X13" s="4"/>
      <c r="Y13" s="4"/>
      <c r="Z13" s="4"/>
      <c r="AA13" s="4"/>
      <c r="AB13" s="4"/>
      <c r="AC13" s="4"/>
    </row>
    <row r="14" spans="1:33" ht="14.25" customHeight="1">
      <c r="A14" s="128"/>
      <c r="B14" s="128"/>
      <c r="C14" s="128"/>
      <c r="D14" s="128"/>
      <c r="E14" s="97"/>
      <c r="F14" s="97"/>
      <c r="G14" s="97"/>
      <c r="H14" s="174" t="s">
        <v>20</v>
      </c>
      <c r="I14" s="175"/>
      <c r="J14" s="176"/>
      <c r="K14" s="119">
        <f>K15*12</f>
        <v>0</v>
      </c>
      <c r="L14" s="120"/>
      <c r="M14" s="177">
        <f>M15*12</f>
        <v>5460</v>
      </c>
      <c r="N14" s="178"/>
      <c r="O14" s="179">
        <f>O15*12</f>
        <v>0</v>
      </c>
      <c r="P14" s="180"/>
      <c r="Q14" s="179">
        <f>Q15*6</f>
        <v>1932</v>
      </c>
      <c r="R14" s="178"/>
      <c r="S14" s="179">
        <f>S15*4</f>
        <v>2068</v>
      </c>
      <c r="T14" s="178"/>
      <c r="U14" s="173">
        <f>U15*6</f>
        <v>0</v>
      </c>
      <c r="V14" s="173"/>
      <c r="W14" s="4"/>
      <c r="X14" s="4"/>
      <c r="Y14" s="4"/>
      <c r="Z14" s="4"/>
      <c r="AA14" s="4"/>
      <c r="AB14" s="4"/>
      <c r="AC14" s="4"/>
      <c r="AG14" s="77"/>
    </row>
    <row r="15" spans="1:33" ht="14.25" customHeight="1">
      <c r="A15" s="128"/>
      <c r="B15" s="128"/>
      <c r="C15" s="128"/>
      <c r="D15" s="128"/>
      <c r="E15" s="97"/>
      <c r="F15" s="97"/>
      <c r="G15" s="97"/>
      <c r="H15" s="174" t="s">
        <v>22</v>
      </c>
      <c r="I15" s="175"/>
      <c r="J15" s="176"/>
      <c r="K15" s="117">
        <v>0</v>
      </c>
      <c r="L15" s="118"/>
      <c r="M15" s="117">
        <v>455</v>
      </c>
      <c r="N15" s="118"/>
      <c r="O15" s="117">
        <v>0</v>
      </c>
      <c r="P15" s="181"/>
      <c r="Q15" s="182">
        <v>322</v>
      </c>
      <c r="R15" s="118"/>
      <c r="S15" s="117">
        <v>517</v>
      </c>
      <c r="T15" s="118"/>
      <c r="U15" s="229">
        <v>0</v>
      </c>
      <c r="V15" s="229"/>
      <c r="W15" s="4"/>
      <c r="X15" s="4"/>
      <c r="Y15" s="4"/>
      <c r="Z15" s="4"/>
      <c r="AA15" s="4"/>
      <c r="AB15" s="4"/>
      <c r="AC15" s="4"/>
    </row>
    <row r="16" spans="1:33" ht="14.25" customHeight="1">
      <c r="A16" s="128"/>
      <c r="B16" s="128"/>
      <c r="C16" s="128"/>
      <c r="D16" s="128"/>
      <c r="E16" s="97"/>
      <c r="F16" s="97"/>
      <c r="G16" s="97"/>
      <c r="H16" s="174" t="s">
        <v>52</v>
      </c>
      <c r="I16" s="175"/>
      <c r="J16" s="176"/>
      <c r="K16" s="114">
        <f>(M14+O14+K14)*0.33+(Q14+S14+U14)*0.75</f>
        <v>4801.8</v>
      </c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6"/>
      <c r="W16" s="4"/>
      <c r="X16" s="4"/>
      <c r="Y16" s="4"/>
      <c r="Z16" s="4"/>
      <c r="AA16" s="4"/>
      <c r="AB16" s="4"/>
      <c r="AC16" s="4"/>
      <c r="AG16" s="77"/>
    </row>
    <row r="17" spans="1:33" ht="14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  <c r="T17" s="7"/>
      <c r="U17" s="8"/>
      <c r="V17" s="8"/>
      <c r="W17" s="8"/>
      <c r="X17" s="4"/>
      <c r="Y17" s="4"/>
      <c r="Z17" s="4"/>
      <c r="AA17" s="4"/>
      <c r="AB17" s="4"/>
      <c r="AC17" s="4"/>
      <c r="AG17" s="26"/>
    </row>
    <row r="18" spans="1:33" ht="19">
      <c r="A18" s="163" t="s">
        <v>14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5"/>
    </row>
    <row r="19" spans="1:33" s="9" customFormat="1" ht="25" customHeight="1">
      <c r="A19" s="166" t="s">
        <v>24</v>
      </c>
      <c r="B19" s="167"/>
      <c r="C19" s="168"/>
      <c r="D19" s="144" t="s">
        <v>25</v>
      </c>
      <c r="E19" s="145"/>
      <c r="F19" s="153" t="s">
        <v>15</v>
      </c>
      <c r="G19" s="154"/>
      <c r="H19" s="154" t="s">
        <v>26</v>
      </c>
      <c r="I19" s="154"/>
      <c r="J19" s="220" t="s">
        <v>16</v>
      </c>
      <c r="K19" s="220"/>
      <c r="L19" s="220"/>
      <c r="M19" s="183"/>
      <c r="N19" s="155" t="s">
        <v>53</v>
      </c>
      <c r="O19" s="155"/>
      <c r="P19" s="221" t="s">
        <v>17</v>
      </c>
      <c r="Q19" s="221"/>
      <c r="R19" s="221"/>
      <c r="S19" s="221"/>
      <c r="T19" s="221"/>
      <c r="U19" s="221"/>
      <c r="V19" s="221"/>
      <c r="W19" s="221"/>
      <c r="X19" s="221"/>
      <c r="Y19" s="139" t="s">
        <v>27</v>
      </c>
      <c r="Z19" s="139"/>
      <c r="AA19" s="139" t="s">
        <v>28</v>
      </c>
      <c r="AB19" s="139"/>
      <c r="AC19" s="139"/>
      <c r="AF19" s="87"/>
    </row>
    <row r="20" spans="1:33" ht="20" customHeight="1">
      <c r="A20" s="226">
        <v>45905</v>
      </c>
      <c r="B20" s="227"/>
      <c r="C20" s="228"/>
      <c r="D20" s="183"/>
      <c r="E20" s="184"/>
      <c r="F20" s="185"/>
      <c r="G20" s="185"/>
      <c r="H20" s="185"/>
      <c r="I20" s="185"/>
      <c r="J20" s="157"/>
      <c r="K20" s="157"/>
      <c r="L20" s="157"/>
      <c r="M20" s="158"/>
      <c r="N20" s="142" t="s">
        <v>54</v>
      </c>
      <c r="O20" s="143"/>
      <c r="P20" s="151"/>
      <c r="Q20" s="152"/>
      <c r="R20" s="152"/>
      <c r="S20" s="152"/>
      <c r="T20" s="152"/>
      <c r="U20" s="152"/>
      <c r="V20" s="152"/>
      <c r="W20" s="152"/>
      <c r="X20" s="152"/>
      <c r="Y20" s="141"/>
      <c r="Z20" s="141"/>
      <c r="AA20" s="140" t="b">
        <v>0</v>
      </c>
      <c r="AB20" s="140"/>
      <c r="AC20" s="140"/>
    </row>
    <row r="21" spans="1:33" ht="20" customHeight="1">
      <c r="A21" s="146"/>
      <c r="B21" s="146"/>
      <c r="C21" s="147"/>
      <c r="D21" s="186"/>
      <c r="E21" s="187"/>
      <c r="F21" s="150"/>
      <c r="G21" s="150"/>
      <c r="H21" s="150"/>
      <c r="I21" s="150"/>
      <c r="J21" s="157"/>
      <c r="K21" s="157"/>
      <c r="L21" s="157"/>
      <c r="M21" s="158"/>
      <c r="N21" s="142" t="s">
        <v>54</v>
      </c>
      <c r="O21" s="143"/>
      <c r="P21" s="151"/>
      <c r="Q21" s="152"/>
      <c r="R21" s="152"/>
      <c r="S21" s="152"/>
      <c r="T21" s="152"/>
      <c r="U21" s="152"/>
      <c r="V21" s="152"/>
      <c r="W21" s="152"/>
      <c r="X21" s="152"/>
      <c r="Y21" s="141"/>
      <c r="Z21" s="141"/>
      <c r="AA21" s="140" t="b">
        <v>0</v>
      </c>
      <c r="AB21" s="140"/>
      <c r="AC21" s="140"/>
    </row>
    <row r="22" spans="1:33" ht="20" customHeight="1">
      <c r="A22" s="148"/>
      <c r="B22" s="148"/>
      <c r="C22" s="149"/>
      <c r="D22" s="188"/>
      <c r="E22" s="189"/>
      <c r="F22" s="150"/>
      <c r="G22" s="150"/>
      <c r="H22" s="150"/>
      <c r="I22" s="150"/>
      <c r="J22" s="157"/>
      <c r="K22" s="157"/>
      <c r="L22" s="157"/>
      <c r="M22" s="158"/>
      <c r="N22" s="142" t="s">
        <v>54</v>
      </c>
      <c r="O22" s="143"/>
      <c r="P22" s="151"/>
      <c r="Q22" s="152"/>
      <c r="R22" s="152"/>
      <c r="S22" s="152"/>
      <c r="T22" s="152"/>
      <c r="U22" s="152"/>
      <c r="V22" s="152"/>
      <c r="W22" s="152"/>
      <c r="X22" s="152"/>
      <c r="Y22" s="141"/>
      <c r="Z22" s="141"/>
      <c r="AA22" s="140" t="b">
        <v>0</v>
      </c>
      <c r="AB22" s="140"/>
      <c r="AC22" s="140"/>
      <c r="AG22" s="88"/>
    </row>
    <row r="23" spans="1:33" ht="20" customHeight="1">
      <c r="A23" s="148"/>
      <c r="B23" s="148"/>
      <c r="C23" s="149"/>
      <c r="D23" s="232"/>
      <c r="E23" s="233"/>
      <c r="F23" s="150"/>
      <c r="G23" s="150"/>
      <c r="H23" s="150"/>
      <c r="I23" s="150"/>
      <c r="J23" s="254"/>
      <c r="K23" s="254"/>
      <c r="L23" s="254"/>
      <c r="M23" s="255"/>
      <c r="N23" s="266" t="s">
        <v>54</v>
      </c>
      <c r="O23" s="267"/>
      <c r="P23" s="156"/>
      <c r="Q23" s="152"/>
      <c r="R23" s="152"/>
      <c r="S23" s="152"/>
      <c r="T23" s="152"/>
      <c r="U23" s="152"/>
      <c r="V23" s="152"/>
      <c r="W23" s="152"/>
      <c r="X23" s="152"/>
      <c r="Y23" s="141"/>
      <c r="Z23" s="141"/>
      <c r="AA23" s="140" t="b">
        <v>0</v>
      </c>
      <c r="AB23" s="140"/>
      <c r="AC23" s="140"/>
    </row>
    <row r="24" spans="1:33" ht="10" customHeight="1">
      <c r="A24" s="31"/>
      <c r="B24" s="31"/>
      <c r="C24" s="31"/>
      <c r="D24" s="32"/>
      <c r="E24" s="258"/>
      <c r="F24" s="258"/>
      <c r="G24" s="258"/>
      <c r="H24" s="258"/>
      <c r="I24" s="32"/>
      <c r="J24" s="35"/>
      <c r="K24" s="35"/>
      <c r="L24" s="35"/>
      <c r="M24" s="35"/>
      <c r="N24" s="35"/>
      <c r="O24" s="35"/>
      <c r="P24" s="36"/>
      <c r="Q24" s="33"/>
      <c r="R24" s="33"/>
      <c r="S24" s="33"/>
      <c r="T24" s="33"/>
      <c r="U24" s="33"/>
      <c r="V24" s="33"/>
      <c r="W24" s="33"/>
      <c r="X24" s="33"/>
      <c r="Y24" s="31"/>
      <c r="Z24" s="31"/>
      <c r="AA24" s="37"/>
      <c r="AB24" s="37"/>
      <c r="AC24" s="37"/>
    </row>
    <row r="25" spans="1:33" ht="14.25" customHeight="1">
      <c r="A25" s="34" t="s">
        <v>104</v>
      </c>
      <c r="B25" s="10"/>
      <c r="C25" s="10"/>
      <c r="D25" s="10"/>
      <c r="E25" s="29"/>
      <c r="F25" s="10"/>
      <c r="G25" s="10"/>
      <c r="H25" s="10"/>
      <c r="I25" s="10"/>
      <c r="J25" s="10"/>
      <c r="K25" s="10"/>
      <c r="L25" s="10"/>
      <c r="M25" s="10"/>
      <c r="N25" s="10"/>
      <c r="O25" s="4"/>
      <c r="P25" s="4"/>
      <c r="Q25" s="4"/>
      <c r="R25" s="4"/>
      <c r="S25" s="4"/>
      <c r="T25" s="4"/>
      <c r="V25" s="105" t="s">
        <v>105</v>
      </c>
      <c r="W25" s="10"/>
      <c r="X25" s="10"/>
      <c r="Y25" s="10"/>
      <c r="Z25" s="10"/>
      <c r="AA25" s="10"/>
      <c r="AB25" s="10"/>
      <c r="AC25" s="10"/>
    </row>
    <row r="26" spans="1:33" ht="7" customHeight="1">
      <c r="A26" s="34"/>
      <c r="B26" s="10"/>
      <c r="C26" s="10"/>
      <c r="D26" s="10"/>
      <c r="E26" s="2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4"/>
      <c r="Y26" s="4"/>
      <c r="Z26" s="4"/>
      <c r="AA26" s="4"/>
      <c r="AB26" s="4"/>
      <c r="AC26" s="4"/>
    </row>
    <row r="27" spans="1:33" ht="15" customHeight="1">
      <c r="A27" s="4"/>
      <c r="B27" s="4"/>
      <c r="C27" s="4"/>
      <c r="D27" s="4"/>
      <c r="E27" s="4"/>
      <c r="F27" s="4"/>
      <c r="G27" s="4"/>
      <c r="H27" s="4"/>
      <c r="I27" s="17"/>
      <c r="J27" s="17"/>
      <c r="K27" s="17"/>
      <c r="L27" s="17"/>
      <c r="M27" s="17"/>
      <c r="N27" s="17"/>
      <c r="O27" s="17"/>
      <c r="P27" s="18"/>
      <c r="Q27" s="11"/>
      <c r="R27" s="11"/>
      <c r="S27" s="11"/>
      <c r="T27" s="11"/>
      <c r="U27" s="11"/>
      <c r="V27" s="11"/>
      <c r="W27" s="4"/>
      <c r="X27" s="4"/>
      <c r="Y27" s="4"/>
      <c r="Z27" s="4"/>
      <c r="AA27" s="4"/>
      <c r="AB27" s="4"/>
      <c r="AC27" s="4"/>
    </row>
    <row r="28" spans="1:33" ht="15" customHeight="1">
      <c r="A28" s="17" t="s">
        <v>34</v>
      </c>
      <c r="B28" s="17"/>
      <c r="C28" s="17"/>
      <c r="D28" s="17"/>
      <c r="E28" s="17"/>
      <c r="F28" s="17"/>
      <c r="G28" s="17"/>
      <c r="H28" s="17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30"/>
      <c r="V28" s="11"/>
      <c r="W28" s="12"/>
      <c r="X28" s="4"/>
      <c r="Y28" s="4"/>
      <c r="Z28" s="4"/>
      <c r="AA28" s="4"/>
      <c r="AB28" s="4"/>
      <c r="AC28" s="4"/>
    </row>
    <row r="29" spans="1:33" ht="15" customHeight="1">
      <c r="A29" s="40" t="s">
        <v>71</v>
      </c>
      <c r="B29" s="41"/>
      <c r="C29" s="41"/>
      <c r="D29" s="41"/>
      <c r="E29" s="41"/>
      <c r="F29" s="41"/>
      <c r="G29" s="234">
        <f>IF(ISNUMBER( SEARCH("K.",$H$8)),Recette!D24,Recette!D15)</f>
        <v>182.06300000000002</v>
      </c>
      <c r="H29" s="234"/>
      <c r="I29" s="235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4"/>
      <c r="V29" s="4"/>
      <c r="W29" s="4"/>
      <c r="X29" s="4"/>
      <c r="Y29" s="4"/>
      <c r="Z29" s="4"/>
      <c r="AA29" s="4"/>
      <c r="AB29" s="4"/>
      <c r="AC29" s="4"/>
    </row>
    <row r="30" spans="1:33" ht="15" customHeight="1">
      <c r="A30" s="38" t="s">
        <v>72</v>
      </c>
      <c r="B30" s="39"/>
      <c r="C30" s="39"/>
      <c r="D30" s="39"/>
      <c r="E30" s="39"/>
      <c r="F30" s="39"/>
      <c r="G30" s="236">
        <f>IF(ISNUMBER( SEARCH("K.",$H$8)),Recette!D25,Recette!D16)</f>
        <v>83.228800000000007</v>
      </c>
      <c r="H30" s="236"/>
      <c r="I30" s="237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4"/>
      <c r="V30" s="4"/>
      <c r="W30" s="4"/>
      <c r="X30" s="4"/>
      <c r="Y30" s="4"/>
      <c r="Z30" s="4"/>
      <c r="AA30" s="4"/>
      <c r="AB30" s="4"/>
      <c r="AC30" s="4"/>
    </row>
    <row r="31" spans="1:33" ht="15" customHeight="1">
      <c r="A31" s="38" t="s">
        <v>73</v>
      </c>
      <c r="B31" s="39"/>
      <c r="C31" s="39"/>
      <c r="D31" s="39"/>
      <c r="E31" s="39"/>
      <c r="F31" s="39"/>
      <c r="G31" s="236">
        <f>IF(ISNUMBER( SEARCH("K.",$H$8)),Recette!D26,Recette!D17)</f>
        <v>20.807200000000002</v>
      </c>
      <c r="H31" s="236"/>
      <c r="I31" s="237"/>
      <c r="J31" s="113" t="s">
        <v>113</v>
      </c>
      <c r="K31" s="112" t="s">
        <v>114</v>
      </c>
      <c r="L31" s="113"/>
      <c r="N31" s="4"/>
      <c r="O31" s="11"/>
      <c r="P31" s="11"/>
      <c r="R31" s="11"/>
      <c r="S31" s="11"/>
      <c r="T31" s="11"/>
      <c r="U31" s="4"/>
      <c r="V31" s="4"/>
      <c r="W31" s="4"/>
      <c r="X31" s="253"/>
      <c r="Y31" s="253"/>
      <c r="Z31" s="4"/>
      <c r="AA31" s="4"/>
      <c r="AB31" s="4"/>
      <c r="AC31" s="4"/>
    </row>
    <row r="32" spans="1:33" ht="15" customHeight="1">
      <c r="A32" s="38" t="s">
        <v>79</v>
      </c>
      <c r="B32" s="39"/>
      <c r="C32" s="39"/>
      <c r="D32" s="39"/>
      <c r="E32" s="39"/>
      <c r="F32" s="39"/>
      <c r="G32" s="236">
        <f>IF(ISNUMBER( SEARCH("K.",$H$8)),Recette!D27,Recette!D18)</f>
        <v>31.210800000000003</v>
      </c>
      <c r="H32" s="236"/>
      <c r="I32" s="237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4"/>
      <c r="V32" s="4"/>
      <c r="W32" s="4"/>
      <c r="X32" s="4"/>
      <c r="Y32" s="4"/>
      <c r="Z32" s="4"/>
      <c r="AA32" s="4"/>
      <c r="AB32" s="4"/>
      <c r="AC32" s="4"/>
      <c r="AE32" s="26"/>
    </row>
    <row r="33" spans="1:34" ht="15" customHeight="1">
      <c r="A33" s="38" t="s">
        <v>78</v>
      </c>
      <c r="B33" s="39"/>
      <c r="C33" s="39"/>
      <c r="D33" s="39"/>
      <c r="E33" s="39"/>
      <c r="F33" s="39"/>
      <c r="G33" s="236">
        <f>Recette!F10</f>
        <v>704.89599999999996</v>
      </c>
      <c r="H33" s="236"/>
      <c r="I33" s="237"/>
      <c r="J33" s="15"/>
      <c r="K33" s="15"/>
      <c r="L33" s="15"/>
      <c r="M33" s="15"/>
      <c r="N33" s="15"/>
      <c r="O33" s="15"/>
      <c r="P33" s="11"/>
      <c r="Q33" s="11"/>
      <c r="R33" s="11"/>
      <c r="S33" s="11"/>
      <c r="T33" s="11"/>
      <c r="U33" s="4"/>
      <c r="V33" s="4"/>
      <c r="W33" s="4"/>
      <c r="X33" s="4"/>
      <c r="Y33" s="4"/>
      <c r="Z33" s="4"/>
      <c r="AA33" s="4"/>
      <c r="AB33" s="4"/>
      <c r="AC33" s="4"/>
    </row>
    <row r="34" spans="1:34" ht="14.25" customHeight="1">
      <c r="A34" s="52" t="s">
        <v>75</v>
      </c>
      <c r="B34" s="53"/>
      <c r="C34" s="53"/>
      <c r="D34" s="53"/>
      <c r="E34" s="53"/>
      <c r="F34" s="53"/>
      <c r="G34" s="238">
        <f>Recette!I4</f>
        <v>25.487306691165212</v>
      </c>
      <c r="H34" s="238"/>
      <c r="I34" s="239"/>
      <c r="J34" s="17"/>
      <c r="K34" s="17"/>
      <c r="L34" s="17"/>
      <c r="M34" s="17"/>
      <c r="N34" s="17"/>
      <c r="O34" s="17"/>
      <c r="P34" s="16"/>
      <c r="Q34" s="11"/>
      <c r="R34" s="11"/>
      <c r="S34" s="11"/>
      <c r="T34" s="11"/>
      <c r="U34" s="4"/>
      <c r="V34" s="4"/>
      <c r="W34" s="4"/>
      <c r="X34" s="4"/>
      <c r="Y34" s="4"/>
      <c r="Z34" s="4"/>
      <c r="AA34" s="4"/>
      <c r="AB34" s="4"/>
      <c r="AC34" s="4"/>
    </row>
    <row r="35" spans="1:34" ht="14.25" customHeight="1">
      <c r="A35" s="30"/>
      <c r="B35" s="15"/>
      <c r="C35" s="15"/>
      <c r="D35" s="15"/>
      <c r="E35" s="15"/>
      <c r="F35" s="15"/>
      <c r="G35" s="15"/>
      <c r="H35" s="15"/>
      <c r="I35" s="11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1"/>
      <c r="V35" s="11"/>
      <c r="W35" s="12"/>
      <c r="X35" s="4"/>
      <c r="Y35" s="4"/>
      <c r="Z35" s="4"/>
      <c r="AA35" s="4"/>
      <c r="AB35" s="4"/>
      <c r="AC35" s="4"/>
      <c r="AG35" s="84"/>
    </row>
    <row r="36" spans="1:34" ht="14.25" customHeight="1">
      <c r="A36" s="40" t="s">
        <v>29</v>
      </c>
      <c r="B36" s="41"/>
      <c r="C36" s="41"/>
      <c r="D36" s="41"/>
      <c r="E36" s="41"/>
      <c r="F36" s="41"/>
      <c r="G36" s="256">
        <f>K16 + 400</f>
        <v>5201.8</v>
      </c>
      <c r="H36" s="257"/>
      <c r="I36" s="11"/>
      <c r="J36" s="30"/>
      <c r="K36" s="30"/>
      <c r="L36" s="30"/>
      <c r="M36" s="30"/>
      <c r="N36" s="10"/>
      <c r="O36" s="10"/>
      <c r="P36" s="10"/>
      <c r="Q36" s="10"/>
      <c r="R36" s="10"/>
      <c r="S36" s="10"/>
      <c r="T36" s="4"/>
      <c r="U36" s="10"/>
      <c r="V36" s="10"/>
      <c r="W36" s="10"/>
      <c r="X36" s="4"/>
      <c r="Y36" s="4"/>
      <c r="Z36" s="4"/>
      <c r="AA36" s="4"/>
      <c r="AB36" s="4"/>
      <c r="AC36" s="4"/>
      <c r="AF36" s="79"/>
    </row>
    <row r="37" spans="1:34" ht="14.25" customHeight="1">
      <c r="A37" s="38" t="s">
        <v>30</v>
      </c>
      <c r="B37" s="39"/>
      <c r="C37" s="39"/>
      <c r="D37" s="39"/>
      <c r="E37" s="39"/>
      <c r="F37" s="39"/>
      <c r="G37" s="260">
        <v>260</v>
      </c>
      <c r="H37" s="261"/>
      <c r="I37" s="94" t="s">
        <v>113</v>
      </c>
      <c r="J37" s="112" t="s">
        <v>115</v>
      </c>
      <c r="K37" s="112"/>
      <c r="L37" s="112"/>
      <c r="M37" s="30"/>
      <c r="N37" s="10"/>
      <c r="O37" s="10"/>
      <c r="P37" s="10"/>
      <c r="Q37" s="10"/>
      <c r="R37" s="10"/>
      <c r="S37" s="10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34" ht="14.25" customHeight="1">
      <c r="A38" s="38" t="s">
        <v>48</v>
      </c>
      <c r="B38" s="39"/>
      <c r="C38" s="39"/>
      <c r="D38" s="39"/>
      <c r="E38" s="39"/>
      <c r="F38" s="39"/>
      <c r="G38" s="262" t="s">
        <v>49</v>
      </c>
      <c r="H38" s="263"/>
      <c r="I38" s="11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4"/>
      <c r="V38" s="4"/>
      <c r="W38" s="4"/>
      <c r="X38" s="4"/>
      <c r="Y38" s="4"/>
      <c r="Z38" s="4"/>
      <c r="AA38" s="4"/>
      <c r="AB38" s="4"/>
      <c r="AC38" s="4"/>
      <c r="AD38" s="26"/>
      <c r="AE38" s="26"/>
    </row>
    <row r="39" spans="1:34" ht="14.25" customHeight="1">
      <c r="A39" s="95" t="s">
        <v>50</v>
      </c>
      <c r="B39" s="96"/>
      <c r="C39" s="96"/>
      <c r="D39" s="96"/>
      <c r="E39" s="96"/>
      <c r="F39" s="96"/>
      <c r="G39" s="264" t="s">
        <v>92</v>
      </c>
      <c r="H39" s="265"/>
      <c r="I39" s="15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4"/>
      <c r="Y39" s="4"/>
      <c r="Z39" s="4"/>
      <c r="AA39" s="4"/>
      <c r="AB39" s="4"/>
      <c r="AC39" s="4"/>
      <c r="AD39" s="26"/>
      <c r="AE39" s="78"/>
    </row>
    <row r="40" spans="1:34" ht="14.25" customHeight="1">
      <c r="A40" s="10"/>
      <c r="B40" s="10"/>
      <c r="C40" s="10"/>
      <c r="D40" s="10"/>
      <c r="E40" s="10"/>
      <c r="F40" s="10"/>
      <c r="G40" s="10"/>
      <c r="H40" s="10"/>
      <c r="I40" s="10"/>
      <c r="J40" s="11"/>
      <c r="K40" s="11"/>
      <c r="L40" s="11"/>
      <c r="M40" s="11"/>
      <c r="N40" s="11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E40" s="77"/>
      <c r="AF40" s="81"/>
      <c r="AG40" s="77"/>
    </row>
    <row r="41" spans="1:34" ht="14.2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54"/>
      <c r="N41" s="11"/>
      <c r="O41" s="10"/>
      <c r="P41" s="10"/>
      <c r="Q41" s="11"/>
      <c r="R41" s="11"/>
      <c r="S41" s="10"/>
      <c r="T41" s="10"/>
      <c r="U41" s="131"/>
      <c r="V41" s="131"/>
      <c r="W41" s="131"/>
      <c r="X41" s="129"/>
      <c r="Y41" s="129"/>
      <c r="Z41" s="129"/>
      <c r="AA41" s="129"/>
      <c r="AB41" s="129"/>
      <c r="AC41" s="129"/>
      <c r="AG41" s="86"/>
    </row>
    <row r="42" spans="1:34" ht="14.25" customHeight="1">
      <c r="A42" s="17" t="s">
        <v>35</v>
      </c>
      <c r="B42" s="11"/>
      <c r="C42" s="11"/>
      <c r="D42" s="11"/>
      <c r="E42" s="11"/>
      <c r="F42" s="11"/>
      <c r="G42" s="11"/>
      <c r="H42" s="11"/>
      <c r="I42" s="11"/>
      <c r="J42" s="54"/>
      <c r="K42" s="54"/>
      <c r="L42" s="54"/>
      <c r="M42" s="27"/>
      <c r="N42" s="11"/>
      <c r="O42" s="10"/>
      <c r="P42" s="10"/>
      <c r="Q42" s="10"/>
      <c r="R42" s="10"/>
      <c r="S42" s="10"/>
      <c r="T42" s="10"/>
      <c r="U42" s="131"/>
      <c r="V42" s="131"/>
      <c r="W42" s="131"/>
      <c r="X42" s="132"/>
      <c r="Y42" s="132"/>
      <c r="Z42" s="132"/>
      <c r="AA42" s="132"/>
      <c r="AB42" s="132"/>
      <c r="AC42" s="132"/>
      <c r="AD42" s="26"/>
      <c r="AE42" s="82"/>
      <c r="AF42" s="82"/>
      <c r="AG42" s="26"/>
    </row>
    <row r="43" spans="1:34" ht="14.25" customHeight="1">
      <c r="A43" s="251" t="str">
        <f>A8</f>
        <v>Produit  :</v>
      </c>
      <c r="B43" s="252"/>
      <c r="C43" s="252"/>
      <c r="D43" s="230" t="str">
        <f>H8</f>
        <v>K. Mangue - Passion</v>
      </c>
      <c r="E43" s="230"/>
      <c r="F43" s="230"/>
      <c r="G43" s="230"/>
      <c r="H43" s="230"/>
      <c r="I43" s="231"/>
      <c r="J43" s="27"/>
      <c r="K43" s="27"/>
      <c r="L43" s="27"/>
      <c r="M43" s="27"/>
      <c r="N43" s="11"/>
      <c r="O43" s="10"/>
      <c r="P43" s="10"/>
      <c r="Q43" s="10"/>
      <c r="R43" s="10"/>
      <c r="S43" s="10"/>
      <c r="T43" s="10"/>
      <c r="U43" s="131"/>
      <c r="V43" s="131"/>
      <c r="W43" s="131"/>
      <c r="X43" s="132"/>
      <c r="Y43" s="132"/>
      <c r="Z43" s="132"/>
      <c r="AA43" s="132"/>
      <c r="AB43" s="132"/>
      <c r="AC43" s="132"/>
      <c r="AD43" s="26"/>
      <c r="AE43" s="82"/>
      <c r="AF43" s="83"/>
      <c r="AG43" s="26"/>
    </row>
    <row r="44" spans="1:34" ht="14.25" customHeight="1">
      <c r="A44" s="240" t="s">
        <v>18</v>
      </c>
      <c r="B44" s="241"/>
      <c r="C44" s="241"/>
      <c r="D44" s="241"/>
      <c r="E44" s="241"/>
      <c r="F44" s="241"/>
      <c r="G44" s="241"/>
      <c r="H44" s="132">
        <f>IF(ISNUMBER( SEARCH("EP",H8)), 0, (G36-200)*60%)</f>
        <v>3001.08</v>
      </c>
      <c r="I44" s="272"/>
      <c r="J44" s="27"/>
      <c r="K44" s="27"/>
      <c r="L44" s="27"/>
      <c r="M44" s="28"/>
      <c r="N44" s="11"/>
      <c r="O44" s="10"/>
      <c r="P44" s="10"/>
      <c r="Q44" s="10"/>
      <c r="R44" s="10"/>
      <c r="S44" s="10"/>
      <c r="T44" s="10"/>
      <c r="U44" s="131"/>
      <c r="V44" s="131"/>
      <c r="W44" s="131"/>
      <c r="X44" s="250"/>
      <c r="Y44" s="250"/>
      <c r="Z44" s="250"/>
      <c r="AA44" s="250"/>
      <c r="AB44" s="250"/>
      <c r="AC44" s="250"/>
      <c r="AD44" s="26"/>
      <c r="AE44" s="26"/>
      <c r="AF44" s="80"/>
      <c r="AH44" s="26"/>
    </row>
    <row r="45" spans="1:34" ht="14.25" customHeight="1">
      <c r="A45" s="240" t="s">
        <v>85</v>
      </c>
      <c r="B45" s="241"/>
      <c r="C45" s="241"/>
      <c r="D45" s="241"/>
      <c r="E45" s="241"/>
      <c r="F45" s="241"/>
      <c r="G45" s="100"/>
      <c r="H45" s="132">
        <f>(K16+400)*_xlfn.XLOOKUP(H8,Data!D:D,Data!E:E)+H44</f>
        <v>3177.9411999999998</v>
      </c>
      <c r="I45" s="272"/>
      <c r="J45" s="28"/>
      <c r="K45" s="28"/>
      <c r="L45" s="28"/>
      <c r="M45" s="11"/>
      <c r="N45" s="11"/>
      <c r="O45" s="10"/>
      <c r="P45" s="10"/>
      <c r="Q45" s="14"/>
      <c r="R45" s="14"/>
      <c r="S45" s="10"/>
      <c r="T45" s="10"/>
      <c r="U45" s="10"/>
      <c r="V45" s="8"/>
      <c r="W45" s="11"/>
      <c r="X45" s="10"/>
      <c r="Y45" s="10"/>
      <c r="Z45" s="10"/>
      <c r="AA45" s="10"/>
      <c r="AB45" s="10"/>
      <c r="AC45" s="10"/>
      <c r="AD45" s="26"/>
    </row>
    <row r="46" spans="1:34" ht="14.25" customHeight="1">
      <c r="A46" s="242" t="s">
        <v>19</v>
      </c>
      <c r="B46" s="243"/>
      <c r="C46" s="243"/>
      <c r="D46" s="243"/>
      <c r="E46" s="243"/>
      <c r="F46" s="243"/>
      <c r="G46" s="101"/>
      <c r="H46" s="273">
        <f>'CUVE 1 et 2 Mesure'!G6</f>
        <v>163.39705999999998</v>
      </c>
      <c r="I46" s="274"/>
      <c r="J46" s="11"/>
      <c r="K46" s="11"/>
      <c r="L46" s="11"/>
      <c r="M46" s="11"/>
      <c r="N46" s="11"/>
      <c r="O46" s="10"/>
      <c r="P46" s="10"/>
      <c r="Q46" s="10"/>
      <c r="R46" s="10"/>
      <c r="S46" s="10"/>
      <c r="T46" s="10"/>
      <c r="U46" s="10"/>
      <c r="V46" s="10"/>
      <c r="W46" s="11"/>
      <c r="X46" s="109"/>
      <c r="Y46" s="109"/>
      <c r="Z46" s="4"/>
      <c r="AA46" s="10"/>
      <c r="AB46" s="10"/>
      <c r="AC46" s="10"/>
      <c r="AE46" s="26"/>
      <c r="AF46" s="84"/>
    </row>
    <row r="47" spans="1:34" ht="14.25" customHeight="1">
      <c r="A47" s="4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4"/>
      <c r="N47" s="4"/>
      <c r="O47" s="17"/>
      <c r="P47" s="12"/>
      <c r="Q47" s="12"/>
      <c r="R47" s="12"/>
      <c r="S47" s="10"/>
      <c r="T47" s="10"/>
      <c r="U47" s="10"/>
      <c r="V47" s="4"/>
      <c r="W47" s="4"/>
      <c r="X47" s="10"/>
      <c r="Y47" s="10"/>
      <c r="Z47" s="10"/>
      <c r="AA47" s="10"/>
      <c r="AB47" s="10"/>
      <c r="AC47" s="10"/>
      <c r="AF47" s="26"/>
    </row>
    <row r="48" spans="1:34" ht="14.25" customHeight="1">
      <c r="A48" s="99" t="s">
        <v>36</v>
      </c>
      <c r="B48" s="99"/>
      <c r="C48" s="99"/>
      <c r="D48" s="99"/>
      <c r="E48" s="99"/>
      <c r="F48" s="98"/>
      <c r="G48" s="98"/>
      <c r="H48" s="11"/>
      <c r="I48" s="11"/>
      <c r="J48" s="11"/>
      <c r="K48" s="11"/>
      <c r="L48" s="11"/>
      <c r="M48" s="11"/>
      <c r="N48" s="11"/>
      <c r="O48" s="13"/>
      <c r="P48" s="13"/>
      <c r="Q48" s="13"/>
      <c r="R48" s="13"/>
      <c r="S48" s="11"/>
      <c r="T48" s="11"/>
      <c r="U48" s="11"/>
      <c r="V48" s="11"/>
      <c r="W48" s="13"/>
      <c r="X48" s="10"/>
      <c r="Y48" s="10"/>
      <c r="Z48" s="10"/>
      <c r="AA48" s="130"/>
      <c r="AB48" s="130"/>
      <c r="AC48" s="10"/>
    </row>
    <row r="49" spans="1:34" ht="14.25" customHeight="1">
      <c r="A49" s="251" t="str">
        <f>A43</f>
        <v>Produit  :</v>
      </c>
      <c r="B49" s="252"/>
      <c r="C49" s="252"/>
      <c r="D49" s="230" t="str">
        <f>D43</f>
        <v>K. Mangue - Passion</v>
      </c>
      <c r="E49" s="230"/>
      <c r="F49" s="230"/>
      <c r="G49" s="230"/>
      <c r="H49" s="230"/>
      <c r="I49" s="231"/>
      <c r="J49" s="54"/>
      <c r="K49" s="54"/>
      <c r="L49" s="54"/>
      <c r="M49" s="54"/>
      <c r="N49" s="10"/>
      <c r="O49" s="10"/>
      <c r="P49" s="10"/>
      <c r="Q49" s="10"/>
      <c r="R49" s="10"/>
      <c r="S49" s="10"/>
      <c r="T49" s="10"/>
      <c r="U49" s="131"/>
      <c r="V49" s="131"/>
      <c r="W49" s="131"/>
      <c r="X49" s="129"/>
      <c r="Y49" s="129"/>
      <c r="Z49" s="129"/>
      <c r="AA49" s="129"/>
      <c r="AB49" s="129"/>
      <c r="AC49" s="129"/>
      <c r="AE49" s="80"/>
    </row>
    <row r="50" spans="1:34" ht="14.25" customHeight="1">
      <c r="A50" s="269" t="s">
        <v>31</v>
      </c>
      <c r="B50" s="131"/>
      <c r="C50" s="131"/>
      <c r="D50" s="131"/>
      <c r="E50" s="102"/>
      <c r="F50" s="102"/>
      <c r="G50" s="102"/>
      <c r="H50" s="132">
        <f>K16+200+(H45-H44)</f>
        <v>5178.6612000000005</v>
      </c>
      <c r="I50" s="272"/>
      <c r="J50" s="27"/>
      <c r="K50" s="27"/>
      <c r="L50" s="27"/>
      <c r="M50" s="27"/>
      <c r="N50" s="10"/>
      <c r="O50" s="259"/>
      <c r="P50" s="259"/>
      <c r="Q50" s="259"/>
      <c r="R50" s="259"/>
      <c r="S50" s="10"/>
      <c r="T50" s="10"/>
      <c r="U50" s="131"/>
      <c r="V50" s="131"/>
      <c r="W50" s="131"/>
      <c r="X50" s="132"/>
      <c r="Y50" s="132"/>
      <c r="Z50" s="132"/>
      <c r="AA50" s="132"/>
      <c r="AB50" s="132"/>
      <c r="AC50" s="132"/>
      <c r="AE50" s="78"/>
      <c r="AF50" s="78"/>
      <c r="AG50" s="26"/>
      <c r="AH50" s="26"/>
    </row>
    <row r="51" spans="1:34" ht="14.25" customHeight="1">
      <c r="A51" s="270" t="s">
        <v>19</v>
      </c>
      <c r="B51" s="271"/>
      <c r="C51" s="271"/>
      <c r="D51" s="271"/>
      <c r="E51" s="103"/>
      <c r="F51" s="103"/>
      <c r="G51" s="103"/>
      <c r="H51" s="273">
        <f>'CUVE 1 et 2 Mesure'!G14</f>
        <v>267.61297800000006</v>
      </c>
      <c r="I51" s="274"/>
      <c r="J51" s="28"/>
      <c r="K51" s="28"/>
      <c r="L51" s="28"/>
      <c r="M51" s="28"/>
      <c r="N51" s="10"/>
      <c r="O51" s="10"/>
      <c r="P51" s="10"/>
      <c r="Q51" s="10"/>
      <c r="R51" s="10"/>
      <c r="S51" s="10"/>
      <c r="T51" s="10"/>
      <c r="U51" s="131"/>
      <c r="V51" s="131"/>
      <c r="W51" s="131"/>
      <c r="X51" s="250"/>
      <c r="Y51" s="250"/>
      <c r="Z51" s="250"/>
      <c r="AA51" s="250"/>
      <c r="AB51" s="250"/>
      <c r="AC51" s="250"/>
      <c r="AE51" s="26"/>
      <c r="AF51" s="26"/>
    </row>
    <row r="52" spans="1:34" ht="14.2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F52" s="26"/>
    </row>
    <row r="53" spans="1:34" ht="14.25" customHeight="1">
      <c r="A53" s="22" t="s">
        <v>43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4"/>
      <c r="Y53" s="4"/>
      <c r="Z53" s="4"/>
      <c r="AA53" s="4"/>
      <c r="AB53" s="4"/>
      <c r="AC53" s="4"/>
      <c r="AE53" s="85"/>
    </row>
    <row r="54" spans="1:34" ht="14.25" customHeight="1">
      <c r="A54" s="2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4"/>
      <c r="Y54" s="4"/>
      <c r="Z54" s="4"/>
      <c r="AA54" s="4"/>
      <c r="AB54" s="4"/>
      <c r="AC54" s="4"/>
      <c r="AE54" s="85"/>
    </row>
    <row r="55" spans="1:34" ht="14.2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244" t="s">
        <v>39</v>
      </c>
      <c r="R55" s="244"/>
      <c r="S55" s="244"/>
      <c r="T55" s="244"/>
      <c r="U55" s="244"/>
      <c r="V55" s="244"/>
      <c r="W55" s="244"/>
      <c r="X55" s="244"/>
      <c r="Y55" s="268">
        <f>A20</f>
        <v>45905</v>
      </c>
      <c r="Z55" s="268"/>
      <c r="AA55" s="268"/>
      <c r="AB55" s="268"/>
      <c r="AC55" s="268"/>
    </row>
    <row r="56" spans="1:34" ht="14.2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4"/>
      <c r="Y56" s="4"/>
      <c r="Z56" s="4"/>
      <c r="AA56" s="4"/>
      <c r="AB56" s="4"/>
      <c r="AC56" s="4"/>
    </row>
    <row r="57" spans="1:34" ht="19">
      <c r="A57" s="245" t="s">
        <v>41</v>
      </c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  <c r="AA57" s="246"/>
      <c r="AB57" s="246"/>
      <c r="AC57" s="247"/>
    </row>
    <row r="58" spans="1:34" ht="10" customHeight="1">
      <c r="A58" s="25" t="s">
        <v>45</v>
      </c>
      <c r="B58" s="23"/>
      <c r="C58" s="23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1"/>
      <c r="Q58" s="21"/>
      <c r="R58" s="21"/>
      <c r="S58" s="23"/>
      <c r="T58" s="23"/>
      <c r="U58" s="23"/>
      <c r="V58" s="24"/>
      <c r="W58" s="24"/>
      <c r="X58" s="24"/>
      <c r="Y58" s="24"/>
      <c r="Z58" s="24"/>
      <c r="AA58" s="24"/>
      <c r="AB58" s="24"/>
      <c r="AC58" s="24"/>
    </row>
    <row r="59" spans="1:34" ht="18" customHeight="1">
      <c r="A59" s="4"/>
      <c r="B59" s="23"/>
      <c r="C59" s="23"/>
      <c r="D59" s="24"/>
      <c r="E59" s="24"/>
      <c r="F59" s="24"/>
      <c r="G59" s="24"/>
      <c r="I59" s="24"/>
      <c r="J59" s="24"/>
      <c r="K59" s="24"/>
      <c r="L59" s="24"/>
      <c r="M59" s="24"/>
      <c r="N59" s="24"/>
      <c r="O59" s="24"/>
      <c r="P59" s="21"/>
      <c r="Q59" s="21"/>
      <c r="R59" s="21"/>
      <c r="S59" s="23"/>
      <c r="T59" s="23"/>
      <c r="U59" s="23"/>
      <c r="V59" s="24"/>
      <c r="W59" s="24"/>
      <c r="X59" s="24"/>
      <c r="Y59" s="24"/>
      <c r="Z59" s="24"/>
      <c r="AA59" s="24"/>
      <c r="AB59" s="24"/>
      <c r="AC59" s="107"/>
    </row>
    <row r="60" spans="1:34" ht="18" customHeight="1">
      <c r="A60" s="4"/>
      <c r="B60" s="4"/>
      <c r="C60" s="4"/>
      <c r="D60" s="4"/>
      <c r="E60" s="4"/>
      <c r="F60" s="4"/>
      <c r="G60" s="4"/>
      <c r="H60" s="248" t="s">
        <v>102</v>
      </c>
      <c r="I60" s="249"/>
      <c r="J60" s="249"/>
      <c r="K60" s="110"/>
      <c r="L60" s="110"/>
      <c r="M60" s="218" t="str">
        <f>H8</f>
        <v>K. Mangue - Passion</v>
      </c>
      <c r="N60" s="218"/>
      <c r="O60" s="218"/>
      <c r="P60" s="218"/>
      <c r="Q60" s="218"/>
      <c r="R60" s="218"/>
      <c r="S60" s="218"/>
      <c r="T60" s="218"/>
      <c r="U60" s="218"/>
      <c r="V60" s="219"/>
      <c r="W60" s="107"/>
      <c r="X60" s="107"/>
      <c r="Y60" s="107"/>
      <c r="Z60" s="107"/>
      <c r="AA60" s="107"/>
      <c r="AB60" s="107"/>
      <c r="AC60" s="107"/>
    </row>
    <row r="61" spans="1:34" ht="7" customHeight="1">
      <c r="A61" s="25"/>
      <c r="B61" s="23"/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1"/>
      <c r="Q61" s="21"/>
      <c r="R61" s="21"/>
      <c r="S61" s="23"/>
      <c r="T61" s="23"/>
      <c r="U61" s="23"/>
      <c r="V61" s="24"/>
      <c r="W61" s="24"/>
      <c r="X61" s="24"/>
      <c r="Y61" s="24"/>
      <c r="Z61" s="24"/>
      <c r="AA61" s="24"/>
      <c r="AB61" s="24"/>
      <c r="AC61" s="24"/>
    </row>
    <row r="62" spans="1:34" ht="18" customHeight="1">
      <c r="A62" s="97"/>
      <c r="B62" s="97"/>
      <c r="C62" s="97"/>
      <c r="D62" s="97"/>
      <c r="E62" s="97"/>
      <c r="F62" s="97"/>
      <c r="G62" s="97"/>
      <c r="H62" s="133" t="s">
        <v>84</v>
      </c>
      <c r="I62" s="133"/>
      <c r="J62" s="134"/>
      <c r="K62" s="119" t="s">
        <v>32</v>
      </c>
      <c r="L62" s="121"/>
      <c r="M62" s="121"/>
      <c r="N62" s="121"/>
      <c r="O62" s="121"/>
      <c r="P62" s="138"/>
      <c r="Q62" s="121" t="s">
        <v>33</v>
      </c>
      <c r="R62" s="121"/>
      <c r="S62" s="121"/>
      <c r="T62" s="121"/>
      <c r="U62" s="121"/>
      <c r="V62" s="120"/>
      <c r="W62" s="97"/>
      <c r="X62" s="97"/>
      <c r="Y62" s="97"/>
      <c r="Z62" s="97"/>
      <c r="AA62" s="97"/>
      <c r="AB62" s="97"/>
      <c r="AC62" s="97"/>
      <c r="AF62" s="26"/>
    </row>
    <row r="63" spans="1:34" ht="27" customHeight="1">
      <c r="A63" s="97"/>
      <c r="B63" s="97"/>
      <c r="C63" s="97"/>
      <c r="D63" s="97"/>
      <c r="E63" s="97"/>
      <c r="F63" s="97"/>
      <c r="G63" s="97"/>
      <c r="H63" s="135"/>
      <c r="I63" s="136"/>
      <c r="J63" s="137"/>
      <c r="K63" s="119" t="s">
        <v>116</v>
      </c>
      <c r="L63" s="120"/>
      <c r="M63" s="119" t="s">
        <v>88</v>
      </c>
      <c r="N63" s="120"/>
      <c r="O63" s="119" t="s">
        <v>98</v>
      </c>
      <c r="P63" s="138"/>
      <c r="Q63" s="169" t="s">
        <v>89</v>
      </c>
      <c r="R63" s="170"/>
      <c r="S63" s="171" t="s">
        <v>90</v>
      </c>
      <c r="T63" s="170"/>
      <c r="U63" s="172" t="s">
        <v>103</v>
      </c>
      <c r="V63" s="173"/>
      <c r="W63" s="97"/>
      <c r="X63" s="97"/>
      <c r="Y63" s="97"/>
      <c r="Z63" s="97"/>
      <c r="AA63" s="97"/>
      <c r="AB63" s="97"/>
      <c r="AC63" s="97"/>
    </row>
    <row r="64" spans="1:34" ht="18" customHeight="1">
      <c r="A64" s="97"/>
      <c r="B64" s="97"/>
      <c r="C64" s="97"/>
      <c r="D64" s="97"/>
      <c r="E64" s="97"/>
      <c r="F64" s="97"/>
      <c r="G64" s="97"/>
      <c r="H64" s="174" t="s">
        <v>20</v>
      </c>
      <c r="I64" s="175"/>
      <c r="J64" s="176"/>
      <c r="K64" s="119">
        <f>ROUNDDOWN(((K14*0.33/$K$16)*($H$50-400-$K$16)/0.33)+K14,0)</f>
        <v>0</v>
      </c>
      <c r="L64" s="120"/>
      <c r="M64" s="177">
        <f>ROUNDDOWN(((M14*0.33/$K$16)*($H$50-400-$K$16)/0.33)+M14,0)</f>
        <v>5433</v>
      </c>
      <c r="N64" s="178"/>
      <c r="O64" s="177">
        <f>ROUNDDOWN(((O14*0.33/$K$16)*($H$50-400-$K$16)/0.33)+O14,0)</f>
        <v>0</v>
      </c>
      <c r="P64" s="180"/>
      <c r="Q64" s="177">
        <f>ROUNDDOWN(((Q14*0.75/$K$16)*($H$50-400-$K$16)/0.75)+Q14,0)</f>
        <v>1922</v>
      </c>
      <c r="R64" s="178"/>
      <c r="S64" s="177">
        <f>ROUNDDOWN(((S14*0.75/$K$16)*($H$50-400-$K$16)/0.75)+S14,0)</f>
        <v>2058</v>
      </c>
      <c r="T64" s="178"/>
      <c r="U64" s="177">
        <f>ROUNDDOWN(((U14*0.75/$K$16)*($H$50-400-$K$16)/0.75)+U14,0)</f>
        <v>0</v>
      </c>
      <c r="V64" s="178"/>
      <c r="W64" s="97"/>
      <c r="X64" s="97"/>
      <c r="Y64" s="97"/>
      <c r="Z64" s="97"/>
      <c r="AA64" s="97"/>
      <c r="AB64" s="97"/>
      <c r="AC64" s="97"/>
      <c r="AF64" s="81"/>
    </row>
    <row r="65" spans="1:33" ht="18" customHeight="1">
      <c r="A65" s="97"/>
      <c r="B65" s="97"/>
      <c r="C65" s="97"/>
      <c r="D65" s="97"/>
      <c r="E65" s="97"/>
      <c r="F65" s="97"/>
      <c r="G65" s="97"/>
      <c r="H65" s="174" t="s">
        <v>22</v>
      </c>
      <c r="I65" s="175"/>
      <c r="J65" s="176"/>
      <c r="K65" s="119">
        <f>ROUNDDOWN(K64/12,0)</f>
        <v>0</v>
      </c>
      <c r="L65" s="120"/>
      <c r="M65" s="119">
        <f>ROUNDDOWN(M64/12,0)</f>
        <v>452</v>
      </c>
      <c r="N65" s="120"/>
      <c r="O65" s="119">
        <f>ROUNDDOWN(O64/12,0)</f>
        <v>0</v>
      </c>
      <c r="P65" s="138"/>
      <c r="Q65" s="121">
        <f>ROUNDDOWN(Q64/6,0)</f>
        <v>320</v>
      </c>
      <c r="R65" s="120"/>
      <c r="S65" s="121">
        <f>ROUNDDOWN(S64/4,0)</f>
        <v>514</v>
      </c>
      <c r="T65" s="120"/>
      <c r="U65" s="121">
        <f t="shared" ref="U65" si="0">ROUNDDOWN(U64/6,0)</f>
        <v>0</v>
      </c>
      <c r="V65" s="120"/>
      <c r="W65" s="97"/>
      <c r="X65" s="97"/>
      <c r="Y65" s="97"/>
      <c r="Z65" s="97"/>
      <c r="AA65" s="97"/>
      <c r="AB65" s="97"/>
      <c r="AC65" s="97"/>
      <c r="AF65" s="81"/>
    </row>
    <row r="66" spans="1:33" ht="15" customHeight="1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91"/>
      <c r="R66" s="91"/>
      <c r="S66" s="92"/>
      <c r="T66" s="92"/>
      <c r="U66" s="92"/>
      <c r="V66" s="90"/>
      <c r="W66" s="90"/>
      <c r="X66" s="90"/>
      <c r="Y66" s="90"/>
      <c r="Z66" s="90"/>
      <c r="AA66" s="90"/>
      <c r="AB66" s="90"/>
      <c r="AC66" s="90"/>
    </row>
    <row r="67" spans="1:33" ht="19">
      <c r="A67" s="245" t="s">
        <v>42</v>
      </c>
      <c r="B67" s="246"/>
      <c r="C67" s="246"/>
      <c r="D67" s="246"/>
      <c r="E67" s="246"/>
      <c r="F67" s="246"/>
      <c r="G67" s="246"/>
      <c r="H67" s="246"/>
      <c r="I67" s="246"/>
      <c r="J67" s="246"/>
      <c r="K67" s="246"/>
      <c r="L67" s="246"/>
      <c r="M67" s="246"/>
      <c r="N67" s="246"/>
      <c r="O67" s="246"/>
      <c r="P67" s="246"/>
      <c r="Q67" s="246"/>
      <c r="R67" s="246"/>
      <c r="S67" s="246"/>
      <c r="T67" s="246"/>
      <c r="U67" s="246"/>
      <c r="V67" s="246"/>
      <c r="W67" s="246"/>
      <c r="X67" s="246"/>
      <c r="Y67" s="246"/>
      <c r="Z67" s="246"/>
      <c r="AA67" s="246"/>
      <c r="AB67" s="246"/>
      <c r="AC67" s="247"/>
    </row>
    <row r="68" spans="1:33" ht="14.2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33" ht="14.2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33" ht="14.25" customHeight="1">
      <c r="A70" s="104"/>
      <c r="B70" s="104"/>
      <c r="C70" s="104"/>
      <c r="D70" s="104"/>
      <c r="E70" s="104"/>
      <c r="F70" s="104"/>
      <c r="G70" s="104"/>
      <c r="H70" s="287" t="str">
        <f>H60</f>
        <v>Produit  :</v>
      </c>
      <c r="I70" s="288"/>
      <c r="J70" s="288"/>
      <c r="K70" s="111"/>
      <c r="L70" s="111"/>
      <c r="M70" s="300" t="str">
        <f>M60</f>
        <v>K. Mangue - Passion</v>
      </c>
      <c r="N70" s="300"/>
      <c r="O70" s="300"/>
      <c r="P70" s="300"/>
      <c r="Q70" s="300"/>
      <c r="R70" s="300"/>
      <c r="S70" s="300"/>
      <c r="T70" s="300"/>
      <c r="U70" s="300"/>
      <c r="V70" s="301"/>
      <c r="W70" s="104"/>
      <c r="X70" s="104"/>
      <c r="Y70" s="104"/>
      <c r="Z70" s="7"/>
      <c r="AA70" s="7"/>
      <c r="AB70" s="7"/>
      <c r="AC70" s="7"/>
      <c r="AD70" s="7"/>
      <c r="AE70" s="7"/>
      <c r="AF70" s="7"/>
      <c r="AG70" s="7"/>
    </row>
    <row r="71" spans="1:33" ht="14.25" customHeight="1">
      <c r="A71" s="104"/>
      <c r="B71" s="104"/>
      <c r="C71" s="104"/>
      <c r="D71" s="104"/>
      <c r="E71" s="104"/>
      <c r="F71" s="104"/>
      <c r="G71" s="104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04"/>
      <c r="V71" s="104"/>
      <c r="W71" s="104"/>
      <c r="X71" s="104"/>
      <c r="Y71" s="104"/>
      <c r="Z71" s="7"/>
      <c r="AA71" s="7"/>
      <c r="AB71" s="7"/>
      <c r="AC71" s="7"/>
      <c r="AD71" s="7"/>
      <c r="AE71" s="7"/>
      <c r="AF71" s="7"/>
      <c r="AG71" s="7"/>
    </row>
    <row r="72" spans="1:33" ht="16" customHeight="1">
      <c r="A72" s="104"/>
      <c r="B72" s="104"/>
      <c r="C72" s="104"/>
      <c r="D72" s="104"/>
      <c r="E72" s="104"/>
      <c r="F72" s="104"/>
      <c r="G72" s="104"/>
      <c r="H72" s="19"/>
      <c r="I72" s="19"/>
      <c r="J72" s="19"/>
      <c r="K72" s="127" t="s">
        <v>32</v>
      </c>
      <c r="L72" s="127"/>
      <c r="M72" s="127"/>
      <c r="N72" s="127"/>
      <c r="O72" s="127"/>
      <c r="P72" s="303"/>
      <c r="Q72" s="295" t="s">
        <v>33</v>
      </c>
      <c r="R72" s="295"/>
      <c r="S72" s="295"/>
      <c r="T72" s="295"/>
      <c r="U72" s="295"/>
      <c r="V72" s="296"/>
      <c r="W72" s="104"/>
      <c r="X72" s="104"/>
      <c r="Y72" s="104"/>
      <c r="Z72" s="7"/>
      <c r="AA72" s="7"/>
      <c r="AB72" s="7"/>
      <c r="AC72" s="7"/>
      <c r="AD72" s="7"/>
      <c r="AE72" s="7"/>
      <c r="AF72" s="7"/>
      <c r="AG72" s="7"/>
    </row>
    <row r="73" spans="1:33" ht="26" customHeight="1">
      <c r="A73" s="104"/>
      <c r="B73" s="104"/>
      <c r="C73" s="104"/>
      <c r="D73" s="104"/>
      <c r="E73" s="104"/>
      <c r="F73" s="104"/>
      <c r="G73" s="104"/>
      <c r="H73" s="135"/>
      <c r="I73" s="136"/>
      <c r="J73" s="137"/>
      <c r="K73" s="119" t="s">
        <v>116</v>
      </c>
      <c r="L73" s="120"/>
      <c r="M73" s="119" t="s">
        <v>88</v>
      </c>
      <c r="N73" s="120"/>
      <c r="O73" s="119" t="str">
        <f>O63</f>
        <v>NIKO</v>
      </c>
      <c r="P73" s="138"/>
      <c r="Q73" s="121" t="s">
        <v>89</v>
      </c>
      <c r="R73" s="120"/>
      <c r="S73" s="119" t="s">
        <v>90</v>
      </c>
      <c r="T73" s="120"/>
      <c r="U73" s="302" t="s">
        <v>103</v>
      </c>
      <c r="V73" s="120"/>
      <c r="W73" s="104"/>
      <c r="X73" s="104"/>
      <c r="Y73" s="104"/>
      <c r="Z73" s="7"/>
      <c r="AA73" s="7"/>
      <c r="AB73" s="7"/>
      <c r="AC73" s="7"/>
      <c r="AD73" s="7"/>
      <c r="AE73" s="7"/>
      <c r="AF73" s="7"/>
      <c r="AG73" s="7"/>
    </row>
    <row r="74" spans="1:33" ht="23" customHeight="1">
      <c r="A74" s="104"/>
      <c r="B74" s="104"/>
      <c r="C74" s="104"/>
      <c r="D74" s="104"/>
      <c r="E74" s="104"/>
      <c r="F74" s="104"/>
      <c r="G74" s="104"/>
      <c r="H74" s="289" t="s">
        <v>22</v>
      </c>
      <c r="I74" s="290"/>
      <c r="J74" s="291"/>
      <c r="K74" s="125" t="s">
        <v>37</v>
      </c>
      <c r="L74" s="126"/>
      <c r="M74" s="125" t="s">
        <v>37</v>
      </c>
      <c r="N74" s="126"/>
      <c r="O74" s="125" t="s">
        <v>37</v>
      </c>
      <c r="P74" s="278"/>
      <c r="Q74" s="126" t="s">
        <v>37</v>
      </c>
      <c r="R74" s="126"/>
      <c r="S74" s="125" t="s">
        <v>37</v>
      </c>
      <c r="T74" s="292"/>
      <c r="U74" s="125" t="s">
        <v>37</v>
      </c>
      <c r="V74" s="292"/>
      <c r="W74" s="104"/>
      <c r="X74" s="104"/>
      <c r="Y74" s="104"/>
      <c r="Z74" s="7"/>
      <c r="AA74" s="7"/>
      <c r="AB74" s="7"/>
      <c r="AC74" s="7"/>
      <c r="AD74" s="7"/>
      <c r="AE74" s="7"/>
      <c r="AF74" s="7"/>
      <c r="AG74" s="7"/>
    </row>
    <row r="75" spans="1:33" ht="23" customHeight="1">
      <c r="A75" s="104"/>
      <c r="B75" s="104"/>
      <c r="C75" s="104"/>
      <c r="D75" s="104"/>
      <c r="E75" s="104"/>
      <c r="F75" s="104"/>
      <c r="G75" s="104"/>
      <c r="H75" s="275" t="s">
        <v>44</v>
      </c>
      <c r="I75" s="276"/>
      <c r="J75" s="277"/>
      <c r="K75" s="125" t="s">
        <v>37</v>
      </c>
      <c r="L75" s="126"/>
      <c r="M75" s="125" t="s">
        <v>37</v>
      </c>
      <c r="N75" s="126"/>
      <c r="O75" s="125" t="s">
        <v>37</v>
      </c>
      <c r="P75" s="278"/>
      <c r="Q75" s="126" t="s">
        <v>37</v>
      </c>
      <c r="R75" s="126"/>
      <c r="S75" s="279" t="s">
        <v>37</v>
      </c>
      <c r="T75" s="280"/>
      <c r="U75" s="125" t="s">
        <v>37</v>
      </c>
      <c r="V75" s="292"/>
      <c r="W75" s="104"/>
      <c r="X75" s="104"/>
      <c r="Y75" s="104"/>
      <c r="Z75" s="7"/>
      <c r="AA75" s="7"/>
      <c r="AB75" s="7"/>
      <c r="AC75" s="7"/>
      <c r="AD75" s="7"/>
      <c r="AE75" s="7"/>
      <c r="AF75" s="7"/>
      <c r="AG75" s="7"/>
    </row>
    <row r="76" spans="1:33" ht="23" customHeight="1">
      <c r="A76" s="104"/>
      <c r="B76" s="104"/>
      <c r="C76" s="104"/>
      <c r="D76" s="104"/>
      <c r="E76" s="104"/>
      <c r="F76" s="104"/>
      <c r="G76" s="104"/>
      <c r="H76" s="281" t="s">
        <v>38</v>
      </c>
      <c r="I76" s="282"/>
      <c r="J76" s="282"/>
      <c r="K76" s="122">
        <f>D10</f>
        <v>46270</v>
      </c>
      <c r="L76" s="123"/>
      <c r="M76" s="123"/>
      <c r="N76" s="123"/>
      <c r="O76" s="123"/>
      <c r="P76" s="124"/>
      <c r="Q76" s="297">
        <f>K76</f>
        <v>46270</v>
      </c>
      <c r="R76" s="298"/>
      <c r="S76" s="298"/>
      <c r="T76" s="298"/>
      <c r="U76" s="298"/>
      <c r="V76" s="299"/>
      <c r="W76" s="104"/>
      <c r="X76" s="104"/>
      <c r="Y76" s="104"/>
      <c r="Z76" s="7"/>
      <c r="AA76" s="7"/>
      <c r="AB76" s="7"/>
      <c r="AC76" s="7"/>
      <c r="AD76" s="7"/>
      <c r="AE76" s="7"/>
      <c r="AF76" s="7"/>
      <c r="AG76" s="7"/>
    </row>
    <row r="77" spans="1:33" ht="23" customHeight="1">
      <c r="A77" s="104"/>
      <c r="B77" s="104"/>
      <c r="C77" s="104"/>
      <c r="D77" s="104"/>
      <c r="E77" s="104"/>
      <c r="F77" s="104"/>
      <c r="G77" s="104"/>
      <c r="H77" s="93" t="s">
        <v>87</v>
      </c>
      <c r="I77" s="93"/>
      <c r="J77" s="93"/>
      <c r="K77" s="93"/>
      <c r="L77" s="93"/>
      <c r="M77" s="42"/>
      <c r="N77" s="42"/>
      <c r="O77" s="42"/>
      <c r="P77" s="42"/>
      <c r="Q77" s="42"/>
      <c r="R77" s="42"/>
      <c r="S77" s="42"/>
      <c r="T77" s="42"/>
      <c r="U77" s="104"/>
      <c r="V77" s="104"/>
      <c r="W77" s="104"/>
      <c r="X77" s="104"/>
      <c r="Y77" s="104"/>
      <c r="Z77" s="7"/>
      <c r="AA77" s="7"/>
      <c r="AB77" s="7"/>
      <c r="AC77" s="7"/>
      <c r="AD77" s="7"/>
      <c r="AE77" s="7"/>
      <c r="AF77" s="7"/>
      <c r="AG77" s="7"/>
    </row>
    <row r="78" spans="1:33" ht="23" customHeight="1">
      <c r="A78" s="104"/>
      <c r="B78" s="104"/>
      <c r="C78" s="104"/>
      <c r="D78" s="104"/>
      <c r="E78" s="104"/>
      <c r="F78" s="104"/>
      <c r="G78" s="104"/>
      <c r="H78" s="283" t="s">
        <v>86</v>
      </c>
      <c r="I78" s="283"/>
      <c r="J78" s="283"/>
      <c r="K78" s="125" t="s">
        <v>37</v>
      </c>
      <c r="L78" s="126"/>
      <c r="M78" s="284" t="s">
        <v>57</v>
      </c>
      <c r="N78" s="285"/>
      <c r="O78" s="284" t="s">
        <v>57</v>
      </c>
      <c r="P78" s="286"/>
      <c r="Q78" s="293" t="s">
        <v>57</v>
      </c>
      <c r="R78" s="285"/>
      <c r="S78" s="284" t="s">
        <v>57</v>
      </c>
      <c r="T78" s="285"/>
      <c r="U78" s="284" t="s">
        <v>57</v>
      </c>
      <c r="V78" s="285"/>
      <c r="W78" s="104"/>
      <c r="X78" s="104"/>
      <c r="Y78" s="104"/>
      <c r="Z78" s="7"/>
      <c r="AA78" s="7"/>
      <c r="AB78" s="7"/>
      <c r="AC78" s="7"/>
      <c r="AD78" s="7"/>
      <c r="AE78" s="7"/>
      <c r="AF78" s="7"/>
      <c r="AG78" s="7"/>
    </row>
    <row r="79" spans="1:33" ht="23" customHeight="1">
      <c r="A79" s="104"/>
      <c r="B79" s="104"/>
      <c r="C79" s="104"/>
      <c r="D79" s="104"/>
      <c r="E79" s="104"/>
      <c r="F79" s="104"/>
      <c r="G79" s="104"/>
      <c r="H79" s="283" t="s">
        <v>55</v>
      </c>
      <c r="I79" s="283"/>
      <c r="J79" s="283"/>
      <c r="K79" s="125" t="s">
        <v>37</v>
      </c>
      <c r="L79" s="126"/>
      <c r="M79" s="284" t="s">
        <v>57</v>
      </c>
      <c r="N79" s="285"/>
      <c r="O79" s="284" t="s">
        <v>57</v>
      </c>
      <c r="P79" s="286"/>
      <c r="Q79" s="293" t="s">
        <v>57</v>
      </c>
      <c r="R79" s="285"/>
      <c r="S79" s="284" t="s">
        <v>57</v>
      </c>
      <c r="T79" s="285"/>
      <c r="U79" s="284" t="s">
        <v>57</v>
      </c>
      <c r="V79" s="285"/>
      <c r="W79" s="104"/>
      <c r="X79" s="104"/>
      <c r="Y79" s="104"/>
      <c r="Z79" s="7"/>
      <c r="AA79" s="7"/>
      <c r="AB79" s="7"/>
      <c r="AC79" s="7"/>
      <c r="AD79" s="7"/>
      <c r="AE79" s="7"/>
      <c r="AF79" s="7"/>
      <c r="AG79" s="7"/>
    </row>
    <row r="80" spans="1:33" ht="23" customHeight="1">
      <c r="A80" s="104"/>
      <c r="B80" s="104"/>
      <c r="C80" s="104"/>
      <c r="D80" s="104"/>
      <c r="E80" s="104"/>
      <c r="F80" s="104"/>
      <c r="G80" s="104"/>
      <c r="H80" s="289" t="s">
        <v>56</v>
      </c>
      <c r="I80" s="290"/>
      <c r="J80" s="290"/>
      <c r="K80" s="294" t="s">
        <v>37</v>
      </c>
      <c r="L80" s="294"/>
      <c r="M80" s="293" t="s">
        <v>57</v>
      </c>
      <c r="N80" s="285"/>
      <c r="O80" s="284" t="s">
        <v>57</v>
      </c>
      <c r="P80" s="286"/>
      <c r="Q80" s="293" t="s">
        <v>57</v>
      </c>
      <c r="R80" s="285"/>
      <c r="S80" s="284" t="s">
        <v>57</v>
      </c>
      <c r="T80" s="285"/>
      <c r="U80" s="284" t="s">
        <v>57</v>
      </c>
      <c r="V80" s="285"/>
      <c r="W80" s="104"/>
      <c r="X80" s="104"/>
      <c r="Y80" s="104"/>
      <c r="Z80" s="7"/>
      <c r="AA80" s="7"/>
      <c r="AB80" s="7"/>
      <c r="AC80" s="7"/>
      <c r="AD80" s="7"/>
      <c r="AE80" s="7"/>
      <c r="AF80" s="7"/>
      <c r="AG80" s="7"/>
    </row>
    <row r="81" spans="1:33" ht="14.25" customHeight="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7"/>
      <c r="AA81" s="7"/>
      <c r="AB81" s="7"/>
      <c r="AC81" s="7"/>
      <c r="AD81" s="7"/>
      <c r="AE81" s="7"/>
      <c r="AF81" s="7"/>
      <c r="AG81" s="7"/>
    </row>
    <row r="82" spans="1:33" ht="14.25" customHeight="1">
      <c r="A82" s="4"/>
      <c r="B82" s="4"/>
      <c r="C82" s="4"/>
      <c r="D82" s="4"/>
      <c r="E82" s="4"/>
      <c r="F82" s="4"/>
      <c r="G82" s="4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7"/>
      <c r="AA82" s="7"/>
      <c r="AB82" s="7"/>
      <c r="AC82" s="7"/>
      <c r="AD82" s="7"/>
      <c r="AE82" s="7"/>
      <c r="AF82" s="7"/>
      <c r="AG82" s="7"/>
    </row>
    <row r="83" spans="1:33" ht="14.25" customHeight="1">
      <c r="A83" s="43" t="s">
        <v>21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5"/>
    </row>
    <row r="84" spans="1:33" ht="14.25" customHeight="1">
      <c r="A84" s="46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8"/>
    </row>
    <row r="85" spans="1:33" ht="14.25" customHeight="1">
      <c r="A85" s="46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8"/>
    </row>
    <row r="86" spans="1:33" ht="14.25" customHeight="1">
      <c r="A86" s="46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8"/>
    </row>
    <row r="87" spans="1:33" ht="14.25" customHeight="1">
      <c r="A87" s="46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8"/>
    </row>
    <row r="88" spans="1:33" ht="14.25" customHeight="1">
      <c r="A88" s="49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1"/>
    </row>
    <row r="89" spans="1:33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33" ht="14.25" customHeight="1">
      <c r="A90" s="43" t="s">
        <v>23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5"/>
    </row>
    <row r="91" spans="1:33" ht="14.25" customHeight="1">
      <c r="A91" s="46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8"/>
    </row>
    <row r="92" spans="1:33" ht="14.25" customHeight="1">
      <c r="A92" s="46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8"/>
    </row>
    <row r="93" spans="1:33" ht="48" customHeight="1">
      <c r="A93" s="49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51"/>
    </row>
    <row r="94" spans="1:33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33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33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4.25" customHeight="1"/>
    <row r="101" spans="1:29" ht="14.25" customHeight="1"/>
    <row r="102" spans="1:29" ht="14.25" customHeight="1"/>
    <row r="103" spans="1:29" ht="14.25" customHeight="1"/>
    <row r="104" spans="1:29" ht="14.25" customHeight="1"/>
    <row r="105" spans="1:29" ht="14.25" customHeight="1"/>
    <row r="106" spans="1:29" ht="14.25" customHeight="1"/>
    <row r="107" spans="1:29" ht="14.25" customHeight="1"/>
    <row r="108" spans="1:29" ht="14.25" customHeight="1"/>
    <row r="109" spans="1:29" ht="14.25" customHeight="1"/>
    <row r="110" spans="1:29" ht="14.25" customHeight="1"/>
    <row r="111" spans="1:29" ht="14.25" customHeight="1"/>
    <row r="112" spans="1:29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</sheetData>
  <mergeCells count="206">
    <mergeCell ref="U75:V75"/>
    <mergeCell ref="Q72:V72"/>
    <mergeCell ref="Q76:V76"/>
    <mergeCell ref="M70:V70"/>
    <mergeCell ref="U78:V78"/>
    <mergeCell ref="U79:V79"/>
    <mergeCell ref="U80:V80"/>
    <mergeCell ref="Q78:R78"/>
    <mergeCell ref="S78:T78"/>
    <mergeCell ref="U73:V73"/>
    <mergeCell ref="U74:V74"/>
    <mergeCell ref="H79:J79"/>
    <mergeCell ref="M79:N79"/>
    <mergeCell ref="O79:P79"/>
    <mergeCell ref="Q79:R79"/>
    <mergeCell ref="S79:T79"/>
    <mergeCell ref="H80:J80"/>
    <mergeCell ref="M80:N80"/>
    <mergeCell ref="O80:P80"/>
    <mergeCell ref="Q80:R80"/>
    <mergeCell ref="S80:T80"/>
    <mergeCell ref="K80:L80"/>
    <mergeCell ref="K79:L79"/>
    <mergeCell ref="O75:P75"/>
    <mergeCell ref="Q75:R75"/>
    <mergeCell ref="S75:T75"/>
    <mergeCell ref="H76:J76"/>
    <mergeCell ref="H78:J78"/>
    <mergeCell ref="M78:N78"/>
    <mergeCell ref="O78:P78"/>
    <mergeCell ref="K78:L78"/>
    <mergeCell ref="H70:J70"/>
    <mergeCell ref="H73:J73"/>
    <mergeCell ref="M73:N73"/>
    <mergeCell ref="O73:P73"/>
    <mergeCell ref="Q73:R73"/>
    <mergeCell ref="S73:T73"/>
    <mergeCell ref="H74:J74"/>
    <mergeCell ref="M74:N74"/>
    <mergeCell ref="O74:P74"/>
    <mergeCell ref="Q74:R74"/>
    <mergeCell ref="S74:T74"/>
    <mergeCell ref="A51:D51"/>
    <mergeCell ref="H44:I44"/>
    <mergeCell ref="H45:I45"/>
    <mergeCell ref="H46:I46"/>
    <mergeCell ref="H50:I50"/>
    <mergeCell ref="H51:I51"/>
    <mergeCell ref="H64:J64"/>
    <mergeCell ref="M64:N64"/>
    <mergeCell ref="H75:J75"/>
    <mergeCell ref="M75:N75"/>
    <mergeCell ref="M60:V60"/>
    <mergeCell ref="X41:AC41"/>
    <mergeCell ref="N23:O23"/>
    <mergeCell ref="X51:AC51"/>
    <mergeCell ref="A67:AC67"/>
    <mergeCell ref="Y55:AC55"/>
    <mergeCell ref="H62:J62"/>
    <mergeCell ref="Q62:V62"/>
    <mergeCell ref="H63:J63"/>
    <mergeCell ref="M63:N63"/>
    <mergeCell ref="O63:P63"/>
    <mergeCell ref="Q63:R63"/>
    <mergeCell ref="S63:T63"/>
    <mergeCell ref="U63:V63"/>
    <mergeCell ref="O64:P64"/>
    <mergeCell ref="Q64:R64"/>
    <mergeCell ref="S64:T64"/>
    <mergeCell ref="U64:V64"/>
    <mergeCell ref="H65:J65"/>
    <mergeCell ref="M65:N65"/>
    <mergeCell ref="O65:P65"/>
    <mergeCell ref="Q65:R65"/>
    <mergeCell ref="S65:T65"/>
    <mergeCell ref="U65:V65"/>
    <mergeCell ref="J23:M23"/>
    <mergeCell ref="A43:C43"/>
    <mergeCell ref="G36:H36"/>
    <mergeCell ref="E24:H24"/>
    <mergeCell ref="U49:W49"/>
    <mergeCell ref="O50:R50"/>
    <mergeCell ref="G37:H37"/>
    <mergeCell ref="G38:H38"/>
    <mergeCell ref="G39:H39"/>
    <mergeCell ref="A50:D50"/>
    <mergeCell ref="A20:C20"/>
    <mergeCell ref="AA21:AC21"/>
    <mergeCell ref="S15:T15"/>
    <mergeCell ref="U15:V15"/>
    <mergeCell ref="H16:J16"/>
    <mergeCell ref="D43:I43"/>
    <mergeCell ref="D49:I49"/>
    <mergeCell ref="A23:C23"/>
    <mergeCell ref="D23:E23"/>
    <mergeCell ref="G29:I29"/>
    <mergeCell ref="G30:I30"/>
    <mergeCell ref="G31:I31"/>
    <mergeCell ref="G32:I32"/>
    <mergeCell ref="G33:I33"/>
    <mergeCell ref="G34:I34"/>
    <mergeCell ref="F23:G23"/>
    <mergeCell ref="H23:I23"/>
    <mergeCell ref="A44:G44"/>
    <mergeCell ref="A45:F45"/>
    <mergeCell ref="A46:F46"/>
    <mergeCell ref="AA23:AC23"/>
    <mergeCell ref="X44:AC44"/>
    <mergeCell ref="A49:C49"/>
    <mergeCell ref="Y23:Z23"/>
    <mergeCell ref="D20:E20"/>
    <mergeCell ref="F20:G20"/>
    <mergeCell ref="D21:E21"/>
    <mergeCell ref="F21:G21"/>
    <mergeCell ref="D22:E22"/>
    <mergeCell ref="Y1:AC1"/>
    <mergeCell ref="Y2:AC2"/>
    <mergeCell ref="Y3:AC3"/>
    <mergeCell ref="Y4:AC4"/>
    <mergeCell ref="A1:X4"/>
    <mergeCell ref="A6:AC6"/>
    <mergeCell ref="A8:G8"/>
    <mergeCell ref="H8:AC8"/>
    <mergeCell ref="Y21:Z21"/>
    <mergeCell ref="J19:M19"/>
    <mergeCell ref="J20:M20"/>
    <mergeCell ref="J21:M21"/>
    <mergeCell ref="P19:X19"/>
    <mergeCell ref="P20:X20"/>
    <mergeCell ref="P21:X21"/>
    <mergeCell ref="H20:I20"/>
    <mergeCell ref="N20:O20"/>
    <mergeCell ref="W10:Y10"/>
    <mergeCell ref="Z10:AC10"/>
    <mergeCell ref="F22:G22"/>
    <mergeCell ref="H22:I22"/>
    <mergeCell ref="F19:G19"/>
    <mergeCell ref="H19:I19"/>
    <mergeCell ref="N19:O19"/>
    <mergeCell ref="P23:X23"/>
    <mergeCell ref="J22:M22"/>
    <mergeCell ref="A10:C10"/>
    <mergeCell ref="D10:G10"/>
    <mergeCell ref="A18:AC18"/>
    <mergeCell ref="A19:C19"/>
    <mergeCell ref="Q13:R13"/>
    <mergeCell ref="S13:T13"/>
    <mergeCell ref="U13:V13"/>
    <mergeCell ref="H14:J14"/>
    <mergeCell ref="M14:N14"/>
    <mergeCell ref="O14:P14"/>
    <mergeCell ref="Q14:R14"/>
    <mergeCell ref="S14:T14"/>
    <mergeCell ref="U14:V14"/>
    <mergeCell ref="H15:J15"/>
    <mergeCell ref="M15:N15"/>
    <mergeCell ref="O15:P15"/>
    <mergeCell ref="Q15:R15"/>
    <mergeCell ref="A12:D16"/>
    <mergeCell ref="X49:AC49"/>
    <mergeCell ref="AA48:AB48"/>
    <mergeCell ref="U42:W42"/>
    <mergeCell ref="U43:W43"/>
    <mergeCell ref="U44:W44"/>
    <mergeCell ref="X42:AC42"/>
    <mergeCell ref="X43:AC43"/>
    <mergeCell ref="H12:J12"/>
    <mergeCell ref="Q12:V12"/>
    <mergeCell ref="H13:J13"/>
    <mergeCell ref="M13:N13"/>
    <mergeCell ref="O13:P13"/>
    <mergeCell ref="AA19:AC19"/>
    <mergeCell ref="AA20:AC20"/>
    <mergeCell ref="Y19:Z19"/>
    <mergeCell ref="AA22:AC22"/>
    <mergeCell ref="Y20:Z20"/>
    <mergeCell ref="N22:O22"/>
    <mergeCell ref="Y22:Z22"/>
    <mergeCell ref="D19:E19"/>
    <mergeCell ref="A21:C21"/>
    <mergeCell ref="A22:C22"/>
    <mergeCell ref="H21:I21"/>
    <mergeCell ref="K16:V16"/>
    <mergeCell ref="K15:L15"/>
    <mergeCell ref="K14:L14"/>
    <mergeCell ref="K13:L13"/>
    <mergeCell ref="K12:P12"/>
    <mergeCell ref="K76:P76"/>
    <mergeCell ref="K75:L75"/>
    <mergeCell ref="K74:L74"/>
    <mergeCell ref="K73:L73"/>
    <mergeCell ref="K72:P72"/>
    <mergeCell ref="K65:L65"/>
    <mergeCell ref="K64:L64"/>
    <mergeCell ref="K63:L63"/>
    <mergeCell ref="K62:P62"/>
    <mergeCell ref="N21:O21"/>
    <mergeCell ref="P22:X22"/>
    <mergeCell ref="Q55:X55"/>
    <mergeCell ref="A57:AC57"/>
    <mergeCell ref="H60:J60"/>
    <mergeCell ref="U50:W50"/>
    <mergeCell ref="U51:W51"/>
    <mergeCell ref="X50:AC50"/>
    <mergeCell ref="U41:W41"/>
    <mergeCell ref="X31:Y31"/>
  </mergeCells>
  <phoneticPr fontId="15" type="noConversion"/>
  <conditionalFormatting sqref="A12">
    <cfRule type="containsText" dxfId="1" priority="1" operator="containsText" text="Attention">
      <formula>NOT(ISERROR(SEARCH("Attention",A12)))</formula>
    </cfRule>
    <cfRule type="containsText" dxfId="0" priority="2" stopIfTrue="1" operator="containsText" text="SEMBLE">
      <formula>NOT(ISERROR(SEARCH("SEMBLE",A12)))</formula>
    </cfRule>
  </conditionalFormatting>
  <dataValidations count="1">
    <dataValidation type="list" allowBlank="1" showInputMessage="1" showErrorMessage="1" sqref="X31:Y31" xr:uid="{BC1FE862-2736-455F-AC5E-88197F622593}">
      <formula1>"Cuve 1, Cuve 2, Cuve 3"</formula1>
    </dataValidation>
  </dataValidations>
  <pageMargins left="0.45219638242894056" right="0.7" top="0.75" bottom="0.75" header="0" footer="0"/>
  <pageSetup paperSize="9" fitToHeight="2" orientation="portrait" r:id="rId1"/>
  <ignoredErrors>
    <ignoredError sqref="S14 S65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Produit 1 - Séléctionnez le produit 1 dans la liste" xr:uid="{00000000-0002-0000-0100-000000000000}">
          <x14:formula1>
            <xm:f>Data!$A$2:$A$12</xm:f>
          </x14:formula1>
          <xm:sqref>H8 M60</xm:sqref>
        </x14:dataValidation>
        <x14:dataValidation type="list" allowBlank="1" showInputMessage="1" showErrorMessage="1" prompt="Produit 2 - Séléctionnez le produit 2 dans la liste" xr:uid="{00000000-0002-0000-0100-000001000000}">
          <x14:formula1>
            <xm:f>Data!$A$2:$A$12</xm:f>
          </x14:formula1>
          <xm:sqref>AC59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7A84-DFC9-234C-8CE2-CFAF56F6B6C9}">
  <dimension ref="A1:J41"/>
  <sheetViews>
    <sheetView topLeftCell="C1" workbookViewId="0">
      <selection activeCell="F24" sqref="F24"/>
    </sheetView>
  </sheetViews>
  <sheetFormatPr baseColWidth="10" defaultRowHeight="15"/>
  <cols>
    <col min="1" max="1" width="11.6640625" bestFit="1" customWidth="1"/>
    <col min="3" max="3" width="13.83203125" bestFit="1" customWidth="1"/>
    <col min="6" max="6" width="33.83203125" bestFit="1" customWidth="1"/>
    <col min="7" max="7" width="13.6640625" bestFit="1" customWidth="1"/>
    <col min="9" max="9" width="33.83203125" bestFit="1" customWidth="1"/>
  </cols>
  <sheetData>
    <row r="1" spans="1:10">
      <c r="A1" s="94" t="s">
        <v>106</v>
      </c>
      <c r="B1" s="94" t="s">
        <v>107</v>
      </c>
      <c r="C1" s="94" t="s">
        <v>108</v>
      </c>
      <c r="D1" s="94" t="s">
        <v>109</v>
      </c>
      <c r="F1" s="94" t="s">
        <v>111</v>
      </c>
      <c r="G1" s="94">
        <f>'Fiche de production 7000 L'!H45</f>
        <v>3177.9411999999998</v>
      </c>
      <c r="I1" s="94"/>
      <c r="J1" s="94"/>
    </row>
    <row r="2" spans="1:10">
      <c r="A2" s="77">
        <v>0</v>
      </c>
      <c r="B2" s="108">
        <v>0</v>
      </c>
      <c r="C2">
        <v>0</v>
      </c>
      <c r="F2" t="s">
        <v>93</v>
      </c>
      <c r="G2" s="77" cm="1">
        <f t="array" ref="G2">MAX(IF(A:A&lt;=G1,A:A))</f>
        <v>3000</v>
      </c>
      <c r="J2" s="77"/>
    </row>
    <row r="3" spans="1:10">
      <c r="A3" s="77">
        <v>100</v>
      </c>
      <c r="B3" s="108">
        <v>6.5</v>
      </c>
      <c r="C3">
        <f>A3-A2</f>
        <v>100</v>
      </c>
      <c r="D3">
        <f>B3-B2</f>
        <v>6.5</v>
      </c>
      <c r="F3" t="s">
        <v>94</v>
      </c>
      <c r="G3" s="77" cm="1">
        <f t="array" ref="G3">MIN(IF(A:A&gt;=G1,A:A))</f>
        <v>3250</v>
      </c>
      <c r="J3" s="77"/>
    </row>
    <row r="4" spans="1:10">
      <c r="A4" s="77">
        <v>150</v>
      </c>
      <c r="B4" s="108">
        <v>10</v>
      </c>
      <c r="C4">
        <f t="shared" ref="C4:D29" si="0">A4-A3</f>
        <v>50</v>
      </c>
      <c r="D4">
        <f t="shared" si="0"/>
        <v>3.5</v>
      </c>
      <c r="F4" t="s">
        <v>95</v>
      </c>
      <c r="G4" s="77">
        <f>_xlfn.XLOOKUP(G2,A:A,B:B)</f>
        <v>154.5</v>
      </c>
      <c r="J4" s="77"/>
    </row>
    <row r="5" spans="1:10">
      <c r="A5" s="77">
        <v>200</v>
      </c>
      <c r="B5" s="108">
        <v>13.3</v>
      </c>
      <c r="C5">
        <f t="shared" si="0"/>
        <v>50</v>
      </c>
      <c r="D5">
        <f t="shared" si="0"/>
        <v>3.3000000000000007</v>
      </c>
      <c r="F5" t="s">
        <v>96</v>
      </c>
      <c r="G5" s="77">
        <f>_xlfn.XLOOKUP(G3,A:A,B:B)</f>
        <v>167</v>
      </c>
      <c r="J5" s="77"/>
    </row>
    <row r="6" spans="1:10">
      <c r="A6" s="77">
        <v>250</v>
      </c>
      <c r="B6" s="108">
        <v>16.2</v>
      </c>
      <c r="C6">
        <f t="shared" si="0"/>
        <v>50</v>
      </c>
      <c r="D6">
        <f t="shared" si="0"/>
        <v>2.8999999999999986</v>
      </c>
      <c r="F6" s="94" t="s">
        <v>97</v>
      </c>
      <c r="G6">
        <f>G4+(G1-G2)*(G5-G4)/(G3-G2)</f>
        <v>163.39705999999998</v>
      </c>
      <c r="I6" s="94"/>
    </row>
    <row r="7" spans="1:10">
      <c r="A7" s="77">
        <v>300.5</v>
      </c>
      <c r="B7" s="108">
        <v>19</v>
      </c>
      <c r="C7">
        <v>50</v>
      </c>
      <c r="D7">
        <f t="shared" si="0"/>
        <v>2.8000000000000007</v>
      </c>
    </row>
    <row r="8" spans="1:10">
      <c r="A8" s="77">
        <v>350.5</v>
      </c>
      <c r="B8" s="108">
        <v>21.7</v>
      </c>
      <c r="C8">
        <f t="shared" si="0"/>
        <v>50</v>
      </c>
      <c r="D8">
        <f t="shared" si="0"/>
        <v>2.6999999999999993</v>
      </c>
    </row>
    <row r="9" spans="1:10">
      <c r="A9" s="77">
        <v>400.5</v>
      </c>
      <c r="B9" s="108">
        <v>24.3</v>
      </c>
      <c r="C9">
        <f t="shared" si="0"/>
        <v>50</v>
      </c>
      <c r="D9">
        <f t="shared" si="0"/>
        <v>2.6000000000000014</v>
      </c>
      <c r="F9" s="94" t="s">
        <v>110</v>
      </c>
      <c r="G9" s="94">
        <f>'Fiche de production 7000 L'!H50</f>
        <v>5178.6612000000005</v>
      </c>
      <c r="I9" s="94"/>
      <c r="J9" s="94"/>
    </row>
    <row r="10" spans="1:10">
      <c r="A10" s="77">
        <v>451.5</v>
      </c>
      <c r="B10" s="108">
        <v>26.9</v>
      </c>
      <c r="C10">
        <f t="shared" si="0"/>
        <v>51</v>
      </c>
      <c r="D10">
        <f t="shared" si="0"/>
        <v>2.5999999999999979</v>
      </c>
      <c r="F10" t="s">
        <v>93</v>
      </c>
      <c r="G10" s="77" cm="1">
        <f t="array" ref="G10">MAX(IF(A:A&lt;=G9,A:A))</f>
        <v>5100</v>
      </c>
      <c r="J10" s="77"/>
    </row>
    <row r="11" spans="1:10">
      <c r="A11" s="77">
        <v>501.5</v>
      </c>
      <c r="B11" s="108">
        <v>29.4</v>
      </c>
      <c r="C11">
        <f t="shared" si="0"/>
        <v>50</v>
      </c>
      <c r="D11">
        <f t="shared" si="0"/>
        <v>2.5</v>
      </c>
      <c r="F11" t="s">
        <v>94</v>
      </c>
      <c r="G11" s="77" cm="1">
        <f t="array" ref="G11">MIN(IF(A:A&gt;=G9,A:A))</f>
        <v>5200</v>
      </c>
      <c r="J11" s="77"/>
    </row>
    <row r="12" spans="1:10">
      <c r="A12" s="77">
        <v>551.5</v>
      </c>
      <c r="B12" s="108">
        <v>32</v>
      </c>
      <c r="C12">
        <f t="shared" si="0"/>
        <v>50</v>
      </c>
      <c r="D12">
        <f t="shared" si="0"/>
        <v>2.6000000000000014</v>
      </c>
      <c r="F12" t="s">
        <v>95</v>
      </c>
      <c r="G12" s="77">
        <f>_xlfn.XLOOKUP(G10,A:A,B:B)</f>
        <v>262.5</v>
      </c>
      <c r="J12" s="77"/>
    </row>
    <row r="13" spans="1:10">
      <c r="A13" s="77">
        <v>600</v>
      </c>
      <c r="B13" s="108">
        <v>34.5</v>
      </c>
      <c r="C13">
        <f t="shared" si="0"/>
        <v>48.5</v>
      </c>
      <c r="D13">
        <f t="shared" si="0"/>
        <v>2.5</v>
      </c>
      <c r="F13" t="s">
        <v>96</v>
      </c>
      <c r="G13" s="77">
        <f>_xlfn.XLOOKUP(G11,A:A,B:B)</f>
        <v>269</v>
      </c>
      <c r="J13" s="77"/>
    </row>
    <row r="14" spans="1:10">
      <c r="A14" s="77">
        <v>750</v>
      </c>
      <c r="B14" s="108">
        <f>B13+D14</f>
        <v>42</v>
      </c>
      <c r="C14">
        <f t="shared" si="0"/>
        <v>150</v>
      </c>
      <c r="D14">
        <v>7.5</v>
      </c>
      <c r="F14" s="94" t="s">
        <v>97</v>
      </c>
      <c r="G14">
        <f>G12+(G9-G10)*(G13-G12)/(G11-G10)</f>
        <v>267.61297800000006</v>
      </c>
      <c r="I14" s="94"/>
    </row>
    <row r="15" spans="1:10">
      <c r="A15" s="77">
        <v>1000</v>
      </c>
      <c r="B15" s="108">
        <f>B14+D15</f>
        <v>54.5</v>
      </c>
      <c r="C15">
        <f t="shared" si="0"/>
        <v>250</v>
      </c>
      <c r="D15">
        <v>12.5</v>
      </c>
    </row>
    <row r="16" spans="1:10">
      <c r="A16" s="77">
        <v>1250</v>
      </c>
      <c r="B16" s="108">
        <f>B15+50/4</f>
        <v>67</v>
      </c>
      <c r="C16">
        <f t="shared" si="0"/>
        <v>250</v>
      </c>
      <c r="D16" s="108">
        <f>B16-B15</f>
        <v>12.5</v>
      </c>
    </row>
    <row r="17" spans="1:4">
      <c r="A17" s="77">
        <v>1500</v>
      </c>
      <c r="B17" s="108">
        <f t="shared" ref="B17:B29" si="1">B16+50/4</f>
        <v>79.5</v>
      </c>
      <c r="C17">
        <f t="shared" si="0"/>
        <v>250</v>
      </c>
      <c r="D17" s="108">
        <f t="shared" si="0"/>
        <v>12.5</v>
      </c>
    </row>
    <row r="18" spans="1:4">
      <c r="A18" s="77">
        <v>1750</v>
      </c>
      <c r="B18" s="108">
        <f t="shared" si="1"/>
        <v>92</v>
      </c>
      <c r="C18">
        <f t="shared" si="0"/>
        <v>250</v>
      </c>
      <c r="D18" s="108">
        <f t="shared" si="0"/>
        <v>12.5</v>
      </c>
    </row>
    <row r="19" spans="1:4">
      <c r="A19" s="77">
        <v>2000</v>
      </c>
      <c r="B19" s="108">
        <f t="shared" si="1"/>
        <v>104.5</v>
      </c>
      <c r="C19">
        <f t="shared" si="0"/>
        <v>250</v>
      </c>
      <c r="D19" s="108">
        <f t="shared" si="0"/>
        <v>12.5</v>
      </c>
    </row>
    <row r="20" spans="1:4">
      <c r="A20" s="77">
        <v>2250</v>
      </c>
      <c r="B20" s="108">
        <f t="shared" si="1"/>
        <v>117</v>
      </c>
      <c r="C20">
        <f t="shared" si="0"/>
        <v>250</v>
      </c>
      <c r="D20" s="108">
        <f t="shared" si="0"/>
        <v>12.5</v>
      </c>
    </row>
    <row r="21" spans="1:4">
      <c r="A21" s="77">
        <v>2500</v>
      </c>
      <c r="B21" s="108">
        <f t="shared" si="1"/>
        <v>129.5</v>
      </c>
      <c r="C21">
        <f t="shared" si="0"/>
        <v>250</v>
      </c>
      <c r="D21" s="108">
        <f t="shared" si="0"/>
        <v>12.5</v>
      </c>
    </row>
    <row r="22" spans="1:4">
      <c r="A22" s="77">
        <v>2750</v>
      </c>
      <c r="B22" s="108">
        <f t="shared" si="1"/>
        <v>142</v>
      </c>
      <c r="C22">
        <f t="shared" si="0"/>
        <v>250</v>
      </c>
      <c r="D22" s="108">
        <f t="shared" si="0"/>
        <v>12.5</v>
      </c>
    </row>
    <row r="23" spans="1:4">
      <c r="A23" s="77">
        <v>3000</v>
      </c>
      <c r="B23" s="108">
        <f t="shared" si="1"/>
        <v>154.5</v>
      </c>
      <c r="C23">
        <f t="shared" si="0"/>
        <v>250</v>
      </c>
      <c r="D23" s="108">
        <f t="shared" si="0"/>
        <v>12.5</v>
      </c>
    </row>
    <row r="24" spans="1:4">
      <c r="A24" s="77">
        <v>3250</v>
      </c>
      <c r="B24" s="108">
        <f t="shared" si="1"/>
        <v>167</v>
      </c>
      <c r="C24">
        <f t="shared" si="0"/>
        <v>250</v>
      </c>
      <c r="D24" s="108">
        <f t="shared" si="0"/>
        <v>12.5</v>
      </c>
    </row>
    <row r="25" spans="1:4">
      <c r="A25" s="77">
        <v>3500</v>
      </c>
      <c r="B25" s="108">
        <f t="shared" si="1"/>
        <v>179.5</v>
      </c>
      <c r="C25">
        <f t="shared" si="0"/>
        <v>250</v>
      </c>
      <c r="D25" s="108">
        <f t="shared" si="0"/>
        <v>12.5</v>
      </c>
    </row>
    <row r="26" spans="1:4">
      <c r="A26" s="77">
        <v>3750</v>
      </c>
      <c r="B26" s="108">
        <f t="shared" si="1"/>
        <v>192</v>
      </c>
      <c r="C26">
        <f t="shared" si="0"/>
        <v>250</v>
      </c>
      <c r="D26" s="108">
        <f t="shared" si="0"/>
        <v>12.5</v>
      </c>
    </row>
    <row r="27" spans="1:4">
      <c r="A27" s="77">
        <v>4000</v>
      </c>
      <c r="B27" s="108">
        <f t="shared" si="1"/>
        <v>204.5</v>
      </c>
      <c r="C27">
        <f t="shared" si="0"/>
        <v>250</v>
      </c>
      <c r="D27" s="108">
        <f>B27-B26</f>
        <v>12.5</v>
      </c>
    </row>
    <row r="28" spans="1:4">
      <c r="A28" s="77">
        <v>4250</v>
      </c>
      <c r="B28" s="108">
        <f t="shared" si="1"/>
        <v>217</v>
      </c>
      <c r="C28">
        <f t="shared" si="0"/>
        <v>250</v>
      </c>
      <c r="D28" s="108">
        <f t="shared" si="0"/>
        <v>12.5</v>
      </c>
    </row>
    <row r="29" spans="1:4">
      <c r="A29" s="77">
        <v>4500</v>
      </c>
      <c r="B29" s="108">
        <f t="shared" si="1"/>
        <v>229.5</v>
      </c>
      <c r="C29">
        <f t="shared" si="0"/>
        <v>250</v>
      </c>
      <c r="D29" s="108">
        <f t="shared" si="0"/>
        <v>12.5</v>
      </c>
    </row>
    <row r="30" spans="1:4">
      <c r="A30" s="77">
        <v>4600</v>
      </c>
      <c r="B30" s="108">
        <f>D30+B29</f>
        <v>234.5</v>
      </c>
      <c r="C30">
        <v>100</v>
      </c>
      <c r="D30">
        <f>100*12.5/250</f>
        <v>5</v>
      </c>
    </row>
    <row r="31" spans="1:4">
      <c r="A31" s="77">
        <v>4650</v>
      </c>
      <c r="B31" s="108">
        <f>B30+D31</f>
        <v>237</v>
      </c>
      <c r="C31">
        <f>C13</f>
        <v>48.5</v>
      </c>
      <c r="D31">
        <f>D13</f>
        <v>2.5</v>
      </c>
    </row>
    <row r="32" spans="1:4">
      <c r="A32" s="77">
        <v>4700</v>
      </c>
      <c r="B32" s="108">
        <f t="shared" ref="B32:B41" si="2">B31+D32</f>
        <v>239.6</v>
      </c>
      <c r="C32">
        <f>C12</f>
        <v>50</v>
      </c>
      <c r="D32">
        <f>D12</f>
        <v>2.6000000000000014</v>
      </c>
    </row>
    <row r="33" spans="1:4">
      <c r="A33" s="77">
        <v>4750</v>
      </c>
      <c r="B33" s="108">
        <f t="shared" si="2"/>
        <v>242.1</v>
      </c>
      <c r="C33">
        <f>C11</f>
        <v>50</v>
      </c>
      <c r="D33">
        <f>D11</f>
        <v>2.5</v>
      </c>
    </row>
    <row r="34" spans="1:4">
      <c r="A34" s="77">
        <v>4799.5</v>
      </c>
      <c r="B34" s="108">
        <f t="shared" si="2"/>
        <v>244.7</v>
      </c>
      <c r="C34">
        <f>C10</f>
        <v>51</v>
      </c>
      <c r="D34">
        <f>D10</f>
        <v>2.5999999999999979</v>
      </c>
    </row>
    <row r="35" spans="1:4">
      <c r="A35" s="77">
        <v>4849.5</v>
      </c>
      <c r="B35" s="108">
        <f t="shared" si="2"/>
        <v>247.29999999999998</v>
      </c>
      <c r="C35">
        <f>C9</f>
        <v>50</v>
      </c>
      <c r="D35">
        <f>D9</f>
        <v>2.6000000000000014</v>
      </c>
    </row>
    <row r="36" spans="1:4">
      <c r="A36" s="77">
        <v>4899.5</v>
      </c>
      <c r="B36" s="108">
        <f t="shared" si="2"/>
        <v>249.99999999999997</v>
      </c>
      <c r="C36">
        <f>C8</f>
        <v>50</v>
      </c>
      <c r="D36">
        <f>D8</f>
        <v>2.6999999999999993</v>
      </c>
    </row>
    <row r="37" spans="1:4">
      <c r="A37" s="77">
        <v>4950</v>
      </c>
      <c r="B37" s="108">
        <f t="shared" si="2"/>
        <v>252.79999999999998</v>
      </c>
      <c r="C37">
        <f>C7</f>
        <v>50</v>
      </c>
      <c r="D37">
        <f>D7</f>
        <v>2.8000000000000007</v>
      </c>
    </row>
    <row r="38" spans="1:4">
      <c r="A38" s="77">
        <v>5000</v>
      </c>
      <c r="B38" s="108">
        <f t="shared" si="2"/>
        <v>255.7</v>
      </c>
      <c r="C38">
        <f>C6</f>
        <v>50</v>
      </c>
      <c r="D38">
        <f>D6</f>
        <v>2.8999999999999986</v>
      </c>
    </row>
    <row r="39" spans="1:4">
      <c r="A39" s="77">
        <v>5050</v>
      </c>
      <c r="B39" s="108">
        <f t="shared" si="2"/>
        <v>259</v>
      </c>
      <c r="C39">
        <f>C5</f>
        <v>50</v>
      </c>
      <c r="D39">
        <f>D5</f>
        <v>3.3000000000000007</v>
      </c>
    </row>
    <row r="40" spans="1:4">
      <c r="A40" s="77">
        <v>5100</v>
      </c>
      <c r="B40" s="108">
        <f t="shared" si="2"/>
        <v>262.5</v>
      </c>
      <c r="C40">
        <f>C4</f>
        <v>50</v>
      </c>
      <c r="D40">
        <f>D4</f>
        <v>3.5</v>
      </c>
    </row>
    <row r="41" spans="1:4">
      <c r="A41" s="77">
        <v>5200</v>
      </c>
      <c r="B41" s="108">
        <f t="shared" si="2"/>
        <v>269</v>
      </c>
      <c r="C41">
        <f>C3</f>
        <v>100</v>
      </c>
      <c r="D41">
        <f>D3</f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FD5FD-8972-42A4-B212-A08CE649A377}">
  <dimension ref="B2:I42"/>
  <sheetViews>
    <sheetView zoomScale="121" zoomScaleNormal="160" workbookViewId="0">
      <selection activeCell="C16" sqref="C16"/>
    </sheetView>
  </sheetViews>
  <sheetFormatPr baseColWidth="10" defaultColWidth="11.5" defaultRowHeight="15"/>
  <cols>
    <col min="1" max="1" width="11.5" style="55"/>
    <col min="2" max="3" width="14.83203125" style="55" bestFit="1" customWidth="1"/>
    <col min="4" max="4" width="11.5" style="55"/>
    <col min="5" max="5" width="18.1640625" style="55" customWidth="1"/>
    <col min="6" max="6" width="11.5" style="55"/>
    <col min="7" max="7" width="14.83203125" style="55" bestFit="1" customWidth="1"/>
    <col min="8" max="16384" width="11.5" style="55"/>
  </cols>
  <sheetData>
    <row r="2" spans="2:9" ht="16" thickBot="1">
      <c r="B2" s="76" t="s">
        <v>76</v>
      </c>
    </row>
    <row r="3" spans="2:9">
      <c r="B3" s="67">
        <f>'Fiche de production 7000 L'!G36</f>
        <v>5201.8</v>
      </c>
      <c r="C3" s="66" t="s">
        <v>58</v>
      </c>
      <c r="D3" s="66" t="s">
        <v>59</v>
      </c>
      <c r="E3" s="75" t="s">
        <v>60</v>
      </c>
      <c r="F3" s="74" t="s">
        <v>52</v>
      </c>
      <c r="G3" s="55" t="s">
        <v>61</v>
      </c>
      <c r="H3" s="55" t="s">
        <v>77</v>
      </c>
      <c r="I3" s="55" t="s">
        <v>62</v>
      </c>
    </row>
    <row r="4" spans="2:9">
      <c r="B4" s="64" t="s">
        <v>63</v>
      </c>
      <c r="C4" s="55">
        <f>'[1]Fiche de production 7000 L'!Y23</f>
        <v>243.88</v>
      </c>
      <c r="D4" s="55">
        <f>C4</f>
        <v>243.88</v>
      </c>
      <c r="E4" s="73">
        <v>0.8</v>
      </c>
      <c r="F4" s="72">
        <f>C4*E4</f>
        <v>195.10400000000001</v>
      </c>
      <c r="G4" s="55">
        <f>IF(ISNUMBER( SEARCH("K.",'Fiche de production 7000 L'!H8)), 4, 1.4)</f>
        <v>4</v>
      </c>
      <c r="H4" s="55">
        <f>G4*10*B3/1000</f>
        <v>208.072</v>
      </c>
      <c r="I4" s="56">
        <f>H4/F9*100</f>
        <v>25.487306691165212</v>
      </c>
    </row>
    <row r="5" spans="2:9">
      <c r="B5" s="64" t="s">
        <v>64</v>
      </c>
      <c r="C5" s="56">
        <f>'[1]Fiche de production 7000 L'!Y24</f>
        <v>111.5</v>
      </c>
      <c r="D5" s="56">
        <f>C5*0.56</f>
        <v>62.440000000000005</v>
      </c>
      <c r="E5" s="73">
        <v>0.75</v>
      </c>
      <c r="F5" s="72">
        <f>C5*E5</f>
        <v>83.625</v>
      </c>
    </row>
    <row r="6" spans="2:9">
      <c r="B6" s="64" t="s">
        <v>65</v>
      </c>
      <c r="C6" s="55">
        <f>'[1]Fiche de production 7000 L'!Y25</f>
        <v>27.87</v>
      </c>
      <c r="D6" s="59">
        <f>C6*60/1000</f>
        <v>1.6722000000000001</v>
      </c>
      <c r="E6" s="73">
        <v>1</v>
      </c>
      <c r="F6" s="72">
        <f>C6*E6</f>
        <v>27.87</v>
      </c>
      <c r="H6" s="55" t="s">
        <v>66</v>
      </c>
      <c r="I6" s="56">
        <f>D7-H4</f>
        <v>98.24799999999999</v>
      </c>
    </row>
    <row r="7" spans="2:9" ht="16" thickBot="1">
      <c r="B7" s="62" t="s">
        <v>67</v>
      </c>
      <c r="C7" s="71">
        <f>SUM(C4, C5)</f>
        <v>355.38</v>
      </c>
      <c r="D7" s="71">
        <f>SUM(D4, D5)</f>
        <v>306.32</v>
      </c>
      <c r="E7" s="70"/>
      <c r="F7" s="69">
        <f>SUM(F4:F6)</f>
        <v>306.59900000000005</v>
      </c>
      <c r="H7" s="55" t="s">
        <v>68</v>
      </c>
      <c r="I7" s="68">
        <f>I6/D7</f>
        <v>0.32073648472185945</v>
      </c>
    </row>
    <row r="8" spans="2:9">
      <c r="E8" s="55" t="s">
        <v>69</v>
      </c>
      <c r="F8" s="57">
        <f>900-F7</f>
        <v>593.40099999999995</v>
      </c>
    </row>
    <row r="9" spans="2:9">
      <c r="E9" s="55" t="s">
        <v>70</v>
      </c>
      <c r="F9" s="57">
        <f>F8+F6+F4</f>
        <v>816.375</v>
      </c>
    </row>
    <row r="10" spans="2:9">
      <c r="E10" s="55" t="s">
        <v>74</v>
      </c>
      <c r="F10" s="57">
        <f>F8+F5+F6</f>
        <v>704.89599999999996</v>
      </c>
    </row>
    <row r="13" spans="2:9" ht="16" thickBot="1">
      <c r="B13" s="55" t="s">
        <v>83</v>
      </c>
    </row>
    <row r="14" spans="2:9">
      <c r="B14" s="67">
        <f>'Fiche de production 7000 L'!G36</f>
        <v>5201.8</v>
      </c>
      <c r="C14" s="66" t="s">
        <v>81</v>
      </c>
      <c r="D14" s="65" t="s">
        <v>58</v>
      </c>
      <c r="F14" s="57"/>
      <c r="I14" s="56"/>
    </row>
    <row r="15" spans="2:9">
      <c r="B15" s="64" t="s">
        <v>63</v>
      </c>
      <c r="C15" s="55">
        <v>1.0999999999999999E-2</v>
      </c>
      <c r="D15" s="63">
        <f>C15*$B$14</f>
        <v>57.219799999999999</v>
      </c>
      <c r="F15" s="57"/>
    </row>
    <row r="16" spans="2:9">
      <c r="B16" s="64" t="s">
        <v>64</v>
      </c>
      <c r="C16" s="55">
        <v>8.0000000000000002E-3</v>
      </c>
      <c r="D16" s="63">
        <f>C16*$B$14</f>
        <v>41.614400000000003</v>
      </c>
      <c r="F16" s="57"/>
      <c r="I16" s="56"/>
    </row>
    <row r="17" spans="2:9">
      <c r="B17" s="64" t="s">
        <v>65</v>
      </c>
      <c r="C17" s="55">
        <v>4.0000000000000001E-3</v>
      </c>
      <c r="D17" s="63">
        <f>C17*$B$14</f>
        <v>20.807200000000002</v>
      </c>
      <c r="F17" s="57"/>
      <c r="I17" s="58"/>
    </row>
    <row r="18" spans="2:9" ht="16" thickBot="1">
      <c r="B18" s="62" t="s">
        <v>80</v>
      </c>
      <c r="C18" s="61">
        <v>8.0000000000000002E-3</v>
      </c>
      <c r="D18" s="60">
        <f>C18*$B$14</f>
        <v>41.614400000000003</v>
      </c>
      <c r="F18" s="57"/>
    </row>
    <row r="19" spans="2:9">
      <c r="F19" s="57"/>
    </row>
    <row r="22" spans="2:9" ht="16" thickBot="1">
      <c r="B22" s="55" t="s">
        <v>82</v>
      </c>
    </row>
    <row r="23" spans="2:9">
      <c r="B23" s="67">
        <f>'Fiche de production 7000 L'!G36</f>
        <v>5201.8</v>
      </c>
      <c r="C23" s="66" t="s">
        <v>81</v>
      </c>
      <c r="D23" s="65" t="s">
        <v>58</v>
      </c>
    </row>
    <row r="24" spans="2:9">
      <c r="B24" s="64" t="s">
        <v>63</v>
      </c>
      <c r="C24" s="55">
        <v>3.5000000000000003E-2</v>
      </c>
      <c r="D24" s="63">
        <f>C24*$B$14</f>
        <v>182.06300000000002</v>
      </c>
    </row>
    <row r="25" spans="2:9">
      <c r="B25" s="64" t="s">
        <v>64</v>
      </c>
      <c r="C25" s="55">
        <v>1.6E-2</v>
      </c>
      <c r="D25" s="63">
        <f>C25*$B$14</f>
        <v>83.228800000000007</v>
      </c>
    </row>
    <row r="26" spans="2:9">
      <c r="B26" s="64" t="s">
        <v>65</v>
      </c>
      <c r="C26" s="55">
        <v>4.0000000000000001E-3</v>
      </c>
      <c r="D26" s="63">
        <f>C26*$B$14</f>
        <v>20.807200000000002</v>
      </c>
    </row>
    <row r="27" spans="2:9" ht="16" thickBot="1">
      <c r="B27" s="62" t="s">
        <v>80</v>
      </c>
      <c r="C27" s="61">
        <v>6.0000000000000001E-3</v>
      </c>
      <c r="D27" s="60">
        <f>C27*$B$14</f>
        <v>31.210800000000003</v>
      </c>
    </row>
    <row r="28" spans="2:9">
      <c r="F28" s="57"/>
      <c r="I28" s="56"/>
    </row>
    <row r="29" spans="2:9">
      <c r="C29" s="56"/>
      <c r="D29" s="56"/>
      <c r="F29" s="57"/>
    </row>
    <row r="30" spans="2:9">
      <c r="D30" s="59"/>
      <c r="F30" s="57"/>
      <c r="I30" s="56"/>
    </row>
    <row r="31" spans="2:9">
      <c r="C31" s="56"/>
      <c r="D31" s="56"/>
      <c r="F31" s="57"/>
      <c r="I31" s="58"/>
    </row>
    <row r="32" spans="2:9">
      <c r="F32" s="57"/>
    </row>
    <row r="33" spans="3:9">
      <c r="F33" s="57"/>
    </row>
    <row r="37" spans="3:9">
      <c r="F37" s="57"/>
      <c r="I37" s="57"/>
    </row>
    <row r="38" spans="3:9">
      <c r="C38" s="56"/>
      <c r="D38" s="56"/>
      <c r="F38" s="57"/>
    </row>
    <row r="39" spans="3:9">
      <c r="D39" s="59"/>
      <c r="F39" s="57"/>
      <c r="I39" s="56"/>
    </row>
    <row r="40" spans="3:9">
      <c r="C40" s="56"/>
      <c r="D40" s="56"/>
      <c r="F40" s="57"/>
      <c r="I40" s="58"/>
    </row>
    <row r="41" spans="3:9">
      <c r="F41" s="57"/>
    </row>
    <row r="42" spans="3:9">
      <c r="F42" s="57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d997ee-d5af-495c-b8b2-423990488cd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E68E7AABF19C4981679A47A6BF5CE2" ma:contentTypeVersion="16" ma:contentTypeDescription="Crée un document." ma:contentTypeScope="" ma:versionID="1a88ca7bfd47ccc99a2d9a382ff38390">
  <xsd:schema xmlns:xsd="http://www.w3.org/2001/XMLSchema" xmlns:xs="http://www.w3.org/2001/XMLSchema" xmlns:p="http://schemas.microsoft.com/office/2006/metadata/properties" xmlns:ns3="cdd997ee-d5af-495c-b8b2-423990488cdd" xmlns:ns4="7b584c88-1985-421e-b575-bed1026222c2" targetNamespace="http://schemas.microsoft.com/office/2006/metadata/properties" ma:root="true" ma:fieldsID="cd869be583149c1e1b258c41b946a8ea" ns3:_="" ns4:_="">
    <xsd:import namespace="cdd997ee-d5af-495c-b8b2-423990488cdd"/>
    <xsd:import namespace="7b584c88-1985-421e-b575-bed1026222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997ee-d5af-495c-b8b2-423990488c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584c88-1985-421e-b575-bed102622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8C327C-016A-4920-9791-8190462DCD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CAE4AD-78F4-408E-BE23-C5961A925BF7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cdd997ee-d5af-495c-b8b2-423990488cdd"/>
    <ds:schemaRef ds:uri="http://schemas.openxmlformats.org/package/2006/metadata/core-properties"/>
    <ds:schemaRef ds:uri="7b584c88-1985-421e-b575-bed1026222c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4B8EF6D-50C5-4B3A-9170-46D13DA64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997ee-d5af-495c-b8b2-423990488cdd"/>
    <ds:schemaRef ds:uri="7b584c88-1985-421e-b575-bed1026222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Fiche de production 7000 L</vt:lpstr>
      <vt:lpstr>CUVE 1 et 2 Mesure</vt:lpstr>
      <vt:lpstr>Recette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Louna Kopelman-landron</dc:creator>
  <cp:lastModifiedBy>Chloé Ethève</cp:lastModifiedBy>
  <cp:lastPrinted>2025-06-19T11:44:45Z</cp:lastPrinted>
  <dcterms:created xsi:type="dcterms:W3CDTF">2024-06-10T12:51:21Z</dcterms:created>
  <dcterms:modified xsi:type="dcterms:W3CDTF">2025-10-20T07:56:35Z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0x01010077E68E7AABF19C4981679A47A6BF5CE2</vt:lpwstr>
  </property>
</Properties>
</file>