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h85\Documents\Applied Energy Paper\Assembly Zone 2.0\Final Github Files\"/>
    </mc:Choice>
  </mc:AlternateContent>
  <xr:revisionPtr revIDLastSave="0" documentId="13_ncr:1_{18F4FF0B-C4ED-4EEB-95E8-8EC46C3AE470}" xr6:coauthVersionLast="36" xr6:coauthVersionMax="36" xr10:uidLastSave="{00000000-0000-0000-0000-000000000000}"/>
  <bookViews>
    <workbookView xWindow="0" yWindow="0" windowWidth="23040" windowHeight="9780" xr2:uid="{F1EE36F2-26FE-44E3-8ABA-0EB5976BAA87}"/>
  </bookViews>
  <sheets>
    <sheet name="Sheet1" sheetId="4" r:id="rId1"/>
    <sheet name="PSH Graphs" sheetId="2" r:id="rId2"/>
    <sheet name="RO Graphs" sheetId="3" r:id="rId3"/>
  </sheets>
  <definedNames>
    <definedName name="solver_adj" localSheetId="0" hidden="1">Sheet1!$F$27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Sheet1!$F$26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4" l="1"/>
  <c r="E20" i="4"/>
  <c r="F20" i="4"/>
  <c r="C20" i="4"/>
  <c r="F28" i="4"/>
  <c r="E28" i="4"/>
  <c r="D28" i="4"/>
  <c r="C28" i="4"/>
  <c r="F26" i="4"/>
  <c r="F22" i="4"/>
  <c r="E22" i="4"/>
  <c r="D22" i="4"/>
  <c r="C22" i="4"/>
  <c r="F21" i="4"/>
  <c r="E21" i="4"/>
  <c r="D21" i="4"/>
  <c r="C21" i="4"/>
  <c r="F19" i="4"/>
  <c r="F24" i="4" s="1"/>
  <c r="E19" i="4"/>
  <c r="D19" i="4"/>
  <c r="C19" i="4"/>
  <c r="M17" i="4"/>
  <c r="O17" i="4" s="1"/>
  <c r="F17" i="4"/>
  <c r="E17" i="4"/>
  <c r="D17" i="4"/>
  <c r="C17" i="4"/>
  <c r="F16" i="4"/>
  <c r="E16" i="4"/>
  <c r="D16" i="4"/>
  <c r="C16" i="4"/>
  <c r="D24" i="4" l="1"/>
  <c r="E24" i="4"/>
  <c r="C24" i="4"/>
  <c r="C26" i="4"/>
  <c r="D26" i="4"/>
  <c r="E26" i="4"/>
</calcChain>
</file>

<file path=xl/sharedStrings.xml><?xml version="1.0" encoding="utf-8"?>
<sst xmlns="http://schemas.openxmlformats.org/spreadsheetml/2006/main" count="87" uniqueCount="66">
  <si>
    <t>Average sales price of water</t>
  </si>
  <si>
    <t>Pareto Solutions</t>
  </si>
  <si>
    <t>Max E</t>
  </si>
  <si>
    <t>Max V</t>
  </si>
  <si>
    <t>Max eta</t>
  </si>
  <si>
    <t>Best</t>
  </si>
  <si>
    <t>E value</t>
  </si>
  <si>
    <t>V value</t>
  </si>
  <si>
    <t>eta value</t>
  </si>
  <si>
    <t>x*</t>
  </si>
  <si>
    <t>E_r</t>
  </si>
  <si>
    <t>gamma</t>
  </si>
  <si>
    <t>gamma_RO</t>
  </si>
  <si>
    <t>h_L</t>
  </si>
  <si>
    <t>N_e1</t>
  </si>
  <si>
    <t>N_e2</t>
  </si>
  <si>
    <t>N_pv1</t>
  </si>
  <si>
    <t>N_pv2</t>
  </si>
  <si>
    <t>Units</t>
  </si>
  <si>
    <t>kWh/day</t>
  </si>
  <si>
    <t>m^3/day</t>
  </si>
  <si>
    <t>-</t>
  </si>
  <si>
    <t>m</t>
  </si>
  <si>
    <t>Assumptions</t>
  </si>
  <si>
    <t>1) IPHROS is operational 24/7</t>
  </si>
  <si>
    <t>Average sale price of electricity</t>
  </si>
  <si>
    <t>Value</t>
  </si>
  <si>
    <t>$/kWh</t>
  </si>
  <si>
    <t>Annual value of electricity</t>
  </si>
  <si>
    <t>Parameters</t>
  </si>
  <si>
    <t>Production Economics</t>
  </si>
  <si>
    <t>Annual value of water</t>
  </si>
  <si>
    <t>$/m^3</t>
  </si>
  <si>
    <t>$/year</t>
  </si>
  <si>
    <t>$/(100 ft)^3</t>
  </si>
  <si>
    <t>Converted</t>
  </si>
  <si>
    <t>$/ft^3</t>
  </si>
  <si>
    <t>source</t>
  </si>
  <si>
    <t>https://dashboards.efc.sog.unc.edu/ca</t>
  </si>
  <si>
    <t>https://www.eia.gov/electricity/state/</t>
  </si>
  <si>
    <t>OPEX, PSH</t>
  </si>
  <si>
    <t>CAPEX, PSH</t>
  </si>
  <si>
    <t>CAPEX, RO</t>
  </si>
  <si>
    <t>OPEX, RO</t>
  </si>
  <si>
    <t>CAPEX and OPEX</t>
  </si>
  <si>
    <t>$/m^3/day</t>
  </si>
  <si>
    <t>2) ROI is negligible</t>
  </si>
  <si>
    <t>eta_IPHROS_CAPEX_PSH</t>
  </si>
  <si>
    <t>eta_IPHROS_CAPEX_RO</t>
  </si>
  <si>
    <t>eta_IPHROS_OPEX_PSH</t>
  </si>
  <si>
    <t>eta_IPRHOS_OPEX_RO</t>
  </si>
  <si>
    <t>NPV</t>
  </si>
  <si>
    <t>Independent</t>
  </si>
  <si>
    <t>i</t>
  </si>
  <si>
    <t>t</t>
  </si>
  <si>
    <t>IPHROS</t>
  </si>
  <si>
    <t>NPV_break_even</t>
  </si>
  <si>
    <t>Percent Decrease</t>
  </si>
  <si>
    <t>%</t>
  </si>
  <si>
    <t>years</t>
  </si>
  <si>
    <t>$</t>
  </si>
  <si>
    <t>https://info.ornl.gov/sites/publications/Files/Pub169067.pdf</t>
  </si>
  <si>
    <t>https://www.advisian.com/en/global-perspectives/the-cost-of-desalination</t>
  </si>
  <si>
    <t>possible savings due to less curtaled power</t>
  </si>
  <si>
    <t>$ (approx. 0)</t>
  </si>
  <si>
    <t>t solved for using 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</si>
</sst>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/>
    <xf numFmtId="0" fontId="0" fillId="0" borderId="0" xfId="0" applyAlignment="1">
      <alignment wrapText="1"/>
    </xf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0" borderId="1" xfId="0" applyBorder="1"/>
    <xf numFmtId="11" fontId="0" fillId="3" borderId="1" xfId="0" applyNumberFormat="1" applyFill="1" applyBorder="1"/>
    <xf numFmtId="0" fontId="0" fillId="3" borderId="1" xfId="0" applyFill="1" applyBorder="1"/>
    <xf numFmtId="0" fontId="1" fillId="4" borderId="0" xfId="0" applyFont="1" applyFill="1"/>
    <xf numFmtId="11" fontId="0" fillId="4" borderId="1" xfId="0" applyNumberFormat="1" applyFill="1" applyBorder="1"/>
    <xf numFmtId="0" fontId="0" fillId="4" borderId="1" xfId="0" applyFill="1" applyBorder="1"/>
    <xf numFmtId="0" fontId="0" fillId="4" borderId="0" xfId="0" applyFill="1"/>
    <xf numFmtId="0" fontId="1" fillId="5" borderId="0" xfId="0" applyFont="1" applyFill="1"/>
    <xf numFmtId="11" fontId="0" fillId="5" borderId="1" xfId="0" applyNumberFormat="1" applyFill="1" applyBorder="1"/>
    <xf numFmtId="0" fontId="0" fillId="5" borderId="1" xfId="0" applyFill="1" applyBorder="1"/>
    <xf numFmtId="0" fontId="0" fillId="5" borderId="0" xfId="0" applyFill="1"/>
    <xf numFmtId="0" fontId="0" fillId="0" borderId="1" xfId="0" applyBorder="1" applyAlignment="1">
      <alignment wrapText="1"/>
    </xf>
    <xf numFmtId="11" fontId="0" fillId="2" borderId="1" xfId="0" applyNumberFormat="1" applyFill="1" applyBorder="1"/>
    <xf numFmtId="0" fontId="0" fillId="2" borderId="1" xfId="0" applyFill="1" applyBorder="1"/>
    <xf numFmtId="0" fontId="2" fillId="0" borderId="0" xfId="1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38100</xdr:rowOff>
    </xdr:from>
    <xdr:to>
      <xdr:col>10</xdr:col>
      <xdr:colOff>444952</xdr:colOff>
      <xdr:row>22</xdr:row>
      <xdr:rowOff>174791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46BC89-ED13-43C7-B4B8-702499573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0050"/>
          <a:ext cx="6540952" cy="375619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</xdr:row>
      <xdr:rowOff>0</xdr:rowOff>
    </xdr:from>
    <xdr:to>
      <xdr:col>22</xdr:col>
      <xdr:colOff>504000</xdr:colOff>
      <xdr:row>22</xdr:row>
      <xdr:rowOff>66214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E96A12-8A27-4A6C-B0B3-38E000F71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361950"/>
          <a:ext cx="6600000" cy="36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12</xdr:col>
      <xdr:colOff>218133</xdr:colOff>
      <xdr:row>23</xdr:row>
      <xdr:rowOff>85239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914EF1-D844-47C2-9F04-46E82A3D2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1950"/>
          <a:ext cx="7533333" cy="388571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24</xdr:col>
      <xdr:colOff>484876</xdr:colOff>
      <xdr:row>24</xdr:row>
      <xdr:rowOff>47121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AD57D5-E2E5-414F-A224-55E44B4D2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0" y="361950"/>
          <a:ext cx="7190476" cy="4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info.ornl.gov/sites/publications/Files/Pub169067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0F2CF-CE7B-4B6B-8626-D5EA55A6BB28}">
  <dimension ref="A1:Q32"/>
  <sheetViews>
    <sheetView tabSelected="1" zoomScale="111" workbookViewId="0">
      <selection activeCell="L16" sqref="L16:L22"/>
    </sheetView>
  </sheetViews>
  <sheetFormatPr defaultRowHeight="14.4" x14ac:dyDescent="0.3"/>
  <cols>
    <col min="1" max="1" width="29.44140625" bestFit="1" customWidth="1"/>
    <col min="2" max="2" width="12.109375" customWidth="1"/>
    <col min="3" max="3" width="8.88671875" style="19" customWidth="1"/>
    <col min="4" max="4" width="12.44140625" style="15" bestFit="1" customWidth="1"/>
    <col min="5" max="5" width="8.88671875" style="8" customWidth="1"/>
    <col min="6" max="6" width="12.44140625" style="6" bestFit="1" customWidth="1"/>
    <col min="7" max="7" width="11.21875" bestFit="1" customWidth="1"/>
    <col min="10" max="10" width="21.88671875" customWidth="1"/>
    <col min="11" max="11" width="9" bestFit="1" customWidth="1"/>
    <col min="12" max="12" width="10.77734375" bestFit="1" customWidth="1"/>
    <col min="13" max="13" width="9" bestFit="1" customWidth="1"/>
    <col min="15" max="15" width="9" bestFit="1" customWidth="1"/>
  </cols>
  <sheetData>
    <row r="1" spans="1:17" x14ac:dyDescent="0.3">
      <c r="A1" s="1" t="s">
        <v>1</v>
      </c>
      <c r="C1" s="16" t="s">
        <v>2</v>
      </c>
      <c r="D1" s="12" t="s">
        <v>3</v>
      </c>
      <c r="E1" s="7" t="s">
        <v>4</v>
      </c>
      <c r="F1" s="5" t="s">
        <v>5</v>
      </c>
      <c r="G1" s="1" t="s">
        <v>18</v>
      </c>
      <c r="J1" s="1" t="s">
        <v>23</v>
      </c>
    </row>
    <row r="2" spans="1:17" x14ac:dyDescent="0.3">
      <c r="B2" s="9" t="s">
        <v>6</v>
      </c>
      <c r="C2" s="17">
        <v>99710000</v>
      </c>
      <c r="D2" s="13">
        <v>70331000</v>
      </c>
      <c r="E2" s="10">
        <v>70331000</v>
      </c>
      <c r="F2" s="21">
        <v>79513000</v>
      </c>
      <c r="G2" s="9" t="s">
        <v>19</v>
      </c>
      <c r="J2" t="s">
        <v>24</v>
      </c>
    </row>
    <row r="3" spans="1:17" x14ac:dyDescent="0.3">
      <c r="B3" s="9" t="s">
        <v>7</v>
      </c>
      <c r="C3" s="17">
        <v>75199</v>
      </c>
      <c r="D3" s="13">
        <v>7881100</v>
      </c>
      <c r="E3" s="10">
        <v>3440100</v>
      </c>
      <c r="F3" s="21">
        <v>5786600</v>
      </c>
      <c r="G3" s="9" t="s">
        <v>20</v>
      </c>
      <c r="J3" t="s">
        <v>46</v>
      </c>
    </row>
    <row r="4" spans="1:17" x14ac:dyDescent="0.3">
      <c r="B4" s="9" t="s">
        <v>8</v>
      </c>
      <c r="C4" s="18">
        <v>5.5800000000000002E-2</v>
      </c>
      <c r="D4" s="14">
        <v>0.2913</v>
      </c>
      <c r="E4" s="11">
        <v>0.3659</v>
      </c>
      <c r="F4" s="22">
        <v>0.28039999999999998</v>
      </c>
      <c r="G4" s="9" t="s">
        <v>21</v>
      </c>
    </row>
    <row r="6" spans="1:17" x14ac:dyDescent="0.3">
      <c r="A6" s="24" t="s">
        <v>9</v>
      </c>
      <c r="B6" s="9" t="s">
        <v>10</v>
      </c>
      <c r="C6" s="17">
        <v>99995000</v>
      </c>
      <c r="D6" s="13">
        <v>95181000</v>
      </c>
      <c r="E6" s="10">
        <v>81250000</v>
      </c>
      <c r="F6" s="21">
        <v>97561000</v>
      </c>
      <c r="G6" s="9" t="s">
        <v>19</v>
      </c>
    </row>
    <row r="7" spans="1:17" x14ac:dyDescent="0.3">
      <c r="A7" s="24"/>
      <c r="B7" s="9" t="s">
        <v>11</v>
      </c>
      <c r="C7" s="17">
        <v>1.0200000000000001E-2</v>
      </c>
      <c r="D7" s="13">
        <v>0.84530000000000005</v>
      </c>
      <c r="E7" s="10">
        <v>0.45279999999999998</v>
      </c>
      <c r="F7" s="21">
        <v>0.60740000000000005</v>
      </c>
      <c r="G7" s="9" t="s">
        <v>21</v>
      </c>
    </row>
    <row r="8" spans="1:17" x14ac:dyDescent="0.3">
      <c r="A8" s="24"/>
      <c r="B8" s="9" t="s">
        <v>12</v>
      </c>
      <c r="C8" s="17">
        <v>0.98829999999999996</v>
      </c>
      <c r="D8" s="13">
        <v>0.4037</v>
      </c>
      <c r="E8" s="10">
        <v>0.31879999999999997</v>
      </c>
      <c r="F8" s="21">
        <v>0.40770000000000001</v>
      </c>
      <c r="G8" s="9" t="s">
        <v>21</v>
      </c>
    </row>
    <row r="9" spans="1:17" x14ac:dyDescent="0.3">
      <c r="A9" s="24"/>
      <c r="B9" s="9" t="s">
        <v>13</v>
      </c>
      <c r="C9" s="17">
        <v>240.21940000000001</v>
      </c>
      <c r="D9" s="13">
        <v>384.82420000000002</v>
      </c>
      <c r="E9" s="10">
        <v>399.82900000000001</v>
      </c>
      <c r="F9" s="21">
        <v>375.21949999999998</v>
      </c>
      <c r="G9" s="9" t="s">
        <v>22</v>
      </c>
    </row>
    <row r="10" spans="1:17" x14ac:dyDescent="0.3">
      <c r="A10" s="24"/>
      <c r="B10" s="9" t="s">
        <v>14</v>
      </c>
      <c r="C10" s="17">
        <v>5</v>
      </c>
      <c r="D10" s="13">
        <v>8</v>
      </c>
      <c r="E10" s="10">
        <v>8</v>
      </c>
      <c r="F10" s="21">
        <v>8</v>
      </c>
      <c r="G10" s="9" t="s">
        <v>21</v>
      </c>
    </row>
    <row r="11" spans="1:17" x14ac:dyDescent="0.3">
      <c r="A11" s="24"/>
      <c r="B11" s="9" t="s">
        <v>15</v>
      </c>
      <c r="C11" s="17">
        <v>8</v>
      </c>
      <c r="D11" s="13">
        <v>8</v>
      </c>
      <c r="E11" s="10">
        <v>8</v>
      </c>
      <c r="F11" s="21">
        <v>7</v>
      </c>
      <c r="G11" s="9" t="s">
        <v>21</v>
      </c>
    </row>
    <row r="12" spans="1:17" x14ac:dyDescent="0.3">
      <c r="A12" s="24"/>
      <c r="B12" s="9" t="s">
        <v>16</v>
      </c>
      <c r="C12" s="17">
        <v>14182</v>
      </c>
      <c r="D12" s="13">
        <v>148171</v>
      </c>
      <c r="E12" s="10">
        <v>76557</v>
      </c>
      <c r="F12" s="21">
        <v>137130</v>
      </c>
      <c r="G12" s="9" t="s">
        <v>21</v>
      </c>
    </row>
    <row r="13" spans="1:17" x14ac:dyDescent="0.3">
      <c r="A13" s="24"/>
      <c r="B13" s="9" t="s">
        <v>17</v>
      </c>
      <c r="C13" s="17">
        <v>13422</v>
      </c>
      <c r="D13" s="13">
        <v>148171</v>
      </c>
      <c r="E13" s="10">
        <v>70760</v>
      </c>
      <c r="F13" s="21">
        <v>103563</v>
      </c>
      <c r="G13" s="9" t="s">
        <v>21</v>
      </c>
    </row>
    <row r="15" spans="1:17" x14ac:dyDescent="0.3">
      <c r="J15" s="1" t="s">
        <v>29</v>
      </c>
      <c r="K15" s="1" t="s">
        <v>26</v>
      </c>
      <c r="L15" s="1" t="s">
        <v>18</v>
      </c>
      <c r="M15" s="1" t="s">
        <v>35</v>
      </c>
      <c r="O15" s="1" t="s">
        <v>35</v>
      </c>
      <c r="Q15" s="1" t="s">
        <v>37</v>
      </c>
    </row>
    <row r="16" spans="1:17" ht="28.8" x14ac:dyDescent="0.3">
      <c r="A16" s="25" t="s">
        <v>30</v>
      </c>
      <c r="B16" s="20" t="s">
        <v>28</v>
      </c>
      <c r="C16" s="17">
        <f>$K$16*C2*365</f>
        <v>7151450475</v>
      </c>
      <c r="D16" s="13">
        <f t="shared" ref="D16:F16" si="0">$K$16*D2*365</f>
        <v>5044315147.5</v>
      </c>
      <c r="E16" s="10">
        <f t="shared" si="0"/>
        <v>5044315147.5</v>
      </c>
      <c r="F16" s="21">
        <f t="shared" si="0"/>
        <v>5702871142.5</v>
      </c>
      <c r="G16" s="9" t="s">
        <v>33</v>
      </c>
      <c r="J16" s="4" t="s">
        <v>25</v>
      </c>
      <c r="K16">
        <v>0.19650000000000001</v>
      </c>
      <c r="L16" s="27" t="s">
        <v>27</v>
      </c>
      <c r="Q16" t="s">
        <v>39</v>
      </c>
    </row>
    <row r="17" spans="1:17" ht="28.8" x14ac:dyDescent="0.3">
      <c r="A17" s="25"/>
      <c r="B17" s="20" t="s">
        <v>31</v>
      </c>
      <c r="C17" s="17">
        <f>$K$17*C3*365</f>
        <v>75755472.599999994</v>
      </c>
      <c r="D17" s="13">
        <f t="shared" ref="D17:F17" si="1">$K$17*D3*365</f>
        <v>7939420140</v>
      </c>
      <c r="E17" s="10">
        <f t="shared" si="1"/>
        <v>3465556740</v>
      </c>
      <c r="F17" s="21">
        <f t="shared" si="1"/>
        <v>5829420839.999999</v>
      </c>
      <c r="G17" s="9" t="s">
        <v>33</v>
      </c>
      <c r="J17" s="4" t="s">
        <v>0</v>
      </c>
      <c r="K17">
        <v>2.76</v>
      </c>
      <c r="L17" s="27" t="s">
        <v>34</v>
      </c>
      <c r="M17">
        <f>K17/100</f>
        <v>2.76E-2</v>
      </c>
      <c r="N17" t="s">
        <v>36</v>
      </c>
      <c r="O17">
        <f>M17*35.315</f>
        <v>0.97469399999999995</v>
      </c>
      <c r="P17" t="s">
        <v>32</v>
      </c>
      <c r="Q17" t="s">
        <v>38</v>
      </c>
    </row>
    <row r="18" spans="1:17" x14ac:dyDescent="0.3">
      <c r="J18" s="4" t="s">
        <v>43</v>
      </c>
      <c r="K18">
        <v>0.57340000000000002</v>
      </c>
      <c r="L18" s="27" t="s">
        <v>45</v>
      </c>
    </row>
    <row r="19" spans="1:17" x14ac:dyDescent="0.3">
      <c r="A19" s="26" t="s">
        <v>44</v>
      </c>
      <c r="B19" s="9" t="s">
        <v>41</v>
      </c>
      <c r="C19" s="17">
        <f>(1.26*2250*600000)*(((C2-((1-C7)*C6))/(24*600000))^1.1)</f>
        <v>64474576.172612622</v>
      </c>
      <c r="D19" s="13">
        <f t="shared" ref="D19:F19" si="2">(1.26*2250*600000)*(((D2-((1-D7)*D6))/(24*600000))^1.1)</f>
        <v>7518716034.6768265</v>
      </c>
      <c r="E19" s="10">
        <f t="shared" si="2"/>
        <v>3240411090.2526498</v>
      </c>
      <c r="F19" s="21">
        <f t="shared" si="2"/>
        <v>5407728014.1432362</v>
      </c>
      <c r="G19" s="9" t="s">
        <v>60</v>
      </c>
      <c r="J19" s="4" t="s">
        <v>47</v>
      </c>
      <c r="K19">
        <v>1</v>
      </c>
      <c r="L19" s="27" t="s">
        <v>21</v>
      </c>
    </row>
    <row r="20" spans="1:17" x14ac:dyDescent="0.3">
      <c r="A20" s="24"/>
      <c r="B20" s="9" t="s">
        <v>40</v>
      </c>
      <c r="C20" s="17">
        <f>34730*(((C2-((1-C7)*C6))/(24*1000))^0.32)*((((C2-((1-C7)*C6))*365)/1000)^0.33)</f>
        <v>6421862.6603203006</v>
      </c>
      <c r="D20" s="13">
        <f t="shared" ref="D20:F20" si="3">34730*(((D2-((1-D7)*D6))/(24*1000))^0.32)*((((D2-((1-D7)*D6))*365)/1000)^0.33)</f>
        <v>106887136.36960621</v>
      </c>
      <c r="E20" s="10">
        <f t="shared" si="3"/>
        <v>65001356.74997355</v>
      </c>
      <c r="F20" s="21">
        <f t="shared" si="3"/>
        <v>87972980.861099914</v>
      </c>
      <c r="G20" s="9" t="s">
        <v>33</v>
      </c>
      <c r="J20" s="4" t="s">
        <v>48</v>
      </c>
      <c r="K20">
        <v>0.79</v>
      </c>
      <c r="L20" s="27" t="s">
        <v>21</v>
      </c>
    </row>
    <row r="21" spans="1:17" x14ac:dyDescent="0.3">
      <c r="A21" s="24"/>
      <c r="B21" s="9" t="s">
        <v>42</v>
      </c>
      <c r="C21" s="17">
        <f>(1.26*(400000000))*(((C3*365)/(100000000))^0.8)</f>
        <v>179157288.25800684</v>
      </c>
      <c r="D21" s="13">
        <f t="shared" ref="D21:F21" si="4">(1.26*(400000000))*(((D3*365)/(100000000))^0.8)</f>
        <v>7405157475.4703932</v>
      </c>
      <c r="E21" s="10">
        <f t="shared" si="4"/>
        <v>3815238410.6619349</v>
      </c>
      <c r="F21" s="21">
        <f t="shared" si="4"/>
        <v>5783671235.8903503</v>
      </c>
      <c r="G21" s="9" t="s">
        <v>60</v>
      </c>
      <c r="J21" s="4" t="s">
        <v>49</v>
      </c>
      <c r="K21">
        <v>1</v>
      </c>
      <c r="L21" s="27" t="s">
        <v>21</v>
      </c>
      <c r="O21" s="2"/>
    </row>
    <row r="22" spans="1:17" x14ac:dyDescent="0.3">
      <c r="A22" s="24"/>
      <c r="B22" s="9" t="s">
        <v>43</v>
      </c>
      <c r="C22" s="17">
        <f>$K$18*C3*365</f>
        <v>15738473.909</v>
      </c>
      <c r="D22" s="13">
        <f>$K$18*D3*365</f>
        <v>1649443300.1000001</v>
      </c>
      <c r="E22" s="10">
        <f>$K$18*E3*365</f>
        <v>719981969.10000002</v>
      </c>
      <c r="F22" s="21">
        <f>$K$18*F3*365</f>
        <v>1211083300.5999999</v>
      </c>
      <c r="G22" s="9" t="s">
        <v>33</v>
      </c>
      <c r="J22" s="4" t="s">
        <v>50</v>
      </c>
      <c r="K22">
        <v>0.56000000000000005</v>
      </c>
      <c r="L22" s="27" t="s">
        <v>21</v>
      </c>
    </row>
    <row r="23" spans="1:17" x14ac:dyDescent="0.3">
      <c r="J23" s="4" t="s">
        <v>53</v>
      </c>
      <c r="K23">
        <v>0.05</v>
      </c>
    </row>
    <row r="24" spans="1:17" x14ac:dyDescent="0.3">
      <c r="A24" s="25" t="s">
        <v>51</v>
      </c>
      <c r="B24" s="9" t="s">
        <v>52</v>
      </c>
      <c r="C24" s="18">
        <f>-(C19+C21)+((C16+C17-C20-C22)*((((1+$K$23)^C25)-1)/($K$23*((1+$K$23)^C25))))</f>
        <v>154.20811361074448</v>
      </c>
      <c r="D24" s="14">
        <f t="shared" ref="D24:F24" si="5">-(D19+D21)+((D16+D17-D20-D22)*((((1+$K$23)^D25)-1)/($K$23*((1+$K$23)^D25))))</f>
        <v>8486.3648719787598</v>
      </c>
      <c r="E24" s="11">
        <f t="shared" si="5"/>
        <v>1705.5586490631104</v>
      </c>
      <c r="F24" s="22">
        <f t="shared" si="5"/>
        <v>5955.9040775299072</v>
      </c>
      <c r="G24" s="9" t="s">
        <v>64</v>
      </c>
      <c r="J24" s="4" t="s">
        <v>56</v>
      </c>
      <c r="K24">
        <v>0</v>
      </c>
    </row>
    <row r="25" spans="1:17" x14ac:dyDescent="0.3">
      <c r="A25" s="25"/>
      <c r="B25" s="9" t="s">
        <v>54</v>
      </c>
      <c r="C25" s="18">
        <v>3.4681889064230129E-2</v>
      </c>
      <c r="D25" s="14">
        <v>1.4095761013345285</v>
      </c>
      <c r="E25" s="11">
        <v>0.95806151064809397</v>
      </c>
      <c r="F25" s="22">
        <v>1.1525588356119716</v>
      </c>
      <c r="G25" s="9" t="s">
        <v>59</v>
      </c>
    </row>
    <row r="26" spans="1:17" x14ac:dyDescent="0.3">
      <c r="A26" s="25"/>
      <c r="B26" s="9" t="s">
        <v>55</v>
      </c>
      <c r="C26" s="18">
        <f>-(($K$19*C19)+($K$20*C21))+((C16+C17-($K$21*C20)-($K$22*C22))*((((1+$K$23)^C27)-1)/($K$23*((1+$K$23)^C27))))</f>
        <v>148.83701741695404</v>
      </c>
      <c r="D26" s="14">
        <f t="shared" ref="D26:F26" si="6">-(($K$19*D19)+($K$20*D21))+((D16+D17-($K$21*D20)-($K$22*D22))*((((1+$K$23)^D27)-1)/($K$23*((1+$K$23)^D27))))</f>
        <v>7513.9940872192383</v>
      </c>
      <c r="E26" s="11">
        <f t="shared" si="6"/>
        <v>2864.0198850631714</v>
      </c>
      <c r="F26" s="22">
        <f t="shared" si="6"/>
        <v>2644.6236038208008</v>
      </c>
      <c r="G26" s="9" t="s">
        <v>64</v>
      </c>
    </row>
    <row r="27" spans="1:17" x14ac:dyDescent="0.3">
      <c r="A27" s="25"/>
      <c r="B27" s="9" t="s">
        <v>54</v>
      </c>
      <c r="C27" s="18">
        <v>2.9294106918852585E-2</v>
      </c>
      <c r="D27" s="14">
        <v>1.1794605059911214</v>
      </c>
      <c r="E27" s="11">
        <v>0.81295153713399482</v>
      </c>
      <c r="F27" s="22">
        <v>0.97237245366462044</v>
      </c>
      <c r="G27" s="9" t="s">
        <v>59</v>
      </c>
      <c r="J27" s="1" t="s">
        <v>65</v>
      </c>
      <c r="K27" s="3"/>
      <c r="L27" s="3"/>
    </row>
    <row r="28" spans="1:17" ht="28.8" x14ac:dyDescent="0.3">
      <c r="A28" s="25"/>
      <c r="B28" s="20" t="s">
        <v>57</v>
      </c>
      <c r="C28" s="18">
        <f>((C25-C27)/C25)*100</f>
        <v>15.534857791049053</v>
      </c>
      <c r="D28" s="14">
        <f t="shared" ref="D28:F28" si="7">((D25-D27)/D25)*100</f>
        <v>16.32516294264234</v>
      </c>
      <c r="E28" s="11">
        <f t="shared" si="7"/>
        <v>15.146206365803955</v>
      </c>
      <c r="F28" s="22">
        <f t="shared" si="7"/>
        <v>15.633595125898973</v>
      </c>
      <c r="G28" s="9" t="s">
        <v>58</v>
      </c>
    </row>
    <row r="29" spans="1:17" x14ac:dyDescent="0.3">
      <c r="J29" s="1"/>
      <c r="K29" s="1"/>
      <c r="L29" s="1"/>
      <c r="N29" s="1"/>
      <c r="O29" s="1"/>
      <c r="P29" s="1"/>
    </row>
    <row r="31" spans="1:17" x14ac:dyDescent="0.3">
      <c r="K31" s="2"/>
      <c r="O31" s="2"/>
    </row>
    <row r="32" spans="1:17" x14ac:dyDescent="0.3">
      <c r="Q32" s="2"/>
    </row>
  </sheetData>
  <mergeCells count="4">
    <mergeCell ref="A6:A13"/>
    <mergeCell ref="A16:A17"/>
    <mergeCell ref="A19:A22"/>
    <mergeCell ref="A24:A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F892B-128D-4866-B50B-10BF835C12E9}">
  <dimension ref="A1:E28"/>
  <sheetViews>
    <sheetView zoomScale="77" workbookViewId="0"/>
  </sheetViews>
  <sheetFormatPr defaultRowHeight="14.4" x14ac:dyDescent="0.3"/>
  <sheetData>
    <row r="1" spans="1:1" x14ac:dyDescent="0.3">
      <c r="A1" s="23" t="s">
        <v>61</v>
      </c>
    </row>
    <row r="28" spans="5:5" x14ac:dyDescent="0.3">
      <c r="E28" t="s">
        <v>63</v>
      </c>
    </row>
  </sheetData>
  <hyperlinks>
    <hyperlink ref="A1" r:id="rId1" xr:uid="{7B17B48C-A742-44DD-8606-030E4B14CDB1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0094B-A2F4-4BAD-9746-A3D47CAD8D31}">
  <dimension ref="A1"/>
  <sheetViews>
    <sheetView zoomScale="81" workbookViewId="0">
      <selection activeCell="G27" sqref="G27"/>
    </sheetView>
  </sheetViews>
  <sheetFormatPr defaultRowHeight="14.4" x14ac:dyDescent="0.3"/>
  <sheetData>
    <row r="1" spans="1:1" x14ac:dyDescent="0.3">
      <c r="A1" t="s">
        <v>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PSH Graphs</vt:lpstr>
      <vt:lpstr>RO Graphs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 Haefner</dc:creator>
  <cp:lastModifiedBy>Matthew W Haefner</cp:lastModifiedBy>
  <dcterms:created xsi:type="dcterms:W3CDTF">2022-11-28T17:42:51Z</dcterms:created>
  <dcterms:modified xsi:type="dcterms:W3CDTF">2022-12-03T13:01:53Z</dcterms:modified>
</cp:coreProperties>
</file>