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charts/chart7.xml" ContentType="application/vnd.openxmlformats-officedocument.drawingml.chart+xml"/>
  <Override PartName="/xl/charts/chart8.xml" ContentType="application/vnd.openxmlformats-officedocument.drawingml.chart+xml"/>
  <Override PartName="/xl/theme/themeOverride7.xml" ContentType="application/vnd.openxmlformats-officedocument.themeOverride+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Y:\PRIMRE\Signature Projects\RMP\for MHKDR\RM3 Technoeconomic\"/>
    </mc:Choice>
  </mc:AlternateContent>
  <xr:revisionPtr revIDLastSave="0" documentId="13_ncr:1_{C8FC6662-2A29-4C69-BD15-7B429FC6C687}" xr6:coauthVersionLast="45" xr6:coauthVersionMax="45" xr10:uidLastSave="{00000000-0000-0000-0000-000000000000}"/>
  <bookViews>
    <workbookView xWindow="-120" yWindow="-120" windowWidth="38640" windowHeight="21240" tabRatio="858" xr2:uid="{00000000-000D-0000-FFFF-FFFF00000000}"/>
  </bookViews>
  <sheets>
    <sheet name="About" sheetId="25" r:id="rId1"/>
    <sheet name="Report Tables" sheetId="26" r:id="rId2"/>
    <sheet name="Report Graphs" sheetId="33" r:id="rId3"/>
    <sheet name="Performance &amp; Economics" sheetId="31" r:id="rId4"/>
    <sheet name="CBS (CoE)" sheetId="23" r:id="rId5"/>
    <sheet name="CBS ($ per kW)" sheetId="22" r:id="rId6"/>
    <sheet name="CBS (Total)" sheetId="1" r:id="rId7"/>
    <sheet name="1.1" sheetId="2" r:id="rId8"/>
    <sheet name="1.2" sheetId="3" r:id="rId9"/>
    <sheet name="1.3" sheetId="5" r:id="rId10"/>
    <sheet name="1.4" sheetId="4" r:id="rId11"/>
    <sheet name="1.5" sheetId="18" r:id="rId12"/>
    <sheet name="1.6" sheetId="7" r:id="rId13"/>
    <sheet name="1.7" sheetId="8" r:id="rId14"/>
    <sheet name="1.8" sheetId="27" r:id="rId15"/>
    <sheet name="1.9" sheetId="28" r:id="rId16"/>
    <sheet name="2.1" sheetId="11" r:id="rId17"/>
    <sheet name="2.2" sheetId="12" r:id="rId18"/>
    <sheet name="2.3" sheetId="13" r:id="rId19"/>
    <sheet name="2.4" sheetId="14" r:id="rId20"/>
    <sheet name="2.5" sheetId="15" r:id="rId21"/>
    <sheet name="2.6" sheetId="16" r:id="rId22"/>
  </sheets>
  <externalReferences>
    <externalReference r:id="rId23"/>
    <externalReference r:id="rId24"/>
    <externalReference r:id="rId25"/>
    <externalReference r:id="rId26"/>
  </externalReferences>
  <definedNames>
    <definedName name="AnnArrayOMCost">#REF!</definedName>
    <definedName name="AnnArrayOutput">#REF!</definedName>
    <definedName name="ArrayInstalledCost">#REF!</definedName>
    <definedName name="Avail">[1]Master!$K$6</definedName>
    <definedName name="Availability">#REF!</definedName>
    <definedName name="AvgCurrentSpeedSurface">#REF!</definedName>
    <definedName name="AvgPowerFluxSurface">#REF!</definedName>
    <definedName name="AvgProgRatio">#REF!</definedName>
    <definedName name="CableLen">[1]Master!$K$11</definedName>
    <definedName name="Capex">#REF!</definedName>
    <definedName name="CapFactor">#REF!</definedName>
    <definedName name="Clearance">#REF!</definedName>
    <definedName name="COEReal">#REF!</definedName>
    <definedName name="CRF">#REF!</definedName>
    <definedName name="CurrentSenario">#REF!</definedName>
    <definedName name="CutinSpeed">[1]Master!$E$12</definedName>
    <definedName name="DeviceOrientation">#REF!</definedName>
    <definedName name="DuctClearance">#REF!</definedName>
    <definedName name="Grid">#REF!</definedName>
    <definedName name="HubHeight">[1]Master!$E$10</definedName>
    <definedName name="IRR">#REF!</definedName>
    <definedName name="JnctBox">[1]Master!$K$13</definedName>
    <definedName name="MonoSep">[1]Master!$K$4</definedName>
    <definedName name="nomdisc">#REF!</definedName>
    <definedName name="Nominal_CR">[1]Master!$T$5</definedName>
    <definedName name="NumTurbines">#REF!</definedName>
    <definedName name="ProgRatio">#REF!</definedName>
    <definedName name="RatedSpeed">#REF!</definedName>
    <definedName name="Real_CR">[1]Master!$T$4</definedName>
    <definedName name="realdisc">#REF!</definedName>
    <definedName name="RefCurrency">#REF!</definedName>
    <definedName name="RefYear">#REF!</definedName>
    <definedName name="rho">[2]Master!$B$2</definedName>
    <definedName name="RotorD">#REF!</definedName>
    <definedName name="RotorEff">[1]Master!$E$11</definedName>
    <definedName name="S1_ValueName1">#REF!</definedName>
    <definedName name="Senarios">#REF!</definedName>
    <definedName name="ShoreProtect">#REF!</definedName>
    <definedName name="Site_Selection">[3]Inputs!$E$10</definedName>
    <definedName name="Site_Spectral_Parameter">[3]Inputs!$E$11</definedName>
    <definedName name="solver_cvg" localSheetId="3" hidden="1">0.0001</definedName>
    <definedName name="solver_drv" localSheetId="3" hidden="1">1</definedName>
    <definedName name="solver_est" localSheetId="3" hidden="1">1</definedName>
    <definedName name="solver_itr" localSheetId="3" hidden="1">100</definedName>
    <definedName name="solver_lhs1" localSheetId="3" hidden="1">'Performance &amp; Economics'!#REF!</definedName>
    <definedName name="solver_lhs2" localSheetId="3" hidden="1">'Performance &amp; Economics'!#REF!</definedName>
    <definedName name="solver_lin" localSheetId="3" hidden="1">2</definedName>
    <definedName name="solver_neg" localSheetId="3" hidden="1">2</definedName>
    <definedName name="solver_num" localSheetId="3" hidden="1">0</definedName>
    <definedName name="solver_nwt" localSheetId="3" hidden="1">1</definedName>
    <definedName name="solver_pre" localSheetId="3" hidden="1">0.001</definedName>
    <definedName name="solver_rel1" localSheetId="3" hidden="1">1</definedName>
    <definedName name="solver_rel2" localSheetId="3" hidden="1">3</definedName>
    <definedName name="solver_rhs1" localSheetId="3" hidden="1">360</definedName>
    <definedName name="solver_rhs2" localSheetId="3" hidden="1">0</definedName>
    <definedName name="solver_scl" localSheetId="3" hidden="1">2</definedName>
    <definedName name="solver_sho" localSheetId="3" hidden="1">2</definedName>
    <definedName name="solver_tim" localSheetId="3" hidden="1">100</definedName>
    <definedName name="solver_tol" localSheetId="3" hidden="1">0.05</definedName>
    <definedName name="solver_typ" localSheetId="3" hidden="1">1</definedName>
    <definedName name="solver_val" localSheetId="3" hidden="1">0</definedName>
    <definedName name="SVTable1">#REF!</definedName>
    <definedName name="TranUpgrade">#REF!</definedName>
    <definedName name="TrenchDist">[1]Master!$K$9</definedName>
    <definedName name="TurbineCapital">#REF!</definedName>
    <definedName name="VelFactor">#REF!</definedName>
    <definedName name="WaterDept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8" i="18" l="1"/>
  <c r="K29" i="18"/>
  <c r="K30" i="18"/>
  <c r="K31" i="18"/>
  <c r="K32" i="18"/>
  <c r="K33" i="18"/>
  <c r="K34" i="18"/>
  <c r="K35" i="18"/>
  <c r="K36" i="18"/>
  <c r="K37" i="18"/>
  <c r="K38" i="18"/>
  <c r="K39" i="18"/>
  <c r="K40" i="18"/>
  <c r="K41" i="18"/>
  <c r="K42" i="18"/>
  <c r="L4" i="18" s="1"/>
  <c r="K43" i="18"/>
  <c r="K44" i="18"/>
  <c r="K45" i="18"/>
  <c r="K46" i="18"/>
  <c r="K47" i="18"/>
  <c r="K48" i="18"/>
  <c r="K56" i="18"/>
  <c r="K57" i="18"/>
  <c r="K58" i="18"/>
  <c r="K59" i="18"/>
  <c r="K60" i="18"/>
  <c r="K61" i="18"/>
  <c r="K62" i="18"/>
  <c r="K63" i="18"/>
  <c r="K64" i="18"/>
  <c r="K65" i="18"/>
  <c r="K66" i="18"/>
  <c r="K67" i="18"/>
  <c r="K68" i="18"/>
  <c r="K69" i="18"/>
  <c r="K70" i="18"/>
  <c r="K71" i="18"/>
  <c r="K72" i="18"/>
  <c r="K73" i="18"/>
  <c r="K74" i="18"/>
  <c r="K75" i="18"/>
  <c r="K76" i="18"/>
  <c r="J55" i="18"/>
  <c r="K55" i="18" s="1"/>
  <c r="J27" i="18" l="1"/>
  <c r="K27" i="18" s="1"/>
  <c r="E57" i="4" l="1"/>
  <c r="F45" i="4"/>
  <c r="G10" i="18"/>
  <c r="G11" i="18"/>
  <c r="G46" i="18"/>
  <c r="F10" i="18"/>
  <c r="F11" i="18"/>
  <c r="H76" i="18"/>
  <c r="F12" i="18" s="1"/>
  <c r="F46" i="4" l="1"/>
  <c r="H4" i="16"/>
  <c r="E4" i="16"/>
  <c r="D12" i="16"/>
  <c r="F4" i="16" s="1"/>
  <c r="D78" i="15"/>
  <c r="G74" i="18"/>
  <c r="G73" i="18"/>
  <c r="G72" i="18"/>
  <c r="G71" i="18"/>
  <c r="H76" i="15"/>
  <c r="G76" i="15" s="1"/>
  <c r="H75" i="15"/>
  <c r="I75" i="15" s="1"/>
  <c r="H74" i="15"/>
  <c r="H72" i="15"/>
  <c r="I72" i="15" s="1"/>
  <c r="G72" i="15"/>
  <c r="H71" i="15"/>
  <c r="I71" i="15" s="1"/>
  <c r="H70" i="15"/>
  <c r="I70" i="15" s="1"/>
  <c r="H67" i="15"/>
  <c r="I67" i="15" s="1"/>
  <c r="H62" i="15"/>
  <c r="G62" i="15" s="1"/>
  <c r="H61" i="15"/>
  <c r="G61" i="15" s="1"/>
  <c r="H60" i="15"/>
  <c r="G60" i="15"/>
  <c r="H59" i="15"/>
  <c r="G59" i="15" s="1"/>
  <c r="D50" i="15"/>
  <c r="E32" i="15"/>
  <c r="D52" i="15" s="1"/>
  <c r="H52" i="15"/>
  <c r="H51" i="15"/>
  <c r="I51" i="15" s="1"/>
  <c r="H50" i="15"/>
  <c r="G50" i="15"/>
  <c r="H48" i="15"/>
  <c r="I48" i="15" s="1"/>
  <c r="H47" i="15"/>
  <c r="H46" i="15"/>
  <c r="I46" i="15" s="1"/>
  <c r="H43" i="15"/>
  <c r="I43" i="15" s="1"/>
  <c r="H38" i="15"/>
  <c r="H37" i="15"/>
  <c r="H36" i="15"/>
  <c r="H35" i="15"/>
  <c r="H26" i="15"/>
  <c r="G26" i="15" s="1"/>
  <c r="H27" i="15"/>
  <c r="I27" i="15" s="1"/>
  <c r="H28" i="15"/>
  <c r="G28" i="15" s="1"/>
  <c r="G47" i="18"/>
  <c r="H47" i="18" s="1"/>
  <c r="H46" i="18"/>
  <c r="G50" i="18"/>
  <c r="H45" i="18"/>
  <c r="G8" i="18" s="1"/>
  <c r="H12" i="15"/>
  <c r="H13" i="15"/>
  <c r="G13" i="15" s="1"/>
  <c r="H14" i="15"/>
  <c r="G14" i="15" s="1"/>
  <c r="H19" i="15"/>
  <c r="I19" i="15" s="1"/>
  <c r="H22" i="15"/>
  <c r="G22" i="15" s="1"/>
  <c r="H23" i="15"/>
  <c r="G23" i="15" s="1"/>
  <c r="H24" i="15"/>
  <c r="I24" i="15" s="1"/>
  <c r="H11" i="15"/>
  <c r="I11" i="15" s="1"/>
  <c r="D46" i="13"/>
  <c r="D63" i="13" s="1"/>
  <c r="D65" i="13" s="1"/>
  <c r="D68" i="13" s="1"/>
  <c r="E68" i="13" s="1"/>
  <c r="F68" i="13" s="1"/>
  <c r="G68" i="13" s="1"/>
  <c r="D52" i="13"/>
  <c r="D55" i="13" s="1"/>
  <c r="D33" i="13"/>
  <c r="D36" i="13" s="1"/>
  <c r="F69" i="13" s="1"/>
  <c r="D26" i="13"/>
  <c r="D69" i="13" s="1"/>
  <c r="D17" i="13"/>
  <c r="D56" i="13" s="1"/>
  <c r="E63" i="3"/>
  <c r="C18" i="14"/>
  <c r="C19" i="14"/>
  <c r="M15" i="14"/>
  <c r="Q13" i="14"/>
  <c r="R13" i="14" s="1"/>
  <c r="N13" i="14"/>
  <c r="O13" i="14" s="1"/>
  <c r="P13" i="14" s="1"/>
  <c r="Q12" i="14"/>
  <c r="R12" i="14" s="1"/>
  <c r="N12" i="14"/>
  <c r="O12" i="14" s="1"/>
  <c r="P12" i="14" s="1"/>
  <c r="N11" i="14"/>
  <c r="O11" i="14" s="1"/>
  <c r="P11" i="14" s="1"/>
  <c r="Q11" i="14" s="1"/>
  <c r="R11" i="14" s="1"/>
  <c r="R15" i="14" s="1"/>
  <c r="E4" i="14" s="1"/>
  <c r="N10" i="14"/>
  <c r="O10" i="14" s="1"/>
  <c r="C21" i="14" l="1"/>
  <c r="G4" i="16"/>
  <c r="G71" i="15"/>
  <c r="G9" i="18"/>
  <c r="G75" i="18"/>
  <c r="H75" i="18" s="1"/>
  <c r="F9" i="18" s="1"/>
  <c r="H73" i="18"/>
  <c r="H74" i="18"/>
  <c r="F13" i="18" s="1"/>
  <c r="G13" i="18"/>
  <c r="F8" i="18"/>
  <c r="I59" i="15"/>
  <c r="I78" i="15" s="1"/>
  <c r="G70" i="15"/>
  <c r="G78" i="15" s="1"/>
  <c r="G86" i="15" s="1"/>
  <c r="H5" i="15" s="1"/>
  <c r="G75" i="15"/>
  <c r="G74" i="15"/>
  <c r="G52" i="15"/>
  <c r="H78" i="15"/>
  <c r="G67" i="15"/>
  <c r="D44" i="15"/>
  <c r="D43" i="15"/>
  <c r="G43" i="15" s="1"/>
  <c r="G11" i="15"/>
  <c r="D40" i="15"/>
  <c r="D48" i="15"/>
  <c r="G48" i="15" s="1"/>
  <c r="D38" i="15"/>
  <c r="G38" i="15" s="1"/>
  <c r="D47" i="15"/>
  <c r="G47" i="15" s="1"/>
  <c r="D37" i="15"/>
  <c r="G37" i="15" s="1"/>
  <c r="D46" i="15"/>
  <c r="G46" i="15" s="1"/>
  <c r="D36" i="15"/>
  <c r="G36" i="15" s="1"/>
  <c r="D39" i="15"/>
  <c r="D45" i="15"/>
  <c r="D42" i="15"/>
  <c r="D35" i="15"/>
  <c r="G35" i="15" s="1"/>
  <c r="D41" i="15"/>
  <c r="H54" i="15"/>
  <c r="I47" i="15"/>
  <c r="I35" i="15"/>
  <c r="I54" i="15" s="1"/>
  <c r="G19" i="15"/>
  <c r="H30" i="15"/>
  <c r="I22" i="15"/>
  <c r="I23" i="15"/>
  <c r="G24" i="15"/>
  <c r="G12" i="15"/>
  <c r="D70" i="13"/>
  <c r="F56" i="13"/>
  <c r="E56" i="13"/>
  <c r="D57" i="13"/>
  <c r="G55" i="13"/>
  <c r="E55" i="13"/>
  <c r="F55" i="13"/>
  <c r="E69" i="13"/>
  <c r="O15" i="14"/>
  <c r="H4" i="14" s="1"/>
  <c r="P10" i="14"/>
  <c r="G78" i="18" l="1"/>
  <c r="D80" i="15"/>
  <c r="I30" i="15"/>
  <c r="E57" i="13"/>
  <c r="D72" i="13"/>
  <c r="F5" i="13" s="1"/>
  <c r="G56" i="13"/>
  <c r="G57" i="13" s="1"/>
  <c r="F57" i="13"/>
  <c r="E70" i="13"/>
  <c r="P15" i="14"/>
  <c r="G4" i="14" s="1"/>
  <c r="Q10" i="14"/>
  <c r="Q15" i="14" s="1"/>
  <c r="F4" i="14" s="1"/>
  <c r="E72" i="13" l="1"/>
  <c r="G5" i="13" s="1"/>
  <c r="F70" i="13"/>
  <c r="F72" i="13" s="1"/>
  <c r="H5" i="13" s="1"/>
  <c r="G69" i="13"/>
  <c r="G70" i="13" s="1"/>
  <c r="G72" i="13" s="1"/>
  <c r="I5" i="13" s="1"/>
  <c r="E65" i="3" l="1"/>
  <c r="D65" i="3"/>
  <c r="F63" i="3"/>
  <c r="F65" i="3" s="1"/>
  <c r="I27" i="23"/>
  <c r="P23" i="1"/>
  <c r="N23" i="1"/>
  <c r="L23" i="1"/>
  <c r="J23" i="1"/>
  <c r="D22" i="1"/>
  <c r="D23" i="1"/>
  <c r="D21" i="1"/>
  <c r="E6" i="5"/>
  <c r="J21" i="1" s="1"/>
  <c r="E34" i="5"/>
  <c r="H96" i="8"/>
  <c r="K96" i="8"/>
  <c r="N96" i="8"/>
  <c r="P94" i="8"/>
  <c r="P93" i="8"/>
  <c r="P96" i="8" s="1"/>
  <c r="I9" i="8" s="1"/>
  <c r="M94" i="8"/>
  <c r="M93" i="8"/>
  <c r="J94" i="8"/>
  <c r="J93" i="8"/>
  <c r="J92" i="8"/>
  <c r="G93" i="8"/>
  <c r="E94" i="8"/>
  <c r="E96" i="8" s="1"/>
  <c r="F94" i="8"/>
  <c r="G94" i="8" s="1"/>
  <c r="N75" i="8"/>
  <c r="P75" i="8" s="1"/>
  <c r="P77" i="8"/>
  <c r="P73" i="8"/>
  <c r="P72" i="8"/>
  <c r="P71" i="8"/>
  <c r="K74" i="8"/>
  <c r="M74" i="8" s="1"/>
  <c r="M77" i="8"/>
  <c r="M75" i="8"/>
  <c r="M73" i="8"/>
  <c r="M72" i="8"/>
  <c r="M71" i="8"/>
  <c r="E77" i="8"/>
  <c r="G77" i="8" s="1"/>
  <c r="G71" i="8"/>
  <c r="I71" i="8"/>
  <c r="J71" i="8" s="1"/>
  <c r="G75" i="8"/>
  <c r="G74" i="8"/>
  <c r="G73" i="8"/>
  <c r="G72" i="8"/>
  <c r="I77" i="8"/>
  <c r="J77" i="8" s="1"/>
  <c r="I75" i="8"/>
  <c r="J75" i="8" s="1"/>
  <c r="I74" i="8"/>
  <c r="J74" i="8" s="1"/>
  <c r="I73" i="8"/>
  <c r="J73" i="8" s="1"/>
  <c r="I72" i="8"/>
  <c r="J72" i="8" s="1"/>
  <c r="H79" i="8"/>
  <c r="M47" i="8"/>
  <c r="P47" i="8" s="1"/>
  <c r="O45" i="8"/>
  <c r="K49" i="8"/>
  <c r="N49" i="8" s="1"/>
  <c r="P49" i="8" s="1"/>
  <c r="K50" i="8"/>
  <c r="M50" i="8" s="1"/>
  <c r="K48" i="8"/>
  <c r="M48" i="8" s="1"/>
  <c r="L45" i="8"/>
  <c r="H52" i="8"/>
  <c r="J49" i="8"/>
  <c r="J50" i="8"/>
  <c r="J48" i="8"/>
  <c r="I45" i="8"/>
  <c r="J96" i="8" l="1"/>
  <c r="M96" i="8"/>
  <c r="H9" i="8" s="1"/>
  <c r="G96" i="8"/>
  <c r="K79" i="8"/>
  <c r="G63" i="3"/>
  <c r="G65" i="3" s="1"/>
  <c r="H104" i="8"/>
  <c r="I104" i="8"/>
  <c r="M49" i="8"/>
  <c r="M52" i="8" s="1"/>
  <c r="H7" i="8" s="1"/>
  <c r="N74" i="8"/>
  <c r="N79" i="8" s="1"/>
  <c r="K52" i="8"/>
  <c r="J52" i="8"/>
  <c r="G7" i="8" s="1"/>
  <c r="E79" i="8"/>
  <c r="P74" i="8"/>
  <c r="P79" i="8" s="1"/>
  <c r="I8" i="8" s="1"/>
  <c r="M79" i="8"/>
  <c r="H8" i="8" s="1"/>
  <c r="J79" i="8"/>
  <c r="G8" i="8" s="1"/>
  <c r="G79" i="8"/>
  <c r="F8" i="8" s="1"/>
  <c r="N48" i="8"/>
  <c r="N50" i="8"/>
  <c r="P50" i="8" s="1"/>
  <c r="P48" i="8"/>
  <c r="P52" i="8" s="1"/>
  <c r="I7" i="8" s="1"/>
  <c r="F9" i="8" l="1"/>
  <c r="F104" i="8"/>
  <c r="G9" i="8"/>
  <c r="G104" i="8"/>
  <c r="N52" i="8"/>
  <c r="E52" i="8" l="1"/>
  <c r="G49" i="8"/>
  <c r="G50" i="8"/>
  <c r="G48" i="8"/>
  <c r="G52" i="8" s="1"/>
  <c r="F7" i="8" s="1"/>
  <c r="F45" i="8"/>
  <c r="H34" i="8"/>
  <c r="H6" i="8" s="1"/>
  <c r="G6" i="8"/>
  <c r="F6" i="8"/>
  <c r="I6" i="8"/>
  <c r="F20" i="8"/>
  <c r="I17" i="8"/>
  <c r="I20" i="8" s="1"/>
  <c r="H17" i="8"/>
  <c r="H20" i="8" s="1"/>
  <c r="G17" i="8"/>
  <c r="G20" i="8" s="1"/>
  <c r="H56" i="18" l="1"/>
  <c r="H57" i="18"/>
  <c r="H58" i="18"/>
  <c r="H59" i="18"/>
  <c r="H60" i="18"/>
  <c r="H61" i="18"/>
  <c r="F6" i="18" s="1"/>
  <c r="H62" i="18"/>
  <c r="H63" i="18"/>
  <c r="H64" i="18"/>
  <c r="H65" i="18"/>
  <c r="H66" i="18"/>
  <c r="H67" i="18"/>
  <c r="H68" i="18"/>
  <c r="F16" i="18" s="1"/>
  <c r="H69" i="18"/>
  <c r="F15" i="18" s="1"/>
  <c r="H70" i="18"/>
  <c r="F4" i="18" s="1"/>
  <c r="H55" i="18"/>
  <c r="F5" i="18" s="1"/>
  <c r="H28" i="18"/>
  <c r="H29" i="18"/>
  <c r="H30" i="18"/>
  <c r="G12" i="18" s="1"/>
  <c r="J12" i="18" s="1"/>
  <c r="H31" i="18"/>
  <c r="H32" i="18"/>
  <c r="H33" i="18"/>
  <c r="G6" i="18" s="1"/>
  <c r="H34" i="18"/>
  <c r="H35" i="18"/>
  <c r="H36" i="18"/>
  <c r="H37" i="18"/>
  <c r="H38" i="18"/>
  <c r="H39" i="18"/>
  <c r="H40" i="18"/>
  <c r="G16" i="18" s="1"/>
  <c r="H41" i="18"/>
  <c r="G15" i="18" s="1"/>
  <c r="H42" i="18"/>
  <c r="H43" i="18"/>
  <c r="G7" i="18" s="1"/>
  <c r="H44" i="18"/>
  <c r="H27" i="18"/>
  <c r="G5" i="18" l="1"/>
  <c r="G14" i="18"/>
  <c r="H72" i="18"/>
  <c r="F14" i="18" s="1"/>
  <c r="G4" i="18"/>
  <c r="J4" i="18" s="1"/>
  <c r="H71" i="18"/>
  <c r="F7" i="18" s="1"/>
  <c r="H50" i="18"/>
  <c r="H4" i="18" l="1"/>
  <c r="F19" i="18"/>
  <c r="H78" i="18"/>
  <c r="E44" i="5"/>
  <c r="E7" i="5" s="1"/>
  <c r="J22" i="1" s="1"/>
  <c r="E27" i="5"/>
  <c r="E5" i="5" s="1"/>
  <c r="E20" i="5"/>
  <c r="E4" i="5" s="1"/>
  <c r="F32" i="5"/>
  <c r="F6" i="5" s="1"/>
  <c r="L21" i="1" s="1"/>
  <c r="F17" i="5"/>
  <c r="G17" i="5" s="1"/>
  <c r="H17" i="5" s="1"/>
  <c r="F18" i="5"/>
  <c r="G18" i="5" s="1"/>
  <c r="H18" i="5" s="1"/>
  <c r="F39" i="5"/>
  <c r="G39" i="5" s="1"/>
  <c r="H39" i="5" s="1"/>
  <c r="F40" i="5"/>
  <c r="G40" i="5" s="1"/>
  <c r="H40" i="5" s="1"/>
  <c r="F41" i="5"/>
  <c r="G41" i="5" s="1"/>
  <c r="H41" i="5" s="1"/>
  <c r="F42" i="5"/>
  <c r="G42" i="5" s="1"/>
  <c r="H42" i="5" s="1"/>
  <c r="F25" i="5"/>
  <c r="G25" i="5" s="1"/>
  <c r="H25" i="5" s="1"/>
  <c r="H27" i="5" s="1"/>
  <c r="F16" i="5"/>
  <c r="G16" i="5" s="1"/>
  <c r="H16" i="5" s="1"/>
  <c r="G32" i="5" l="1"/>
  <c r="F34" i="5"/>
  <c r="H44" i="5"/>
  <c r="H7" i="5" s="1"/>
  <c r="P22" i="1" s="1"/>
  <c r="G20" i="5"/>
  <c r="F20" i="5"/>
  <c r="F44" i="5"/>
  <c r="F7" i="5" s="1"/>
  <c r="L22" i="1" s="1"/>
  <c r="G27" i="5"/>
  <c r="F27" i="5"/>
  <c r="G44" i="5"/>
  <c r="G7" i="5" s="1"/>
  <c r="N22" i="1" s="1"/>
  <c r="H32" i="5"/>
  <c r="H6" i="5" s="1"/>
  <c r="P21" i="1" s="1"/>
  <c r="E28" i="3"/>
  <c r="E29" i="3" s="1"/>
  <c r="E37" i="3" s="1"/>
  <c r="F28" i="3"/>
  <c r="F29" i="3" s="1"/>
  <c r="F37" i="3" s="1"/>
  <c r="G28" i="3"/>
  <c r="G29" i="3" s="1"/>
  <c r="G37" i="3" s="1"/>
  <c r="D28" i="3"/>
  <c r="D29" i="3" s="1"/>
  <c r="D37" i="3" s="1"/>
  <c r="G24" i="3"/>
  <c r="G25" i="3" s="1"/>
  <c r="G36" i="3" s="1"/>
  <c r="F24" i="3"/>
  <c r="F25" i="3" s="1"/>
  <c r="F36" i="3" s="1"/>
  <c r="D25" i="3"/>
  <c r="D36" i="3" s="1"/>
  <c r="E25" i="3"/>
  <c r="E36" i="3" s="1"/>
  <c r="E19" i="3"/>
  <c r="E20" i="3" s="1"/>
  <c r="F19" i="3"/>
  <c r="F20" i="3" s="1"/>
  <c r="G19" i="3"/>
  <c r="G20" i="3" s="1"/>
  <c r="D19" i="3"/>
  <c r="D20" i="3" s="1"/>
  <c r="G34" i="5" l="1"/>
  <c r="G6" i="5"/>
  <c r="N21" i="1" s="1"/>
  <c r="H20" i="5"/>
  <c r="H34" i="5"/>
  <c r="G39" i="3"/>
  <c r="E39" i="3"/>
  <c r="D39" i="3"/>
  <c r="F39" i="3"/>
  <c r="H4" i="3" l="1"/>
  <c r="G45" i="3"/>
  <c r="G47" i="3" s="1"/>
  <c r="F45" i="3"/>
  <c r="F47" i="3" s="1"/>
  <c r="G4" i="3"/>
  <c r="E45" i="3"/>
  <c r="E47" i="3" s="1"/>
  <c r="F4" i="3"/>
  <c r="E4" i="3"/>
  <c r="D45" i="3"/>
  <c r="D47" i="3" s="1"/>
  <c r="H28" i="2"/>
  <c r="H30" i="2"/>
  <c r="H27" i="2"/>
  <c r="P17" i="1" l="1"/>
  <c r="N17" i="1"/>
  <c r="L17" i="1"/>
  <c r="J17" i="1"/>
  <c r="S15" i="31"/>
  <c r="F49" i="31"/>
  <c r="G49" i="31"/>
  <c r="H49" i="31"/>
  <c r="I49" i="31"/>
  <c r="J49" i="31"/>
  <c r="K49" i="31"/>
  <c r="L49" i="31"/>
  <c r="M49" i="31"/>
  <c r="N49" i="31"/>
  <c r="O49" i="31"/>
  <c r="P49" i="31"/>
  <c r="Q49" i="31"/>
  <c r="R49" i="31"/>
  <c r="S49" i="31"/>
  <c r="T49" i="31"/>
  <c r="F50" i="31"/>
  <c r="G50" i="31"/>
  <c r="H50" i="31"/>
  <c r="I50" i="31"/>
  <c r="J50" i="31"/>
  <c r="K50" i="31"/>
  <c r="L50" i="31"/>
  <c r="M50" i="31"/>
  <c r="N50" i="31"/>
  <c r="O50" i="31"/>
  <c r="P50" i="31"/>
  <c r="Q50" i="31"/>
  <c r="R50" i="31"/>
  <c r="S50" i="31"/>
  <c r="T50" i="31"/>
  <c r="F51" i="31"/>
  <c r="G51" i="31"/>
  <c r="H51" i="31"/>
  <c r="I51" i="31"/>
  <c r="J51" i="31"/>
  <c r="K51" i="31"/>
  <c r="L51" i="31"/>
  <c r="M51" i="31"/>
  <c r="N51" i="31"/>
  <c r="O51" i="31"/>
  <c r="P51" i="31"/>
  <c r="Q51" i="31"/>
  <c r="R51" i="31"/>
  <c r="S51" i="31"/>
  <c r="T51" i="31"/>
  <c r="F52" i="31"/>
  <c r="G52" i="31"/>
  <c r="H52" i="31"/>
  <c r="I52" i="31"/>
  <c r="J52" i="31"/>
  <c r="K52" i="31"/>
  <c r="L52" i="31"/>
  <c r="M52" i="31"/>
  <c r="N52" i="31"/>
  <c r="O52" i="31"/>
  <c r="P52" i="31"/>
  <c r="Q52" i="31"/>
  <c r="R52" i="31"/>
  <c r="S52" i="31"/>
  <c r="T52" i="31"/>
  <c r="F53" i="31"/>
  <c r="G53" i="31"/>
  <c r="H53" i="31"/>
  <c r="I53" i="31"/>
  <c r="J53" i="31"/>
  <c r="K53" i="31"/>
  <c r="L53" i="31"/>
  <c r="M53" i="31"/>
  <c r="N53" i="31"/>
  <c r="O53" i="31"/>
  <c r="P53" i="31"/>
  <c r="Q53" i="31"/>
  <c r="R53" i="31"/>
  <c r="S53" i="31"/>
  <c r="T53" i="31"/>
  <c r="F54" i="31"/>
  <c r="G54" i="31"/>
  <c r="H54" i="31"/>
  <c r="I54" i="31"/>
  <c r="J54" i="31"/>
  <c r="K54" i="31"/>
  <c r="L54" i="31"/>
  <c r="M54" i="31"/>
  <c r="N54" i="31"/>
  <c r="O54" i="31"/>
  <c r="P54" i="31"/>
  <c r="Q54" i="31"/>
  <c r="R54" i="31"/>
  <c r="S54" i="31"/>
  <c r="T54" i="31"/>
  <c r="F55" i="31"/>
  <c r="G55" i="31"/>
  <c r="H55" i="31"/>
  <c r="I55" i="31"/>
  <c r="J55" i="31"/>
  <c r="K55" i="31"/>
  <c r="L55" i="31"/>
  <c r="M55" i="31"/>
  <c r="N55" i="31"/>
  <c r="O55" i="31"/>
  <c r="P55" i="31"/>
  <c r="Q55" i="31"/>
  <c r="R55" i="31"/>
  <c r="S55" i="31"/>
  <c r="T55" i="31"/>
  <c r="F56" i="31"/>
  <c r="G56" i="31"/>
  <c r="H56" i="31"/>
  <c r="I56" i="31"/>
  <c r="J56" i="31"/>
  <c r="K56" i="31"/>
  <c r="L56" i="31"/>
  <c r="M56" i="31"/>
  <c r="N56" i="31"/>
  <c r="O56" i="31"/>
  <c r="P56" i="31"/>
  <c r="Q56" i="31"/>
  <c r="R56" i="31"/>
  <c r="S56" i="31"/>
  <c r="T56" i="31"/>
  <c r="F57" i="31"/>
  <c r="G57" i="31"/>
  <c r="H57" i="31"/>
  <c r="I57" i="31"/>
  <c r="J57" i="31"/>
  <c r="K57" i="31"/>
  <c r="L57" i="31"/>
  <c r="M57" i="31"/>
  <c r="N57" i="31"/>
  <c r="O57" i="31"/>
  <c r="P57" i="31"/>
  <c r="Q57" i="31"/>
  <c r="R57" i="31"/>
  <c r="S57" i="31"/>
  <c r="T57" i="31"/>
  <c r="F58" i="31"/>
  <c r="G58" i="31"/>
  <c r="H58" i="31"/>
  <c r="I58" i="31"/>
  <c r="J58" i="31"/>
  <c r="K58" i="31"/>
  <c r="L58" i="31"/>
  <c r="M58" i="31"/>
  <c r="N58" i="31"/>
  <c r="O58" i="31"/>
  <c r="P58" i="31"/>
  <c r="Q58" i="31"/>
  <c r="R58" i="31"/>
  <c r="S58" i="31"/>
  <c r="T58" i="31"/>
  <c r="F59" i="31"/>
  <c r="G59" i="31"/>
  <c r="H59" i="31"/>
  <c r="I59" i="31"/>
  <c r="J59" i="31"/>
  <c r="K59" i="31"/>
  <c r="L59" i="31"/>
  <c r="M59" i="31"/>
  <c r="N59" i="31"/>
  <c r="O59" i="31"/>
  <c r="P59" i="31"/>
  <c r="Q59" i="31"/>
  <c r="R59" i="31"/>
  <c r="S59" i="31"/>
  <c r="T59" i="31"/>
  <c r="F60" i="31"/>
  <c r="G60" i="31"/>
  <c r="H60" i="31"/>
  <c r="I60" i="31"/>
  <c r="J60" i="31"/>
  <c r="K60" i="31"/>
  <c r="L60" i="31"/>
  <c r="M60" i="31"/>
  <c r="N60" i="31"/>
  <c r="O60" i="31"/>
  <c r="P60" i="31"/>
  <c r="Q60" i="31"/>
  <c r="R60" i="31"/>
  <c r="S60" i="31"/>
  <c r="T60" i="31"/>
  <c r="F61" i="31"/>
  <c r="G61" i="31"/>
  <c r="H61" i="31"/>
  <c r="I61" i="31"/>
  <c r="J61" i="31"/>
  <c r="K61" i="31"/>
  <c r="L61" i="31"/>
  <c r="M61" i="31"/>
  <c r="N61" i="31"/>
  <c r="O61" i="31"/>
  <c r="P61" i="31"/>
  <c r="Q61" i="31"/>
  <c r="R61" i="31"/>
  <c r="S61" i="31"/>
  <c r="T61" i="31"/>
  <c r="F62" i="31"/>
  <c r="G62" i="31"/>
  <c r="H62" i="31"/>
  <c r="I62" i="31"/>
  <c r="J62" i="31"/>
  <c r="K62" i="31"/>
  <c r="L62" i="31"/>
  <c r="M62" i="31"/>
  <c r="N62" i="31"/>
  <c r="O62" i="31"/>
  <c r="P62" i="31"/>
  <c r="Q62" i="31"/>
  <c r="R62" i="31"/>
  <c r="S62" i="31"/>
  <c r="T62" i="31"/>
  <c r="F63" i="31"/>
  <c r="G63" i="31"/>
  <c r="H63" i="31"/>
  <c r="I63" i="31"/>
  <c r="J63" i="31"/>
  <c r="K63" i="31"/>
  <c r="L63" i="31"/>
  <c r="M63" i="31"/>
  <c r="N63" i="31"/>
  <c r="O63" i="31"/>
  <c r="P63" i="31"/>
  <c r="Q63" i="31"/>
  <c r="R63" i="31"/>
  <c r="S63" i="31"/>
  <c r="T63" i="31"/>
  <c r="F64" i="31"/>
  <c r="G64" i="31"/>
  <c r="H64" i="31"/>
  <c r="I64" i="31"/>
  <c r="J64" i="31"/>
  <c r="K64" i="31"/>
  <c r="L64" i="31"/>
  <c r="M64" i="31"/>
  <c r="N64" i="31"/>
  <c r="O64" i="31"/>
  <c r="P64" i="31"/>
  <c r="Q64" i="31"/>
  <c r="R64" i="31"/>
  <c r="S64" i="31"/>
  <c r="T64" i="31"/>
  <c r="F65" i="31"/>
  <c r="G65" i="31"/>
  <c r="H65" i="31"/>
  <c r="I65" i="31"/>
  <c r="J65" i="31"/>
  <c r="K65" i="31"/>
  <c r="L65" i="31"/>
  <c r="M65" i="31"/>
  <c r="N65" i="31"/>
  <c r="O65" i="31"/>
  <c r="P65" i="31"/>
  <c r="Q65" i="31"/>
  <c r="R65" i="31"/>
  <c r="S65" i="31"/>
  <c r="T65" i="31"/>
  <c r="F66" i="31"/>
  <c r="G66" i="31"/>
  <c r="H66" i="31"/>
  <c r="I66" i="31"/>
  <c r="J66" i="31"/>
  <c r="K66" i="31"/>
  <c r="L66" i="31"/>
  <c r="M66" i="31"/>
  <c r="N66" i="31"/>
  <c r="O66" i="31"/>
  <c r="P66" i="31"/>
  <c r="Q66" i="31"/>
  <c r="R66" i="31"/>
  <c r="S66" i="31"/>
  <c r="T66" i="31"/>
  <c r="F67" i="31"/>
  <c r="G67" i="31"/>
  <c r="H67" i="31"/>
  <c r="I67" i="31"/>
  <c r="J67" i="31"/>
  <c r="K67" i="31"/>
  <c r="L67" i="31"/>
  <c r="M67" i="31"/>
  <c r="N67" i="31"/>
  <c r="O67" i="31"/>
  <c r="P67" i="31"/>
  <c r="Q67" i="31"/>
  <c r="R67" i="31"/>
  <c r="S67" i="31"/>
  <c r="T67" i="31"/>
  <c r="F68" i="31"/>
  <c r="G68" i="31"/>
  <c r="H68" i="31"/>
  <c r="I68" i="31"/>
  <c r="J68" i="31"/>
  <c r="K68" i="31"/>
  <c r="L68" i="31"/>
  <c r="M68" i="31"/>
  <c r="N68" i="31"/>
  <c r="O68" i="31"/>
  <c r="P68" i="31"/>
  <c r="Q68" i="31"/>
  <c r="R68" i="31"/>
  <c r="S68" i="31"/>
  <c r="T68" i="31"/>
  <c r="E50" i="31"/>
  <c r="E51" i="31"/>
  <c r="E52" i="31"/>
  <c r="E53" i="31"/>
  <c r="E54" i="31"/>
  <c r="E55" i="31"/>
  <c r="E56" i="31"/>
  <c r="E57" i="31"/>
  <c r="E58" i="31"/>
  <c r="E59" i="31"/>
  <c r="E60" i="31"/>
  <c r="E61" i="31"/>
  <c r="E62" i="31"/>
  <c r="E63" i="31"/>
  <c r="E64" i="31"/>
  <c r="E65" i="31"/>
  <c r="E66" i="31"/>
  <c r="E67" i="31"/>
  <c r="E68" i="31"/>
  <c r="E49" i="31"/>
  <c r="F97" i="31"/>
  <c r="G97" i="31"/>
  <c r="H97" i="31"/>
  <c r="I97" i="31"/>
  <c r="J97" i="31"/>
  <c r="K97" i="31"/>
  <c r="L97" i="31"/>
  <c r="M97" i="31"/>
  <c r="N97" i="31"/>
  <c r="O97" i="31"/>
  <c r="P97" i="31"/>
  <c r="Q97" i="31"/>
  <c r="R97" i="31"/>
  <c r="S97" i="31"/>
  <c r="T97" i="31"/>
  <c r="F98" i="31"/>
  <c r="G98" i="31"/>
  <c r="H98" i="31"/>
  <c r="I98" i="31"/>
  <c r="J98" i="31"/>
  <c r="K98" i="31"/>
  <c r="L98" i="31"/>
  <c r="M98" i="31"/>
  <c r="N98" i="31"/>
  <c r="O98" i="31"/>
  <c r="P98" i="31"/>
  <c r="Q98" i="31"/>
  <c r="R98" i="31"/>
  <c r="S98" i="31"/>
  <c r="T98" i="31"/>
  <c r="F99" i="31"/>
  <c r="G99" i="31"/>
  <c r="H99" i="31"/>
  <c r="I99" i="31"/>
  <c r="J99" i="31"/>
  <c r="K99" i="31"/>
  <c r="L99" i="31"/>
  <c r="M99" i="31"/>
  <c r="N99" i="31"/>
  <c r="O99" i="31"/>
  <c r="P99" i="31"/>
  <c r="Q99" i="31"/>
  <c r="R99" i="31"/>
  <c r="S99" i="31"/>
  <c r="T99" i="31"/>
  <c r="F100" i="31"/>
  <c r="G100" i="31"/>
  <c r="H100" i="31"/>
  <c r="I100" i="31"/>
  <c r="J100" i="31"/>
  <c r="K100" i="31"/>
  <c r="L100" i="31"/>
  <c r="M100" i="31"/>
  <c r="N100" i="31"/>
  <c r="O100" i="31"/>
  <c r="P100" i="31"/>
  <c r="Q100" i="31"/>
  <c r="R100" i="31"/>
  <c r="S100" i="31"/>
  <c r="T100" i="31"/>
  <c r="F101" i="31"/>
  <c r="G101" i="31"/>
  <c r="H101" i="31"/>
  <c r="I101" i="31"/>
  <c r="J101" i="31"/>
  <c r="K101" i="31"/>
  <c r="L101" i="31"/>
  <c r="M101" i="31"/>
  <c r="N101" i="31"/>
  <c r="O101" i="31"/>
  <c r="P101" i="31"/>
  <c r="Q101" i="31"/>
  <c r="R101" i="31"/>
  <c r="S101" i="31"/>
  <c r="T101" i="31"/>
  <c r="F102" i="31"/>
  <c r="G102" i="31"/>
  <c r="H102" i="31"/>
  <c r="I102" i="31"/>
  <c r="J102" i="31"/>
  <c r="K102" i="31"/>
  <c r="L102" i="31"/>
  <c r="M102" i="31"/>
  <c r="N102" i="31"/>
  <c r="O102" i="31"/>
  <c r="P102" i="31"/>
  <c r="Q102" i="31"/>
  <c r="R102" i="31"/>
  <c r="S102" i="31"/>
  <c r="T102" i="31"/>
  <c r="F103" i="31"/>
  <c r="G103" i="31"/>
  <c r="H103" i="31"/>
  <c r="I103" i="31"/>
  <c r="J103" i="31"/>
  <c r="K103" i="31"/>
  <c r="L103" i="31"/>
  <c r="M103" i="31"/>
  <c r="N103" i="31"/>
  <c r="O103" i="31"/>
  <c r="P103" i="31"/>
  <c r="Q103" i="31"/>
  <c r="R103" i="31"/>
  <c r="S103" i="31"/>
  <c r="T103" i="31"/>
  <c r="F104" i="31"/>
  <c r="G104" i="31"/>
  <c r="H104" i="31"/>
  <c r="I104" i="31"/>
  <c r="J104" i="31"/>
  <c r="K104" i="31"/>
  <c r="L104" i="31"/>
  <c r="M104" i="31"/>
  <c r="N104" i="31"/>
  <c r="O104" i="31"/>
  <c r="P104" i="31"/>
  <c r="Q104" i="31"/>
  <c r="R104" i="31"/>
  <c r="S104" i="31"/>
  <c r="T104" i="31"/>
  <c r="F105" i="31"/>
  <c r="G105" i="31"/>
  <c r="H105" i="31"/>
  <c r="I105" i="31"/>
  <c r="J105" i="31"/>
  <c r="K105" i="31"/>
  <c r="L105" i="31"/>
  <c r="M105" i="31"/>
  <c r="N105" i="31"/>
  <c r="O105" i="31"/>
  <c r="P105" i="31"/>
  <c r="Q105" i="31"/>
  <c r="R105" i="31"/>
  <c r="S105" i="31"/>
  <c r="T105" i="31"/>
  <c r="F106" i="31"/>
  <c r="G106" i="31"/>
  <c r="H106" i="31"/>
  <c r="I106" i="31"/>
  <c r="J106" i="31"/>
  <c r="K106" i="31"/>
  <c r="L106" i="31"/>
  <c r="M106" i="31"/>
  <c r="N106" i="31"/>
  <c r="O106" i="31"/>
  <c r="P106" i="31"/>
  <c r="Q106" i="31"/>
  <c r="R106" i="31"/>
  <c r="S106" i="31"/>
  <c r="T106" i="31"/>
  <c r="F107" i="31"/>
  <c r="G107" i="31"/>
  <c r="H107" i="31"/>
  <c r="I107" i="31"/>
  <c r="J107" i="31"/>
  <c r="K107" i="31"/>
  <c r="L107" i="31"/>
  <c r="M107" i="31"/>
  <c r="N107" i="31"/>
  <c r="O107" i="31"/>
  <c r="P107" i="31"/>
  <c r="Q107" i="31"/>
  <c r="R107" i="31"/>
  <c r="S107" i="31"/>
  <c r="T107" i="31"/>
  <c r="F108" i="31"/>
  <c r="G108" i="31"/>
  <c r="H108" i="31"/>
  <c r="I108" i="31"/>
  <c r="J108" i="31"/>
  <c r="K108" i="31"/>
  <c r="L108" i="31"/>
  <c r="M108" i="31"/>
  <c r="N108" i="31"/>
  <c r="O108" i="31"/>
  <c r="P108" i="31"/>
  <c r="Q108" i="31"/>
  <c r="R108" i="31"/>
  <c r="S108" i="31"/>
  <c r="T108" i="31"/>
  <c r="F109" i="31"/>
  <c r="G109" i="31"/>
  <c r="H109" i="31"/>
  <c r="I109" i="31"/>
  <c r="J109" i="31"/>
  <c r="K109" i="31"/>
  <c r="L109" i="31"/>
  <c r="M109" i="31"/>
  <c r="N109" i="31"/>
  <c r="O109" i="31"/>
  <c r="P109" i="31"/>
  <c r="Q109" i="31"/>
  <c r="R109" i="31"/>
  <c r="S109" i="31"/>
  <c r="T109" i="31"/>
  <c r="F110" i="31"/>
  <c r="G110" i="31"/>
  <c r="H110" i="31"/>
  <c r="I110" i="31"/>
  <c r="J110" i="31"/>
  <c r="K110" i="31"/>
  <c r="L110" i="31"/>
  <c r="M110" i="31"/>
  <c r="N110" i="31"/>
  <c r="O110" i="31"/>
  <c r="P110" i="31"/>
  <c r="Q110" i="31"/>
  <c r="R110" i="31"/>
  <c r="S110" i="31"/>
  <c r="T110" i="31"/>
  <c r="F111" i="31"/>
  <c r="G111" i="31"/>
  <c r="H111" i="31"/>
  <c r="I111" i="31"/>
  <c r="J111" i="31"/>
  <c r="K111" i="31"/>
  <c r="L111" i="31"/>
  <c r="M111" i="31"/>
  <c r="N111" i="31"/>
  <c r="O111" i="31"/>
  <c r="P111" i="31"/>
  <c r="Q111" i="31"/>
  <c r="R111" i="31"/>
  <c r="S111" i="31"/>
  <c r="T111" i="31"/>
  <c r="F112" i="31"/>
  <c r="G112" i="31"/>
  <c r="H112" i="31"/>
  <c r="I112" i="31"/>
  <c r="J112" i="31"/>
  <c r="K112" i="31"/>
  <c r="L112" i="31"/>
  <c r="M112" i="31"/>
  <c r="N112" i="31"/>
  <c r="O112" i="31"/>
  <c r="P112" i="31"/>
  <c r="Q112" i="31"/>
  <c r="R112" i="31"/>
  <c r="S112" i="31"/>
  <c r="T112" i="31"/>
  <c r="F113" i="31"/>
  <c r="G113" i="31"/>
  <c r="H113" i="31"/>
  <c r="I113" i="31"/>
  <c r="J113" i="31"/>
  <c r="K113" i="31"/>
  <c r="L113" i="31"/>
  <c r="M113" i="31"/>
  <c r="N113" i="31"/>
  <c r="O113" i="31"/>
  <c r="P113" i="31"/>
  <c r="Q113" i="31"/>
  <c r="R113" i="31"/>
  <c r="S113" i="31"/>
  <c r="T113" i="31"/>
  <c r="F114" i="31"/>
  <c r="G114" i="31"/>
  <c r="H114" i="31"/>
  <c r="I114" i="31"/>
  <c r="J114" i="31"/>
  <c r="K114" i="31"/>
  <c r="L114" i="31"/>
  <c r="M114" i="31"/>
  <c r="N114" i="31"/>
  <c r="O114" i="31"/>
  <c r="P114" i="31"/>
  <c r="Q114" i="31"/>
  <c r="R114" i="31"/>
  <c r="S114" i="31"/>
  <c r="T114" i="31"/>
  <c r="F115" i="31"/>
  <c r="G115" i="31"/>
  <c r="H115" i="31"/>
  <c r="I115" i="31"/>
  <c r="J115" i="31"/>
  <c r="K115" i="31"/>
  <c r="L115" i="31"/>
  <c r="M115" i="31"/>
  <c r="N115" i="31"/>
  <c r="O115" i="31"/>
  <c r="P115" i="31"/>
  <c r="Q115" i="31"/>
  <c r="R115" i="31"/>
  <c r="S115" i="31"/>
  <c r="T115" i="31"/>
  <c r="F116" i="31"/>
  <c r="G116" i="31"/>
  <c r="H116" i="31"/>
  <c r="I116" i="31"/>
  <c r="J116" i="31"/>
  <c r="K116" i="31"/>
  <c r="L116" i="31"/>
  <c r="M116" i="31"/>
  <c r="N116" i="31"/>
  <c r="O116" i="31"/>
  <c r="P116" i="31"/>
  <c r="Q116" i="31"/>
  <c r="R116" i="31"/>
  <c r="S116" i="31"/>
  <c r="T116" i="31"/>
  <c r="E98" i="31"/>
  <c r="E99" i="31"/>
  <c r="E100" i="31"/>
  <c r="E101" i="31"/>
  <c r="E102" i="31"/>
  <c r="E103" i="31"/>
  <c r="E104" i="31"/>
  <c r="E105" i="31"/>
  <c r="E106" i="31"/>
  <c r="E107" i="31"/>
  <c r="E108" i="31"/>
  <c r="E109" i="31"/>
  <c r="E110" i="31"/>
  <c r="E111" i="31"/>
  <c r="E112" i="31"/>
  <c r="E113" i="31"/>
  <c r="E114" i="31"/>
  <c r="E115" i="31"/>
  <c r="E116" i="31"/>
  <c r="E97" i="31"/>
  <c r="U25" i="31"/>
  <c r="U26" i="31"/>
  <c r="U27" i="31"/>
  <c r="U28" i="31"/>
  <c r="U29" i="31"/>
  <c r="U30" i="31"/>
  <c r="U31" i="31"/>
  <c r="U32" i="31"/>
  <c r="U33" i="31"/>
  <c r="U34" i="31"/>
  <c r="U35" i="31"/>
  <c r="U36" i="31"/>
  <c r="U37" i="31"/>
  <c r="U38" i="31"/>
  <c r="U39" i="31"/>
  <c r="U40" i="31"/>
  <c r="U41" i="31"/>
  <c r="U42" i="31"/>
  <c r="U43" i="31"/>
  <c r="U24" i="31"/>
  <c r="F44" i="31"/>
  <c r="G44" i="31"/>
  <c r="H44" i="31"/>
  <c r="I44" i="31"/>
  <c r="J44" i="31"/>
  <c r="K44" i="31"/>
  <c r="L44" i="31"/>
  <c r="M44" i="31"/>
  <c r="N44" i="31"/>
  <c r="O44" i="31"/>
  <c r="P44" i="31"/>
  <c r="Q44" i="31"/>
  <c r="R44" i="31"/>
  <c r="S44" i="31"/>
  <c r="T44" i="31"/>
  <c r="E44" i="31"/>
  <c r="D6" i="4"/>
  <c r="D5" i="4"/>
  <c r="D4" i="4"/>
  <c r="S7" i="31" l="1"/>
  <c r="S8" i="31"/>
  <c r="S14" i="31"/>
  <c r="S17" i="31" s="1"/>
  <c r="S6" i="31"/>
  <c r="M69" i="31"/>
  <c r="U50" i="31"/>
  <c r="U61" i="31"/>
  <c r="U53" i="31"/>
  <c r="U68" i="31"/>
  <c r="U66" i="31"/>
  <c r="U60" i="31"/>
  <c r="U58" i="31"/>
  <c r="T69" i="31"/>
  <c r="L69" i="31"/>
  <c r="Q69" i="31"/>
  <c r="I69" i="31"/>
  <c r="P69" i="31"/>
  <c r="H69" i="31"/>
  <c r="O69" i="31"/>
  <c r="G69" i="31"/>
  <c r="N69" i="31"/>
  <c r="F69" i="31"/>
  <c r="S13" i="31"/>
  <c r="U52" i="31"/>
  <c r="U62" i="31"/>
  <c r="U54" i="31"/>
  <c r="S69" i="31"/>
  <c r="K69" i="31"/>
  <c r="R69" i="31"/>
  <c r="J69" i="31"/>
  <c r="U67" i="31"/>
  <c r="U59" i="31"/>
  <c r="U51" i="31"/>
  <c r="U57" i="31"/>
  <c r="U64" i="31"/>
  <c r="U63" i="31"/>
  <c r="U55" i="31"/>
  <c r="U65" i="31"/>
  <c r="U56" i="31"/>
  <c r="E69" i="31"/>
  <c r="U49" i="31"/>
  <c r="S18" i="31" l="1"/>
  <c r="S16" i="31"/>
  <c r="G15" i="12"/>
  <c r="F15" i="12"/>
  <c r="F11" i="12" l="1"/>
  <c r="G11" i="12"/>
  <c r="F12" i="12"/>
  <c r="G12" i="12"/>
  <c r="F13" i="12"/>
  <c r="G13" i="12"/>
  <c r="F14" i="12"/>
  <c r="G14" i="12"/>
  <c r="G10" i="12"/>
  <c r="F10" i="12"/>
  <c r="H51" i="2" l="1"/>
  <c r="H52" i="2"/>
  <c r="G52" i="2"/>
  <c r="G51" i="2"/>
  <c r="F48" i="2"/>
  <c r="H43" i="2"/>
  <c r="G43" i="2"/>
  <c r="H42" i="2"/>
  <c r="G42" i="2"/>
  <c r="H41" i="2"/>
  <c r="G41" i="2"/>
  <c r="H40" i="2"/>
  <c r="G40" i="2"/>
  <c r="H39" i="2"/>
  <c r="G39" i="2"/>
  <c r="H33" i="2"/>
  <c r="G33" i="2"/>
  <c r="H32" i="2"/>
  <c r="G32" i="2"/>
  <c r="H31" i="2"/>
  <c r="G31" i="2"/>
  <c r="G30" i="2"/>
  <c r="H29" i="2"/>
  <c r="G29" i="2"/>
  <c r="G28" i="2"/>
  <c r="G27" i="2"/>
  <c r="H26" i="2"/>
  <c r="H25" i="2"/>
  <c r="G26" i="2"/>
  <c r="G25" i="2"/>
  <c r="H24" i="2"/>
  <c r="G24" i="2"/>
  <c r="F35" i="2"/>
  <c r="H18" i="2"/>
  <c r="G18" i="2"/>
  <c r="G17" i="2"/>
  <c r="H17" i="2"/>
  <c r="H16" i="2"/>
  <c r="G16" i="2"/>
  <c r="H15" i="2"/>
  <c r="G15" i="2"/>
  <c r="G48" i="2" l="1"/>
  <c r="H48" i="2"/>
  <c r="H35" i="2"/>
  <c r="G35" i="2"/>
  <c r="P62" i="1"/>
  <c r="N62" i="1"/>
  <c r="L62" i="1"/>
  <c r="J62" i="1"/>
  <c r="P61" i="1"/>
  <c r="P60" i="1"/>
  <c r="N60" i="1"/>
  <c r="L60" i="1"/>
  <c r="J60" i="1"/>
  <c r="P59" i="1"/>
  <c r="N59" i="1"/>
  <c r="L59" i="1"/>
  <c r="J59" i="1"/>
  <c r="P1" i="22" l="1"/>
  <c r="D46" i="1"/>
  <c r="D47" i="1"/>
  <c r="D48" i="1"/>
  <c r="D49" i="1"/>
  <c r="D50" i="1"/>
  <c r="D45" i="1"/>
  <c r="D31" i="1"/>
  <c r="D32" i="1"/>
  <c r="D33" i="1"/>
  <c r="D34" i="1"/>
  <c r="D35" i="1"/>
  <c r="D36" i="1"/>
  <c r="D37" i="1"/>
  <c r="D38" i="1"/>
  <c r="D39" i="1"/>
  <c r="D40" i="1"/>
  <c r="D41" i="1"/>
  <c r="D42" i="1"/>
  <c r="D30" i="1"/>
  <c r="I5" i="8"/>
  <c r="H5" i="8"/>
  <c r="G5" i="8"/>
  <c r="F5" i="8"/>
  <c r="P47" i="1"/>
  <c r="N47" i="1"/>
  <c r="L47" i="1"/>
  <c r="J47" i="1"/>
  <c r="P46" i="1"/>
  <c r="N46" i="1"/>
  <c r="L46" i="1"/>
  <c r="J46" i="1"/>
  <c r="P48" i="1"/>
  <c r="N48" i="1"/>
  <c r="L48" i="1"/>
  <c r="J48" i="1"/>
  <c r="P49" i="1"/>
  <c r="N49" i="1"/>
  <c r="L49" i="1"/>
  <c r="J49" i="1"/>
  <c r="L6" i="18"/>
  <c r="L9" i="18"/>
  <c r="L10" i="18"/>
  <c r="L11" i="18"/>
  <c r="L14" i="18"/>
  <c r="L8" i="18"/>
  <c r="L15" i="18"/>
  <c r="I32" i="23"/>
  <c r="L7" i="18"/>
  <c r="L12" i="18"/>
  <c r="L45" i="1" l="1"/>
  <c r="N45" i="1"/>
  <c r="P45" i="1"/>
  <c r="J45" i="1"/>
  <c r="J47" i="22" s="1"/>
  <c r="P25" i="22"/>
  <c r="P24" i="22"/>
  <c r="P23" i="22"/>
  <c r="P19" i="22"/>
  <c r="P48" i="22"/>
  <c r="P50" i="22"/>
  <c r="P49" i="22"/>
  <c r="J48" i="22"/>
  <c r="P51" i="22"/>
  <c r="P47" i="22"/>
  <c r="I41" i="1"/>
  <c r="I43" i="23"/>
  <c r="I43" i="22"/>
  <c r="I34" i="1"/>
  <c r="I36" i="23"/>
  <c r="I42" i="23"/>
  <c r="I40" i="1"/>
  <c r="I42" i="22"/>
  <c r="I36" i="1"/>
  <c r="I38" i="23"/>
  <c r="I40" i="23"/>
  <c r="I38" i="1"/>
  <c r="I35" i="1"/>
  <c r="I37" i="23"/>
  <c r="I37" i="1"/>
  <c r="I39" i="23"/>
  <c r="I33" i="1"/>
  <c r="I35" i="23"/>
  <c r="I34" i="23"/>
  <c r="I32" i="1"/>
  <c r="L1" i="23"/>
  <c r="N1" i="23"/>
  <c r="P1" i="23"/>
  <c r="L1" i="22"/>
  <c r="L47" i="22" s="1"/>
  <c r="J1" i="22"/>
  <c r="J49" i="22" s="1"/>
  <c r="N1" i="22"/>
  <c r="N50" i="22" s="1"/>
  <c r="J1" i="23"/>
  <c r="N47" i="22" l="1"/>
  <c r="J50" i="22"/>
  <c r="N48" i="22"/>
  <c r="N49" i="22"/>
  <c r="L25" i="22"/>
  <c r="L23" i="22"/>
  <c r="L24" i="22"/>
  <c r="L19" i="22"/>
  <c r="L49" i="22"/>
  <c r="L48" i="22"/>
  <c r="L50" i="22"/>
  <c r="N25" i="22"/>
  <c r="N24" i="22"/>
  <c r="N23" i="22"/>
  <c r="N19" i="22"/>
  <c r="N51" i="22"/>
  <c r="J23" i="22"/>
  <c r="J25" i="22"/>
  <c r="J24" i="22"/>
  <c r="J19" i="22"/>
  <c r="J51" i="22"/>
  <c r="L51" i="22"/>
  <c r="L13" i="18"/>
  <c r="L5" i="18"/>
  <c r="I33" i="23" l="1"/>
  <c r="I31" i="1"/>
  <c r="I41" i="23"/>
  <c r="I39" i="1"/>
  <c r="L16" i="18"/>
  <c r="D26" i="1"/>
  <c r="D27" i="1"/>
  <c r="D25" i="1"/>
  <c r="D20" i="1"/>
  <c r="D19" i="1"/>
  <c r="D14" i="1"/>
  <c r="D15" i="1"/>
  <c r="D16" i="1"/>
  <c r="D17" i="1"/>
  <c r="D13" i="1"/>
  <c r="I42" i="1" l="1"/>
  <c r="I44" i="23"/>
  <c r="I31" i="23" s="1"/>
  <c r="I44" i="22"/>
  <c r="H7" i="3"/>
  <c r="G7" i="3"/>
  <c r="F7" i="3"/>
  <c r="E7" i="3"/>
  <c r="F6" i="3"/>
  <c r="L15" i="1" s="1"/>
  <c r="G6" i="3"/>
  <c r="N15" i="1" s="1"/>
  <c r="H6" i="3"/>
  <c r="P15" i="1" s="1"/>
  <c r="E6" i="3"/>
  <c r="J15" i="1" s="1"/>
  <c r="P13" i="1"/>
  <c r="N13" i="1"/>
  <c r="L13" i="1"/>
  <c r="J13" i="1"/>
  <c r="L17" i="22" l="1"/>
  <c r="J15" i="22"/>
  <c r="L15" i="22"/>
  <c r="N15" i="22"/>
  <c r="P15" i="22"/>
  <c r="P17" i="22"/>
  <c r="J17" i="22"/>
  <c r="N17" i="22"/>
  <c r="P16" i="1"/>
  <c r="N16" i="1"/>
  <c r="L16" i="1"/>
  <c r="J16" i="1"/>
  <c r="G123" i="31"/>
  <c r="G17" i="12"/>
  <c r="J18" i="22" l="1"/>
  <c r="L18" i="22"/>
  <c r="N18" i="22"/>
  <c r="P18" i="22"/>
  <c r="G7" i="2"/>
  <c r="N8" i="1" s="1"/>
  <c r="H7" i="2"/>
  <c r="P8" i="1" s="1"/>
  <c r="J42" i="1"/>
  <c r="J32" i="1"/>
  <c r="J33" i="1"/>
  <c r="J35" i="1"/>
  <c r="J36" i="1"/>
  <c r="J40" i="1"/>
  <c r="J41" i="1"/>
  <c r="J34" i="1"/>
  <c r="J38" i="1"/>
  <c r="P10" i="22" l="1"/>
  <c r="N10" i="22"/>
  <c r="J42" i="22"/>
  <c r="J38" i="22"/>
  <c r="J37" i="22"/>
  <c r="J35" i="22"/>
  <c r="J34" i="22"/>
  <c r="J40" i="22"/>
  <c r="J44" i="22"/>
  <c r="J36" i="22"/>
  <c r="J43" i="22"/>
  <c r="L18" i="18"/>
  <c r="I14" i="18"/>
  <c r="N40" i="1" s="1"/>
  <c r="J31" i="1"/>
  <c r="J37" i="1"/>
  <c r="J14" i="18"/>
  <c r="P40" i="1" s="1"/>
  <c r="H14" i="18"/>
  <c r="L40" i="1" s="1"/>
  <c r="J39" i="1"/>
  <c r="J30" i="1"/>
  <c r="L42" i="22" l="1"/>
  <c r="P42" i="22"/>
  <c r="J39" i="22"/>
  <c r="J33" i="22"/>
  <c r="N42" i="22"/>
  <c r="J32" i="22"/>
  <c r="J29" i="1"/>
  <c r="J41" i="22"/>
  <c r="P30" i="1"/>
  <c r="F33" i="4"/>
  <c r="F20" i="4"/>
  <c r="F21" i="4" s="1"/>
  <c r="G20" i="4"/>
  <c r="G21" i="4" s="1"/>
  <c r="H20" i="4"/>
  <c r="H21" i="4" s="1"/>
  <c r="I20" i="4"/>
  <c r="I21" i="4" s="1"/>
  <c r="E5" i="3"/>
  <c r="H5" i="3"/>
  <c r="H54" i="2"/>
  <c r="G54" i="2"/>
  <c r="F8" i="2" s="1"/>
  <c r="L9" i="1" s="1"/>
  <c r="F54" i="2"/>
  <c r="E8" i="2" s="1"/>
  <c r="J9" i="1" s="1"/>
  <c r="E7" i="2"/>
  <c r="J8" i="1" s="1"/>
  <c r="J10" i="22" l="1"/>
  <c r="J11" i="22"/>
  <c r="L11" i="22"/>
  <c r="P32" i="22"/>
  <c r="J31" i="22"/>
  <c r="F34" i="4"/>
  <c r="F52" i="4"/>
  <c r="P14" i="1"/>
  <c r="H10" i="3"/>
  <c r="J14" i="1"/>
  <c r="E10" i="3"/>
  <c r="E4" i="4"/>
  <c r="J25" i="1" s="1"/>
  <c r="G4" i="4"/>
  <c r="N25" i="1" s="1"/>
  <c r="H4" i="4"/>
  <c r="P25" i="1" s="1"/>
  <c r="F4" i="4"/>
  <c r="L25" i="1" s="1"/>
  <c r="G8" i="2"/>
  <c r="N9" i="1" s="1"/>
  <c r="H8" i="2"/>
  <c r="P9" i="1" s="1"/>
  <c r="F7" i="2"/>
  <c r="L8" i="1" s="1"/>
  <c r="J16" i="22" l="1"/>
  <c r="P12" i="1"/>
  <c r="P16" i="22"/>
  <c r="J12" i="1"/>
  <c r="P11" i="22"/>
  <c r="L10" i="22"/>
  <c r="N11" i="22"/>
  <c r="P27" i="22"/>
  <c r="N27" i="22"/>
  <c r="J27" i="22"/>
  <c r="L27" i="22"/>
  <c r="F6" i="2"/>
  <c r="L7" i="1" s="1"/>
  <c r="E6" i="2"/>
  <c r="J7" i="1" s="1"/>
  <c r="J14" i="22" l="1"/>
  <c r="P14" i="22"/>
  <c r="J9" i="22"/>
  <c r="L9" i="22"/>
  <c r="G6" i="2"/>
  <c r="N7" i="1" s="1"/>
  <c r="H6" i="2"/>
  <c r="P7" i="1" s="1"/>
  <c r="G20" i="2"/>
  <c r="F5" i="2" s="1"/>
  <c r="L6" i="1" s="1"/>
  <c r="H20" i="2"/>
  <c r="F20" i="2"/>
  <c r="E5" i="2" s="1"/>
  <c r="J6" i="1" s="1"/>
  <c r="P9" i="22" l="1"/>
  <c r="L5" i="1"/>
  <c r="L8" i="22"/>
  <c r="N9" i="22"/>
  <c r="J8" i="22"/>
  <c r="J5" i="1"/>
  <c r="G5" i="2"/>
  <c r="N6" i="1" s="1"/>
  <c r="H5" i="2"/>
  <c r="P6" i="1" s="1"/>
  <c r="F17" i="12"/>
  <c r="F4" i="12" s="1"/>
  <c r="L58" i="1" s="1"/>
  <c r="H4" i="12"/>
  <c r="P58" i="1" s="1"/>
  <c r="E17" i="12"/>
  <c r="P5" i="1" l="1"/>
  <c r="P8" i="22"/>
  <c r="N5" i="1"/>
  <c r="N8" i="22"/>
  <c r="J7" i="22"/>
  <c r="L7" i="22"/>
  <c r="E4" i="12"/>
  <c r="J58" i="1" s="1"/>
  <c r="G4" i="12"/>
  <c r="N58" i="1" s="1"/>
  <c r="N7" i="22" l="1"/>
  <c r="P7" i="22"/>
  <c r="A49" i="26"/>
  <c r="A4" i="26"/>
  <c r="D53" i="26"/>
  <c r="H10" i="8" l="1"/>
  <c r="I10" i="8"/>
  <c r="G10" i="8"/>
  <c r="F10" i="8"/>
  <c r="N50" i="1" l="1"/>
  <c r="N44" i="1" s="1"/>
  <c r="H12" i="8"/>
  <c r="J50" i="1"/>
  <c r="F12" i="8"/>
  <c r="L50" i="1"/>
  <c r="L44" i="1" s="1"/>
  <c r="G12" i="8"/>
  <c r="P50" i="1"/>
  <c r="P44" i="1" s="1"/>
  <c r="I12" i="8"/>
  <c r="N52" i="22"/>
  <c r="J44" i="1"/>
  <c r="J52" i="22"/>
  <c r="J2" i="23"/>
  <c r="L52" i="22" l="1"/>
  <c r="P52" i="22"/>
  <c r="L46" i="22"/>
  <c r="C28" i="26" s="1"/>
  <c r="L51" i="1"/>
  <c r="L53" i="22" s="1"/>
  <c r="P51" i="1"/>
  <c r="P53" i="22" s="1"/>
  <c r="P46" i="22"/>
  <c r="E28" i="26" s="1"/>
  <c r="J51" i="1"/>
  <c r="J53" i="22" s="1"/>
  <c r="J46" i="22"/>
  <c r="B28" i="26" s="1"/>
  <c r="N46" i="22"/>
  <c r="D28" i="26" s="1"/>
  <c r="N51" i="1"/>
  <c r="N53" i="22" s="1"/>
  <c r="N2" i="23"/>
  <c r="L2" i="23"/>
  <c r="G131" i="31"/>
  <c r="G139" i="31"/>
  <c r="G138" i="31"/>
  <c r="G140" i="31" s="1"/>
  <c r="E3" i="33"/>
  <c r="E4" i="33" s="1"/>
  <c r="D3" i="33"/>
  <c r="D4" i="33" s="1"/>
  <c r="C3" i="33"/>
  <c r="C4" i="33" s="1"/>
  <c r="B3" i="33"/>
  <c r="B4" i="33" s="1"/>
  <c r="I29" i="23"/>
  <c r="I28" i="23"/>
  <c r="I29" i="22"/>
  <c r="I28" i="22"/>
  <c r="I27" i="22"/>
  <c r="G141" i="31" l="1"/>
  <c r="G142" i="31"/>
  <c r="P2" i="23"/>
  <c r="G143" i="31" l="1"/>
  <c r="J23" i="23" l="1"/>
  <c r="P25" i="23"/>
  <c r="N25" i="23"/>
  <c r="J25" i="23"/>
  <c r="L25" i="23"/>
  <c r="L23" i="23"/>
  <c r="J24" i="23"/>
  <c r="P24" i="23"/>
  <c r="L24" i="23"/>
  <c r="P23" i="23"/>
  <c r="N24" i="23"/>
  <c r="N23" i="23"/>
  <c r="P19" i="23"/>
  <c r="L19" i="23"/>
  <c r="J19" i="23"/>
  <c r="N19" i="23"/>
  <c r="J49" i="23"/>
  <c r="L50" i="23"/>
  <c r="J51" i="23"/>
  <c r="P51" i="23"/>
  <c r="N51" i="23"/>
  <c r="J48" i="23"/>
  <c r="L47" i="23"/>
  <c r="P47" i="23"/>
  <c r="P49" i="23"/>
  <c r="L51" i="23"/>
  <c r="N50" i="23"/>
  <c r="L48" i="23"/>
  <c r="L49" i="23"/>
  <c r="N49" i="23"/>
  <c r="J47" i="23"/>
  <c r="J50" i="23"/>
  <c r="P48" i="23"/>
  <c r="P50" i="23"/>
  <c r="N48" i="23"/>
  <c r="N47" i="23"/>
  <c r="L17" i="23"/>
  <c r="P15" i="23"/>
  <c r="J15" i="23"/>
  <c r="P17" i="23"/>
  <c r="L15" i="23"/>
  <c r="J17" i="23"/>
  <c r="N17" i="23"/>
  <c r="N15" i="23"/>
  <c r="J18" i="23"/>
  <c r="L18" i="23"/>
  <c r="N18" i="23"/>
  <c r="P18" i="23"/>
  <c r="P10" i="23"/>
  <c r="J44" i="23"/>
  <c r="N10" i="23"/>
  <c r="J35" i="23"/>
  <c r="J36" i="23"/>
  <c r="J37" i="23"/>
  <c r="J38" i="23"/>
  <c r="J40" i="23"/>
  <c r="J42" i="23"/>
  <c r="J34" i="23"/>
  <c r="J43" i="23"/>
  <c r="L42" i="23"/>
  <c r="N42" i="23"/>
  <c r="J41" i="23"/>
  <c r="J33" i="23"/>
  <c r="P42" i="23"/>
  <c r="J32" i="23"/>
  <c r="J39" i="23"/>
  <c r="J10" i="23"/>
  <c r="J31" i="23"/>
  <c r="L11" i="23"/>
  <c r="J11" i="23"/>
  <c r="P32" i="23"/>
  <c r="J16" i="23"/>
  <c r="L10" i="23"/>
  <c r="J27" i="23"/>
  <c r="L27" i="23"/>
  <c r="P27" i="23"/>
  <c r="P11" i="23"/>
  <c r="P16" i="23"/>
  <c r="N11" i="23"/>
  <c r="N27" i="23"/>
  <c r="J14" i="23"/>
  <c r="J9" i="23"/>
  <c r="L9" i="23"/>
  <c r="P14" i="23"/>
  <c r="F38" i="26" s="1"/>
  <c r="P9" i="23"/>
  <c r="J8" i="23"/>
  <c r="L8" i="23"/>
  <c r="N9" i="23"/>
  <c r="P8" i="23"/>
  <c r="J7" i="23"/>
  <c r="L7" i="23"/>
  <c r="N8" i="23"/>
  <c r="N7" i="23"/>
  <c r="P7" i="23"/>
  <c r="N52" i="23"/>
  <c r="J52" i="23"/>
  <c r="P52" i="23"/>
  <c r="P46" i="23"/>
  <c r="F43" i="26" s="1"/>
  <c r="J46" i="23"/>
  <c r="L52" i="23"/>
  <c r="L46" i="23"/>
  <c r="B43" i="26" s="1"/>
  <c r="N46" i="23"/>
  <c r="D43" i="26" s="1"/>
  <c r="G45" i="4"/>
  <c r="H45" i="4"/>
  <c r="I45" i="4"/>
  <c r="F55" i="4"/>
  <c r="F56" i="4" s="1"/>
  <c r="G33" i="4"/>
  <c r="G34" i="4" s="1"/>
  <c r="H33" i="4"/>
  <c r="H34" i="4" s="1"/>
  <c r="I33" i="4"/>
  <c r="I34" i="4" s="1"/>
  <c r="H6" i="4" l="1"/>
  <c r="P27" i="1" s="1"/>
  <c r="I46" i="4"/>
  <c r="G6" i="4"/>
  <c r="N27" i="1" s="1"/>
  <c r="H46" i="4"/>
  <c r="F6" i="4"/>
  <c r="L27" i="1" s="1"/>
  <c r="G46" i="4"/>
  <c r="F5" i="4"/>
  <c r="L26" i="1" s="1"/>
  <c r="G52" i="4"/>
  <c r="G55" i="4" s="1"/>
  <c r="H5" i="4"/>
  <c r="P26" i="1" s="1"/>
  <c r="I52" i="4"/>
  <c r="I55" i="4" s="1"/>
  <c r="G5" i="4"/>
  <c r="N26" i="1" s="1"/>
  <c r="H52" i="4"/>
  <c r="H55" i="4" s="1"/>
  <c r="E5" i="4"/>
  <c r="J26" i="1" s="1"/>
  <c r="I30" i="22"/>
  <c r="I26" i="22" s="1"/>
  <c r="I30" i="23"/>
  <c r="I26" i="23" s="1"/>
  <c r="I56" i="23" s="1"/>
  <c r="E7" i="4"/>
  <c r="J28" i="1" s="1"/>
  <c r="E6" i="4"/>
  <c r="J27" i="1" s="1"/>
  <c r="L29" i="22" l="1"/>
  <c r="L29" i="23"/>
  <c r="N29" i="23"/>
  <c r="N29" i="22"/>
  <c r="J29" i="23"/>
  <c r="J29" i="22"/>
  <c r="P29" i="22"/>
  <c r="P29" i="23"/>
  <c r="J28" i="23"/>
  <c r="J28" i="22"/>
  <c r="N28" i="22"/>
  <c r="N28" i="23"/>
  <c r="P28" i="23"/>
  <c r="P28" i="22"/>
  <c r="L28" i="22"/>
  <c r="L28" i="23"/>
  <c r="G7" i="4"/>
  <c r="N28" i="1" s="1"/>
  <c r="N24" i="1" s="1"/>
  <c r="H56" i="4"/>
  <c r="H7" i="4"/>
  <c r="P28" i="1" s="1"/>
  <c r="I56" i="4"/>
  <c r="J30" i="22"/>
  <c r="J30" i="23"/>
  <c r="F7" i="4"/>
  <c r="L28" i="1" s="1"/>
  <c r="G56" i="4"/>
  <c r="J24" i="1"/>
  <c r="E4" i="7" s="1"/>
  <c r="E7" i="7" s="1"/>
  <c r="J43" i="1" s="1"/>
  <c r="F61" i="2"/>
  <c r="E9" i="2" s="1"/>
  <c r="L30" i="23" l="1"/>
  <c r="L30" i="22"/>
  <c r="L24" i="1"/>
  <c r="N26" i="22"/>
  <c r="N26" i="23"/>
  <c r="D40" i="26" s="1"/>
  <c r="P30" i="22"/>
  <c r="P30" i="23"/>
  <c r="P24" i="1"/>
  <c r="J26" i="22"/>
  <c r="J26" i="23"/>
  <c r="N30" i="22"/>
  <c r="N30" i="23"/>
  <c r="J10" i="1"/>
  <c r="G61" i="2"/>
  <c r="F9" i="2" s="1"/>
  <c r="H61" i="2"/>
  <c r="G9" i="2" s="1"/>
  <c r="I61" i="2"/>
  <c r="H9" i="2" s="1"/>
  <c r="J12" i="22" l="1"/>
  <c r="J12" i="23"/>
  <c r="P26" i="22"/>
  <c r="P26" i="23"/>
  <c r="F40" i="26" s="1"/>
  <c r="J45" i="23"/>
  <c r="J45" i="22"/>
  <c r="B27" i="26" s="1"/>
  <c r="L26" i="23"/>
  <c r="B40" i="26" s="1"/>
  <c r="L26" i="22"/>
  <c r="P10" i="1"/>
  <c r="N10" i="1"/>
  <c r="L10" i="1"/>
  <c r="B55" i="26"/>
  <c r="L12" i="22" l="1"/>
  <c r="L12" i="23"/>
  <c r="N12" i="23"/>
  <c r="N12" i="22"/>
  <c r="P12" i="23"/>
  <c r="P12" i="22"/>
  <c r="J62" i="22"/>
  <c r="B68" i="26" s="1"/>
  <c r="J62" i="23"/>
  <c r="J15" i="18" l="1"/>
  <c r="P41" i="1" s="1"/>
  <c r="I15" i="18"/>
  <c r="N41" i="1" s="1"/>
  <c r="H15" i="18"/>
  <c r="L41" i="1" s="1"/>
  <c r="J6" i="18"/>
  <c r="P32" i="1" s="1"/>
  <c r="I6" i="18"/>
  <c r="N32" i="1" s="1"/>
  <c r="H6" i="18"/>
  <c r="L32" i="1" s="1"/>
  <c r="L34" i="22" l="1"/>
  <c r="L34" i="23"/>
  <c r="N34" i="22"/>
  <c r="N34" i="23"/>
  <c r="P34" i="22"/>
  <c r="P34" i="23"/>
  <c r="L43" i="23"/>
  <c r="L43" i="22"/>
  <c r="N43" i="22"/>
  <c r="N43" i="23"/>
  <c r="P43" i="22"/>
  <c r="P43" i="23"/>
  <c r="L30" i="1"/>
  <c r="I37" i="22"/>
  <c r="I36" i="22"/>
  <c r="I32" i="22"/>
  <c r="I40" i="22"/>
  <c r="I38" i="22"/>
  <c r="I35" i="22"/>
  <c r="I34" i="22"/>
  <c r="I30" i="1"/>
  <c r="I29" i="1" s="1"/>
  <c r="I10" i="18"/>
  <c r="N36" i="1" s="1"/>
  <c r="J9" i="18"/>
  <c r="P35" i="1" s="1"/>
  <c r="I9" i="18"/>
  <c r="N35" i="1" s="1"/>
  <c r="H9" i="18"/>
  <c r="L35" i="1" s="1"/>
  <c r="H8" i="18"/>
  <c r="L34" i="1" s="1"/>
  <c r="J8" i="18"/>
  <c r="P34" i="1" s="1"/>
  <c r="I8" i="18"/>
  <c r="N34" i="1" s="1"/>
  <c r="H10" i="18"/>
  <c r="L36" i="1" s="1"/>
  <c r="J10" i="18"/>
  <c r="P36" i="1" s="1"/>
  <c r="N38" i="23" l="1"/>
  <c r="N38" i="22"/>
  <c r="N37" i="23"/>
  <c r="N37" i="22"/>
  <c r="P37" i="23"/>
  <c r="P37" i="22"/>
  <c r="P38" i="23"/>
  <c r="P38" i="22"/>
  <c r="L38" i="23"/>
  <c r="L38" i="22"/>
  <c r="L32" i="22"/>
  <c r="L32" i="23"/>
  <c r="N36" i="22"/>
  <c r="N36" i="23"/>
  <c r="P36" i="23"/>
  <c r="P36" i="22"/>
  <c r="L36" i="22"/>
  <c r="L36" i="23"/>
  <c r="L37" i="22"/>
  <c r="L37" i="23"/>
  <c r="I33" i="22"/>
  <c r="I39" i="22"/>
  <c r="H12" i="18"/>
  <c r="L38" i="1" s="1"/>
  <c r="I41" i="22"/>
  <c r="J7" i="18"/>
  <c r="P33" i="1" s="1"/>
  <c r="I12" i="18"/>
  <c r="N38" i="1" s="1"/>
  <c r="P38" i="1"/>
  <c r="I4" i="18"/>
  <c r="N30" i="1" s="1"/>
  <c r="H11" i="18"/>
  <c r="L37" i="1" s="1"/>
  <c r="J11" i="18"/>
  <c r="P37" i="1" s="1"/>
  <c r="I11" i="18"/>
  <c r="N37" i="1" s="1"/>
  <c r="N39" i="23" l="1"/>
  <c r="N39" i="22"/>
  <c r="L40" i="22"/>
  <c r="L40" i="23"/>
  <c r="P39" i="23"/>
  <c r="P39" i="22"/>
  <c r="L39" i="23"/>
  <c r="L39" i="22"/>
  <c r="I31" i="22"/>
  <c r="I56" i="22" s="1"/>
  <c r="N32" i="22"/>
  <c r="N32" i="23"/>
  <c r="P40" i="22"/>
  <c r="P40" i="23"/>
  <c r="N40" i="22"/>
  <c r="N40" i="23"/>
  <c r="P35" i="22"/>
  <c r="P35" i="23"/>
  <c r="J5" i="18"/>
  <c r="P31" i="1" s="1"/>
  <c r="G18" i="18"/>
  <c r="I16" i="18"/>
  <c r="N42" i="1" s="1"/>
  <c r="H16" i="18"/>
  <c r="L42" i="1" s="1"/>
  <c r="J16" i="18"/>
  <c r="P42" i="1" s="1"/>
  <c r="I13" i="18"/>
  <c r="N39" i="1" s="1"/>
  <c r="H13" i="18"/>
  <c r="L39" i="1" s="1"/>
  <c r="J13" i="18"/>
  <c r="P39" i="1" s="1"/>
  <c r="I7" i="18"/>
  <c r="N33" i="1" s="1"/>
  <c r="H7" i="18"/>
  <c r="L33" i="1" s="1"/>
  <c r="I5" i="18"/>
  <c r="N31" i="1" s="1"/>
  <c r="H5" i="18"/>
  <c r="L31" i="1" s="1"/>
  <c r="N35" i="22" l="1"/>
  <c r="N35" i="23"/>
  <c r="L41" i="22"/>
  <c r="L41" i="23"/>
  <c r="N41" i="22"/>
  <c r="N41" i="23"/>
  <c r="P44" i="23"/>
  <c r="P44" i="22"/>
  <c r="L33" i="22"/>
  <c r="L33" i="23"/>
  <c r="L44" i="22"/>
  <c r="L44" i="23"/>
  <c r="P41" i="22"/>
  <c r="P41" i="23"/>
  <c r="N33" i="22"/>
  <c r="N33" i="23"/>
  <c r="N44" i="22"/>
  <c r="N44" i="23"/>
  <c r="L35" i="22"/>
  <c r="L35" i="23"/>
  <c r="P33" i="22"/>
  <c r="P33" i="23"/>
  <c r="N29" i="1"/>
  <c r="G4" i="7" s="1"/>
  <c r="G7" i="7" s="1"/>
  <c r="N43" i="1" s="1"/>
  <c r="P29" i="1"/>
  <c r="H4" i="7" s="1"/>
  <c r="H7" i="7" s="1"/>
  <c r="P43" i="1" s="1"/>
  <c r="L29" i="1"/>
  <c r="F4" i="7" s="1"/>
  <c r="F7" i="7" s="1"/>
  <c r="L43" i="1" s="1"/>
  <c r="G19" i="18"/>
  <c r="J18" i="18"/>
  <c r="J19" i="18" s="1"/>
  <c r="P31" i="23" l="1"/>
  <c r="F41" i="26" s="1"/>
  <c r="P31" i="22"/>
  <c r="N31" i="23"/>
  <c r="D41" i="26" s="1"/>
  <c r="N31" i="22"/>
  <c r="L31" i="23"/>
  <c r="B41" i="26" s="1"/>
  <c r="L31" i="22"/>
  <c r="H18" i="18"/>
  <c r="H19" i="18" s="1"/>
  <c r="I18" i="18"/>
  <c r="I19" i="18" s="1"/>
  <c r="N45" i="23" l="1"/>
  <c r="D42" i="26" s="1"/>
  <c r="N45" i="22"/>
  <c r="D27" i="26" s="1"/>
  <c r="L45" i="22"/>
  <c r="C27" i="26" s="1"/>
  <c r="L45" i="23"/>
  <c r="B42" i="26" s="1"/>
  <c r="P45" i="22"/>
  <c r="E27" i="26" s="1"/>
  <c r="P45" i="23"/>
  <c r="F42" i="26" s="1"/>
  <c r="F5" i="5"/>
  <c r="L20" i="1" s="1"/>
  <c r="G5" i="5"/>
  <c r="N20" i="1" s="1"/>
  <c r="H5" i="5"/>
  <c r="P20" i="1" s="1"/>
  <c r="N22" i="23" l="1"/>
  <c r="N22" i="22"/>
  <c r="L22" i="23"/>
  <c r="L22" i="22"/>
  <c r="P22" i="23"/>
  <c r="P22" i="22"/>
  <c r="J20" i="1"/>
  <c r="J22" i="22" l="1"/>
  <c r="J22" i="23"/>
  <c r="G5" i="3"/>
  <c r="F5" i="3"/>
  <c r="N14" i="1" l="1"/>
  <c r="G10" i="3"/>
  <c r="L14" i="1"/>
  <c r="F10" i="3"/>
  <c r="I28" i="1"/>
  <c r="N16" i="23" l="1"/>
  <c r="N16" i="22"/>
  <c r="L12" i="1"/>
  <c r="L16" i="23"/>
  <c r="L16" i="22"/>
  <c r="N12" i="1"/>
  <c r="I7" i="4"/>
  <c r="I6" i="4"/>
  <c r="I5" i="4"/>
  <c r="I4" i="4"/>
  <c r="D7" i="4"/>
  <c r="I27" i="1"/>
  <c r="I26" i="1"/>
  <c r="I25" i="1"/>
  <c r="L14" i="22" l="1"/>
  <c r="L14" i="23"/>
  <c r="B38" i="26" s="1"/>
  <c r="N14" i="23"/>
  <c r="D38" i="26" s="1"/>
  <c r="N14" i="22"/>
  <c r="D28" i="1"/>
  <c r="I9" i="4"/>
  <c r="I24" i="1"/>
  <c r="I54" i="1" s="1"/>
  <c r="B53" i="26"/>
  <c r="C53" i="26"/>
  <c r="E53" i="26"/>
  <c r="C55" i="26"/>
  <c r="D55" i="26"/>
  <c r="E55" i="26"/>
  <c r="P62" i="22" l="1"/>
  <c r="E68" i="26" s="1"/>
  <c r="P62" i="23"/>
  <c r="F82" i="26" s="1"/>
  <c r="N62" i="22"/>
  <c r="D68" i="26" s="1"/>
  <c r="N62" i="23"/>
  <c r="D82" i="26" s="1"/>
  <c r="L62" i="22"/>
  <c r="C68" i="26" s="1"/>
  <c r="L62" i="23"/>
  <c r="B82" i="26" s="1"/>
  <c r="J60" i="22"/>
  <c r="B66" i="26" s="1"/>
  <c r="J60" i="23"/>
  <c r="N60" i="22"/>
  <c r="D66" i="26" s="1"/>
  <c r="N60" i="23"/>
  <c r="D80" i="26" s="1"/>
  <c r="L60" i="23"/>
  <c r="B80" i="26" s="1"/>
  <c r="L60" i="22"/>
  <c r="C66" i="26" s="1"/>
  <c r="P60" i="22"/>
  <c r="E66" i="26" s="1"/>
  <c r="P60" i="23"/>
  <c r="F80" i="26" s="1"/>
  <c r="C13" i="26"/>
  <c r="B13" i="26"/>
  <c r="E13" i="26"/>
  <c r="D13" i="26"/>
  <c r="B11" i="26"/>
  <c r="D95" i="26" l="1"/>
  <c r="F95" i="26"/>
  <c r="B26" i="26"/>
  <c r="B95" i="26"/>
  <c r="E9" i="4"/>
  <c r="G9" i="4"/>
  <c r="F9" i="4"/>
  <c r="H9" i="4"/>
  <c r="D10" i="26" l="1"/>
  <c r="E10" i="26"/>
  <c r="C10" i="26"/>
  <c r="B25" i="26"/>
  <c r="C25" i="26" l="1"/>
  <c r="D25" i="26"/>
  <c r="B10" i="26"/>
  <c r="E25" i="26"/>
  <c r="B12" i="26" l="1"/>
  <c r="H6" i="11"/>
  <c r="G6" i="11"/>
  <c r="F6" i="11"/>
  <c r="E6" i="11"/>
  <c r="E11" i="26" l="1"/>
  <c r="C11" i="26"/>
  <c r="C12" i="26" l="1"/>
  <c r="C26" i="26"/>
  <c r="E12" i="26"/>
  <c r="E26" i="26"/>
  <c r="D11" i="26"/>
  <c r="E56" i="26"/>
  <c r="P63" i="22" l="1"/>
  <c r="E69" i="26" s="1"/>
  <c r="P63" i="23"/>
  <c r="F83" i="26" s="1"/>
  <c r="D26" i="26"/>
  <c r="D12" i="26"/>
  <c r="B8" i="26" l="1"/>
  <c r="B23" i="26" l="1"/>
  <c r="B57" i="26" l="1"/>
  <c r="J64" i="23" l="1"/>
  <c r="J64" i="22"/>
  <c r="B70" i="26" s="1"/>
  <c r="C57" i="26"/>
  <c r="D57" i="26"/>
  <c r="E57" i="26"/>
  <c r="P64" i="22" l="1"/>
  <c r="E70" i="26" s="1"/>
  <c r="P64" i="23"/>
  <c r="F84" i="26" s="1"/>
  <c r="N64" i="22"/>
  <c r="D70" i="26" s="1"/>
  <c r="N64" i="23"/>
  <c r="D84" i="26" s="1"/>
  <c r="L64" i="22"/>
  <c r="C70" i="26" s="1"/>
  <c r="L64" i="23"/>
  <c r="B84" i="26" s="1"/>
  <c r="C54" i="26" l="1"/>
  <c r="D54" i="26"/>
  <c r="E54" i="26"/>
  <c r="C8" i="26"/>
  <c r="B54" i="26" l="1"/>
  <c r="C23" i="26"/>
  <c r="B93" i="26"/>
  <c r="P61" i="22"/>
  <c r="E67" i="26" s="1"/>
  <c r="P61" i="23"/>
  <c r="F81" i="26" s="1"/>
  <c r="N61" i="22"/>
  <c r="D67" i="26" s="1"/>
  <c r="N61" i="23"/>
  <c r="D81" i="26" s="1"/>
  <c r="L61" i="22"/>
  <c r="C67" i="26" s="1"/>
  <c r="L61" i="23"/>
  <c r="B81" i="26" s="1"/>
  <c r="J61" i="22"/>
  <c r="B67" i="26" s="1"/>
  <c r="J61" i="23"/>
  <c r="D8" i="26"/>
  <c r="D23" i="26" l="1"/>
  <c r="D93" i="26"/>
  <c r="E8" i="26" l="1"/>
  <c r="E23" i="26"/>
  <c r="F93" i="26"/>
  <c r="E10" i="5" l="1"/>
  <c r="D27" i="15" s="1"/>
  <c r="J19" i="1"/>
  <c r="G27" i="15" l="1"/>
  <c r="G30" i="15" s="1"/>
  <c r="D51" i="15"/>
  <c r="G51" i="15" s="1"/>
  <c r="G54" i="15" s="1"/>
  <c r="D86" i="15" s="1"/>
  <c r="E5" i="15" s="1"/>
  <c r="J21" i="23"/>
  <c r="J21" i="22"/>
  <c r="J18" i="1"/>
  <c r="J20" i="22" l="1"/>
  <c r="J20" i="23"/>
  <c r="F64" i="2"/>
  <c r="F86" i="15"/>
  <c r="E86" i="15"/>
  <c r="J61" i="1"/>
  <c r="F67" i="2"/>
  <c r="E4" i="11"/>
  <c r="J57" i="1" s="1"/>
  <c r="B9" i="26"/>
  <c r="F5" i="15" l="1"/>
  <c r="L61" i="1" s="1"/>
  <c r="G5" i="15"/>
  <c r="N61" i="1" s="1"/>
  <c r="B56" i="26"/>
  <c r="J63" i="22"/>
  <c r="B69" i="26" s="1"/>
  <c r="J63" i="23"/>
  <c r="B24" i="26"/>
  <c r="B52" i="26"/>
  <c r="B58" i="26" s="1"/>
  <c r="J59" i="22"/>
  <c r="J59" i="23"/>
  <c r="J56" i="1"/>
  <c r="N63" i="22" l="1"/>
  <c r="D69" i="26" s="1"/>
  <c r="N63" i="23"/>
  <c r="D83" i="26" s="1"/>
  <c r="D56" i="26"/>
  <c r="C56" i="26"/>
  <c r="L63" i="22"/>
  <c r="C69" i="26" s="1"/>
  <c r="L63" i="23"/>
  <c r="B83" i="26" s="1"/>
  <c r="J58" i="23"/>
  <c r="J64" i="1"/>
  <c r="J58" i="22"/>
  <c r="B65" i="26"/>
  <c r="B71" i="26" s="1"/>
  <c r="J66" i="22" l="1"/>
  <c r="J66" i="23"/>
  <c r="F4" i="5"/>
  <c r="G4" i="5"/>
  <c r="N19" i="1" s="1"/>
  <c r="H4" i="5"/>
  <c r="P19" i="1" s="1"/>
  <c r="P21" i="23" l="1"/>
  <c r="P21" i="22"/>
  <c r="N21" i="23"/>
  <c r="N21" i="22"/>
  <c r="H10" i="5"/>
  <c r="G10" i="5"/>
  <c r="P18" i="1"/>
  <c r="F10" i="5"/>
  <c r="L19" i="1"/>
  <c r="N18" i="1"/>
  <c r="P20" i="23" l="1"/>
  <c r="F39" i="26" s="1"/>
  <c r="P20" i="22"/>
  <c r="I64" i="2"/>
  <c r="I67" i="2" s="1"/>
  <c r="N20" i="23"/>
  <c r="D39" i="26" s="1"/>
  <c r="N20" i="22"/>
  <c r="H64" i="2"/>
  <c r="H67" i="2" s="1"/>
  <c r="L21" i="22"/>
  <c r="L21" i="23"/>
  <c r="L18" i="1"/>
  <c r="E9" i="26"/>
  <c r="H4" i="11"/>
  <c r="P57" i="1" s="1"/>
  <c r="D9" i="26"/>
  <c r="G4" i="11"/>
  <c r="N57" i="1" s="1"/>
  <c r="L20" i="22" l="1"/>
  <c r="L20" i="23"/>
  <c r="B39" i="26" s="1"/>
  <c r="B92" i="26" s="1"/>
  <c r="G64" i="2"/>
  <c r="G67" i="2" s="1"/>
  <c r="C9" i="26"/>
  <c r="F4" i="11"/>
  <c r="L57" i="1" s="1"/>
  <c r="E24" i="26"/>
  <c r="D24" i="26"/>
  <c r="N59" i="23"/>
  <c r="D52" i="26"/>
  <c r="D58" i="26" s="1"/>
  <c r="N56" i="1"/>
  <c r="N59" i="22"/>
  <c r="E52" i="26"/>
  <c r="E58" i="26" s="1"/>
  <c r="P59" i="22"/>
  <c r="P56" i="1"/>
  <c r="P59" i="23"/>
  <c r="D79" i="26" l="1"/>
  <c r="L56" i="1"/>
  <c r="C52" i="26"/>
  <c r="C58" i="26" s="1"/>
  <c r="L59" i="22"/>
  <c r="L59" i="23"/>
  <c r="D65" i="26"/>
  <c r="D71" i="26" s="1"/>
  <c r="N58" i="23"/>
  <c r="N64" i="1"/>
  <c r="N58" i="22"/>
  <c r="F92" i="26"/>
  <c r="C24" i="26"/>
  <c r="F79" i="26"/>
  <c r="P58" i="22"/>
  <c r="P64" i="1"/>
  <c r="P58" i="23"/>
  <c r="D92" i="26"/>
  <c r="E65" i="26"/>
  <c r="E71" i="26" s="1"/>
  <c r="B79" i="26" l="1"/>
  <c r="C65" i="26"/>
  <c r="C71" i="26" s="1"/>
  <c r="P66" i="22"/>
  <c r="P66" i="23"/>
  <c r="L58" i="23"/>
  <c r="L64" i="1"/>
  <c r="L58" i="22"/>
  <c r="D85" i="26"/>
  <c r="E79" i="26" s="1"/>
  <c r="F85" i="26"/>
  <c r="G79" i="26" s="1"/>
  <c r="N66" i="23"/>
  <c r="N66" i="22"/>
  <c r="G84" i="26" l="1"/>
  <c r="G81" i="26"/>
  <c r="G82" i="26"/>
  <c r="G80" i="26"/>
  <c r="F97" i="26"/>
  <c r="G83" i="26"/>
  <c r="E80" i="26"/>
  <c r="E84" i="26"/>
  <c r="D97" i="26"/>
  <c r="E83" i="26"/>
  <c r="E82" i="26"/>
  <c r="E81" i="26"/>
  <c r="L66" i="22"/>
  <c r="L66" i="23"/>
  <c r="B85" i="26"/>
  <c r="C81" i="26" l="1"/>
  <c r="B97" i="26"/>
  <c r="C82" i="26"/>
  <c r="C83" i="26"/>
  <c r="C84" i="26"/>
  <c r="C80" i="26"/>
  <c r="C79" i="26"/>
  <c r="E10" i="2" l="1"/>
  <c r="E12" i="2" l="1"/>
  <c r="J11" i="1"/>
  <c r="J13" i="23" l="1"/>
  <c r="J13" i="22"/>
  <c r="J4" i="1"/>
  <c r="B7" i="26" l="1"/>
  <c r="J52" i="1"/>
  <c r="B14" i="26" s="1"/>
  <c r="J6" i="22"/>
  <c r="J6" i="23"/>
  <c r="B15" i="26" l="1"/>
  <c r="J54" i="23"/>
  <c r="J54" i="22"/>
  <c r="B29" i="26" s="1"/>
  <c r="J54" i="1"/>
  <c r="K6" i="1" s="1"/>
  <c r="B22" i="26"/>
  <c r="K11" i="1" l="1"/>
  <c r="K61" i="1"/>
  <c r="K37" i="1"/>
  <c r="K33" i="1"/>
  <c r="K57" i="1"/>
  <c r="K9" i="1"/>
  <c r="K48" i="1"/>
  <c r="K10" i="1"/>
  <c r="K26" i="1"/>
  <c r="K62" i="1"/>
  <c r="K21" i="1"/>
  <c r="K38" i="1"/>
  <c r="K47" i="1"/>
  <c r="K41" i="1"/>
  <c r="K29" i="1"/>
  <c r="K34" i="1"/>
  <c r="K56" i="1"/>
  <c r="K45" i="1"/>
  <c r="K39" i="1"/>
  <c r="K60" i="1"/>
  <c r="K19" i="1"/>
  <c r="K32" i="1"/>
  <c r="K14" i="1"/>
  <c r="K43" i="1"/>
  <c r="K36" i="1"/>
  <c r="K40" i="1"/>
  <c r="K25" i="1"/>
  <c r="K5" i="1"/>
  <c r="K23" i="1"/>
  <c r="K30" i="1"/>
  <c r="K8" i="1"/>
  <c r="K50" i="1"/>
  <c r="K35" i="1"/>
  <c r="K28" i="1"/>
  <c r="K58" i="1"/>
  <c r="K59" i="1"/>
  <c r="K20" i="1"/>
  <c r="K17" i="1"/>
  <c r="K12" i="1"/>
  <c r="K18" i="1"/>
  <c r="J56" i="22"/>
  <c r="K62" i="22" s="1"/>
  <c r="J56" i="23"/>
  <c r="K54" i="23" s="1"/>
  <c r="K4" i="1"/>
  <c r="K46" i="1"/>
  <c r="K15" i="1"/>
  <c r="K27" i="1"/>
  <c r="K49" i="1"/>
  <c r="K24" i="1"/>
  <c r="K7" i="1"/>
  <c r="B30" i="26"/>
  <c r="K22" i="1"/>
  <c r="K31" i="1"/>
  <c r="K44" i="1"/>
  <c r="K13" i="1"/>
  <c r="K42" i="1"/>
  <c r="K16" i="1"/>
  <c r="K64" i="22" l="1"/>
  <c r="K9" i="22"/>
  <c r="K64" i="1"/>
  <c r="K56" i="22"/>
  <c r="K14" i="22"/>
  <c r="K11" i="22"/>
  <c r="K35" i="23"/>
  <c r="K19" i="22"/>
  <c r="K27" i="23"/>
  <c r="K13" i="23"/>
  <c r="K36" i="23"/>
  <c r="K63" i="22"/>
  <c r="K54" i="22"/>
  <c r="K53" i="23"/>
  <c r="K33" i="23"/>
  <c r="K23" i="22"/>
  <c r="K43" i="22"/>
  <c r="K26" i="23"/>
  <c r="K40" i="23"/>
  <c r="K27" i="22"/>
  <c r="K37" i="22"/>
  <c r="K14" i="23"/>
  <c r="K52" i="23"/>
  <c r="K45" i="22"/>
  <c r="K52" i="22"/>
  <c r="K8" i="23"/>
  <c r="K17" i="22"/>
  <c r="K35" i="22"/>
  <c r="K28" i="22"/>
  <c r="K64" i="23"/>
  <c r="K29" i="22"/>
  <c r="K26" i="22"/>
  <c r="K36" i="22"/>
  <c r="K12" i="23"/>
  <c r="K41" i="22"/>
  <c r="K48" i="22"/>
  <c r="K25" i="23"/>
  <c r="K37" i="23"/>
  <c r="K31" i="23"/>
  <c r="K23" i="23"/>
  <c r="K50" i="22"/>
  <c r="K10" i="22"/>
  <c r="K33" i="22"/>
  <c r="K38" i="22"/>
  <c r="K53" i="22"/>
  <c r="K21" i="23"/>
  <c r="K42" i="22"/>
  <c r="K62" i="23"/>
  <c r="K58" i="22"/>
  <c r="K46" i="22"/>
  <c r="K61" i="22"/>
  <c r="K44" i="22"/>
  <c r="K8" i="22"/>
  <c r="K30" i="23"/>
  <c r="K16" i="23"/>
  <c r="K19" i="23"/>
  <c r="K32" i="23"/>
  <c r="K24" i="23"/>
  <c r="K39" i="23"/>
  <c r="K6" i="22"/>
  <c r="K40" i="22"/>
  <c r="K18" i="22"/>
  <c r="K21" i="22"/>
  <c r="K30" i="22"/>
  <c r="K12" i="22"/>
  <c r="K56" i="23"/>
  <c r="K32" i="22"/>
  <c r="K9" i="23"/>
  <c r="K20" i="23"/>
  <c r="K11" i="23"/>
  <c r="K61" i="23"/>
  <c r="K13" i="22"/>
  <c r="K34" i="22"/>
  <c r="K25" i="22"/>
  <c r="K49" i="22"/>
  <c r="K60" i="22"/>
  <c r="K7" i="22"/>
  <c r="K51" i="22"/>
  <c r="K16" i="22"/>
  <c r="K20" i="22"/>
  <c r="K31" i="22"/>
  <c r="K47" i="22"/>
  <c r="K39" i="22"/>
  <c r="K59" i="22"/>
  <c r="K15" i="22"/>
  <c r="K22" i="22"/>
  <c r="K24" i="22"/>
  <c r="K6" i="23"/>
  <c r="K15" i="23"/>
  <c r="K44" i="23"/>
  <c r="K49" i="23"/>
  <c r="K29" i="23"/>
  <c r="K43" i="23"/>
  <c r="K42" i="23"/>
  <c r="K51" i="1"/>
  <c r="K54" i="1" s="1"/>
  <c r="K45" i="23"/>
  <c r="K59" i="23"/>
  <c r="K18" i="23"/>
  <c r="K63" i="23"/>
  <c r="K48" i="23"/>
  <c r="K51" i="23"/>
  <c r="K22" i="23"/>
  <c r="K47" i="23"/>
  <c r="K60" i="23"/>
  <c r="K58" i="23"/>
  <c r="K10" i="23"/>
  <c r="K7" i="23"/>
  <c r="K52" i="1"/>
  <c r="F10" i="2" s="1"/>
  <c r="F12" i="2" s="1"/>
  <c r="K41" i="23"/>
  <c r="K46" i="23"/>
  <c r="K28" i="23"/>
  <c r="K50" i="23"/>
  <c r="K34" i="23"/>
  <c r="K38" i="23"/>
  <c r="K17" i="23"/>
  <c r="K66" i="22" l="1"/>
  <c r="K66" i="23"/>
  <c r="L11" i="1"/>
  <c r="L13" i="22" s="1"/>
  <c r="L4" i="1" l="1"/>
  <c r="L52" i="1" s="1"/>
  <c r="L13" i="23"/>
  <c r="L6" i="23" l="1"/>
  <c r="B37" i="26" s="1"/>
  <c r="L6" i="22"/>
  <c r="C22" i="26" s="1"/>
  <c r="C7" i="26"/>
  <c r="L54" i="22"/>
  <c r="C29" i="26" s="1"/>
  <c r="L54" i="23"/>
  <c r="B44" i="26" s="1"/>
  <c r="B96" i="26" s="1"/>
  <c r="L54" i="1"/>
  <c r="M50" i="1" s="1"/>
  <c r="C14" i="26"/>
  <c r="G10" i="2"/>
  <c r="B94" i="26" l="1"/>
  <c r="B45" i="26"/>
  <c r="C37" i="26" s="1"/>
  <c r="C15" i="26"/>
  <c r="M21" i="1"/>
  <c r="M20" i="1"/>
  <c r="M48" i="1"/>
  <c r="M59" i="1"/>
  <c r="M16" i="1"/>
  <c r="L56" i="22"/>
  <c r="M49" i="22" s="1"/>
  <c r="L56" i="23"/>
  <c r="M21" i="23" s="1"/>
  <c r="M9" i="1"/>
  <c r="M17" i="1"/>
  <c r="M58" i="1"/>
  <c r="M14" i="1"/>
  <c r="M29" i="1"/>
  <c r="M28" i="1"/>
  <c r="M60" i="1"/>
  <c r="M22" i="1"/>
  <c r="M25" i="1"/>
  <c r="M26" i="1"/>
  <c r="M4" i="1"/>
  <c r="M12" i="1"/>
  <c r="M46" i="1"/>
  <c r="M11" i="1"/>
  <c r="M15" i="1"/>
  <c r="M38" i="1"/>
  <c r="M33" i="1"/>
  <c r="M23" i="1"/>
  <c r="M8" i="1"/>
  <c r="M7" i="1"/>
  <c r="M6" i="1"/>
  <c r="M62" i="1"/>
  <c r="M42" i="1"/>
  <c r="M19" i="1"/>
  <c r="M45" i="1"/>
  <c r="M56" i="1"/>
  <c r="M43" i="1"/>
  <c r="M41" i="1"/>
  <c r="M10" i="1"/>
  <c r="M61" i="1"/>
  <c r="M36" i="1"/>
  <c r="M47" i="1"/>
  <c r="M40" i="1"/>
  <c r="M39" i="1"/>
  <c r="M49" i="1"/>
  <c r="M5" i="1"/>
  <c r="M27" i="1"/>
  <c r="M31" i="1"/>
  <c r="M24" i="1"/>
  <c r="M34" i="1"/>
  <c r="M37" i="1"/>
  <c r="M35" i="1"/>
  <c r="C30" i="26"/>
  <c r="M13" i="1"/>
  <c r="M44" i="1"/>
  <c r="M32" i="1"/>
  <c r="M18" i="1"/>
  <c r="M30" i="1"/>
  <c r="M57" i="1"/>
  <c r="N11" i="1"/>
  <c r="G12" i="2"/>
  <c r="C43" i="26" l="1"/>
  <c r="C40" i="26"/>
  <c r="C42" i="26"/>
  <c r="C38" i="26"/>
  <c r="C41" i="26"/>
  <c r="C39" i="26"/>
  <c r="B98" i="26"/>
  <c r="C94" i="26" s="1"/>
  <c r="C44" i="26"/>
  <c r="M13" i="23"/>
  <c r="M37" i="23"/>
  <c r="M42" i="23"/>
  <c r="M7" i="23"/>
  <c r="M43" i="23"/>
  <c r="M23" i="23"/>
  <c r="M30" i="23"/>
  <c r="M28" i="23"/>
  <c r="M53" i="23"/>
  <c r="M29" i="23"/>
  <c r="M24" i="23"/>
  <c r="M18" i="23"/>
  <c r="M51" i="22"/>
  <c r="M9" i="23"/>
  <c r="M62" i="23"/>
  <c r="M38" i="22"/>
  <c r="M39" i="23"/>
  <c r="M19" i="23"/>
  <c r="M17" i="22"/>
  <c r="M15" i="22"/>
  <c r="M13" i="22"/>
  <c r="M44" i="22"/>
  <c r="M18" i="22"/>
  <c r="M35" i="22"/>
  <c r="M25" i="22"/>
  <c r="M53" i="22"/>
  <c r="M14" i="22"/>
  <c r="M21" i="22"/>
  <c r="M63" i="22"/>
  <c r="M58" i="22"/>
  <c r="M50" i="22"/>
  <c r="M20" i="22"/>
  <c r="M27" i="22"/>
  <c r="M60" i="22"/>
  <c r="M9" i="22"/>
  <c r="M11" i="22"/>
  <c r="M28" i="22"/>
  <c r="M43" i="22"/>
  <c r="M29" i="22"/>
  <c r="M33" i="22"/>
  <c r="M16" i="22"/>
  <c r="M40" i="22"/>
  <c r="M19" i="22"/>
  <c r="M48" i="22"/>
  <c r="M46" i="23"/>
  <c r="M27" i="23"/>
  <c r="M54" i="23"/>
  <c r="M48" i="23"/>
  <c r="M49" i="23"/>
  <c r="M33" i="23"/>
  <c r="M30" i="22"/>
  <c r="M61" i="22"/>
  <c r="M52" i="22"/>
  <c r="M62" i="22"/>
  <c r="M36" i="22"/>
  <c r="M47" i="22"/>
  <c r="M31" i="22"/>
  <c r="M15" i="23"/>
  <c r="M56" i="23"/>
  <c r="M26" i="23"/>
  <c r="M36" i="23"/>
  <c r="M10" i="23"/>
  <c r="M11" i="23"/>
  <c r="M6" i="22"/>
  <c r="M56" i="22"/>
  <c r="M39" i="22"/>
  <c r="M22" i="22"/>
  <c r="M8" i="22"/>
  <c r="M12" i="22"/>
  <c r="M46" i="22"/>
  <c r="M10" i="22"/>
  <c r="M45" i="23"/>
  <c r="M16" i="23"/>
  <c r="M8" i="23"/>
  <c r="M40" i="23"/>
  <c r="M31" i="23"/>
  <c r="M60" i="23"/>
  <c r="M12" i="23"/>
  <c r="M52" i="23"/>
  <c r="M25" i="23"/>
  <c r="M6" i="23"/>
  <c r="M37" i="22"/>
  <c r="M32" i="22"/>
  <c r="M34" i="22"/>
  <c r="M26" i="22"/>
  <c r="M54" i="22"/>
  <c r="M7" i="22"/>
  <c r="M41" i="22"/>
  <c r="M64" i="23"/>
  <c r="M59" i="23"/>
  <c r="M47" i="23"/>
  <c r="M63" i="23"/>
  <c r="M32" i="23"/>
  <c r="M17" i="23"/>
  <c r="M45" i="22"/>
  <c r="M64" i="22"/>
  <c r="M42" i="22"/>
  <c r="M59" i="22"/>
  <c r="M23" i="22"/>
  <c r="M24" i="22"/>
  <c r="M41" i="23"/>
  <c r="M38" i="23"/>
  <c r="M14" i="23"/>
  <c r="M35" i="23"/>
  <c r="M44" i="23"/>
  <c r="M61" i="23"/>
  <c r="M51" i="23"/>
  <c r="M50" i="23"/>
  <c r="M20" i="23"/>
  <c r="M58" i="23"/>
  <c r="M34" i="23"/>
  <c r="M22" i="23"/>
  <c r="M52" i="1"/>
  <c r="H10" i="2" s="1"/>
  <c r="H12" i="2" s="1"/>
  <c r="M51" i="1"/>
  <c r="M54" i="1" s="1"/>
  <c r="M64" i="1"/>
  <c r="N13" i="23"/>
  <c r="N13" i="22"/>
  <c r="N4" i="1"/>
  <c r="C95" i="26" l="1"/>
  <c r="C93" i="26"/>
  <c r="C92" i="26"/>
  <c r="C97" i="26"/>
  <c r="C96" i="26"/>
  <c r="M66" i="23"/>
  <c r="M66" i="22"/>
  <c r="P11" i="1"/>
  <c r="P13" i="22" s="1"/>
  <c r="D7" i="26"/>
  <c r="N52" i="1"/>
  <c r="N6" i="22"/>
  <c r="N6" i="23"/>
  <c r="D37" i="26" s="1"/>
  <c r="D94" i="26" l="1"/>
  <c r="P13" i="23"/>
  <c r="P4" i="1"/>
  <c r="P52" i="1" s="1"/>
  <c r="P54" i="1" s="1"/>
  <c r="N54" i="22"/>
  <c r="D29" i="26" s="1"/>
  <c r="N54" i="23"/>
  <c r="D44" i="26" s="1"/>
  <c r="D96" i="26" s="1"/>
  <c r="N54" i="1"/>
  <c r="O20" i="1" s="1"/>
  <c r="D22" i="26"/>
  <c r="D14" i="26"/>
  <c r="D15" i="26" s="1"/>
  <c r="D45" i="26" l="1"/>
  <c r="E37" i="26" s="1"/>
  <c r="E42" i="26"/>
  <c r="E38" i="26"/>
  <c r="D98" i="26"/>
  <c r="P6" i="22"/>
  <c r="E22" i="26" s="1"/>
  <c r="O22" i="1"/>
  <c r="O18" i="1"/>
  <c r="O14" i="1"/>
  <c r="E7" i="26"/>
  <c r="D30" i="26"/>
  <c r="P6" i="23"/>
  <c r="F37" i="26" s="1"/>
  <c r="O59" i="1"/>
  <c r="O25" i="1"/>
  <c r="O29" i="1"/>
  <c r="O11" i="1"/>
  <c r="O45" i="1"/>
  <c r="O31" i="1"/>
  <c r="O57" i="1"/>
  <c r="O50" i="1"/>
  <c r="O17" i="1"/>
  <c r="O36" i="1"/>
  <c r="O21" i="1"/>
  <c r="O33" i="1"/>
  <c r="O10" i="1"/>
  <c r="O47" i="1"/>
  <c r="O16" i="1"/>
  <c r="O62" i="1"/>
  <c r="O41" i="1"/>
  <c r="O19" i="1"/>
  <c r="O5" i="1"/>
  <c r="O32" i="1"/>
  <c r="O56" i="1"/>
  <c r="O43" i="1"/>
  <c r="O7" i="1"/>
  <c r="O42" i="1"/>
  <c r="O6" i="1"/>
  <c r="O30" i="1"/>
  <c r="O23" i="1"/>
  <c r="O39" i="1"/>
  <c r="O28" i="1"/>
  <c r="O24" i="1"/>
  <c r="O38" i="1"/>
  <c r="N56" i="23"/>
  <c r="O6" i="23" s="1"/>
  <c r="O34" i="1"/>
  <c r="O9" i="1"/>
  <c r="O60" i="1"/>
  <c r="O61" i="1"/>
  <c r="O48" i="1"/>
  <c r="O37" i="1"/>
  <c r="O44" i="1"/>
  <c r="O49" i="1"/>
  <c r="O15" i="1"/>
  <c r="O35" i="1"/>
  <c r="O8" i="1"/>
  <c r="O12" i="1"/>
  <c r="O27" i="1"/>
  <c r="O4" i="1"/>
  <c r="N56" i="22"/>
  <c r="O33" i="22" s="1"/>
  <c r="O46" i="1"/>
  <c r="O40" i="1"/>
  <c r="O26" i="1"/>
  <c r="O58" i="1"/>
  <c r="O13" i="1"/>
  <c r="E14" i="26"/>
  <c r="P54" i="22"/>
  <c r="E29" i="26" s="1"/>
  <c r="Q27" i="1"/>
  <c r="P54" i="23"/>
  <c r="F44" i="26" s="1"/>
  <c r="F96" i="26" s="1"/>
  <c r="E40" i="26" l="1"/>
  <c r="E44" i="26"/>
  <c r="E41" i="26"/>
  <c r="E39" i="26"/>
  <c r="E43" i="26"/>
  <c r="F94" i="26"/>
  <c r="F45" i="26"/>
  <c r="G37" i="26" s="1"/>
  <c r="E97" i="26"/>
  <c r="E95" i="26"/>
  <c r="E96" i="26"/>
  <c r="E92" i="26"/>
  <c r="E93" i="26"/>
  <c r="E94" i="26"/>
  <c r="E15" i="26"/>
  <c r="O26" i="23"/>
  <c r="O7" i="23"/>
  <c r="O60" i="23"/>
  <c r="O27" i="23"/>
  <c r="O35" i="23"/>
  <c r="O56" i="23"/>
  <c r="O17" i="23"/>
  <c r="O18" i="23"/>
  <c r="O59" i="23"/>
  <c r="O38" i="23"/>
  <c r="O24" i="23"/>
  <c r="O8" i="23"/>
  <c r="O13" i="23"/>
  <c r="O46" i="23"/>
  <c r="O51" i="23"/>
  <c r="O31" i="23"/>
  <c r="O53" i="23"/>
  <c r="O40" i="23"/>
  <c r="O61" i="23"/>
  <c r="O43" i="23"/>
  <c r="O9" i="23"/>
  <c r="O17" i="22"/>
  <c r="O30" i="23"/>
  <c r="O58" i="23"/>
  <c r="O42" i="23"/>
  <c r="O29" i="23"/>
  <c r="O41" i="23"/>
  <c r="O44" i="22"/>
  <c r="Q10" i="1"/>
  <c r="O14" i="22"/>
  <c r="O39" i="22"/>
  <c r="O20" i="22"/>
  <c r="O63" i="22"/>
  <c r="O15" i="23"/>
  <c r="O14" i="23"/>
  <c r="O9" i="22"/>
  <c r="Q29" i="1"/>
  <c r="O31" i="22"/>
  <c r="O49" i="22"/>
  <c r="P56" i="22"/>
  <c r="Q21" i="22" s="1"/>
  <c r="Q56" i="1"/>
  <c r="O15" i="22"/>
  <c r="O8" i="22"/>
  <c r="O12" i="22"/>
  <c r="O62" i="22"/>
  <c r="O10" i="22"/>
  <c r="Q21" i="1"/>
  <c r="Q30" i="1"/>
  <c r="Q9" i="1"/>
  <c r="Q42" i="1"/>
  <c r="Q4" i="1"/>
  <c r="O30" i="22"/>
  <c r="O23" i="22"/>
  <c r="O42" i="22"/>
  <c r="O45" i="22"/>
  <c r="O34" i="22"/>
  <c r="O35" i="22"/>
  <c r="O41" i="22"/>
  <c r="Q39" i="1"/>
  <c r="Q49" i="1"/>
  <c r="Q7" i="1"/>
  <c r="Q14" i="1"/>
  <c r="Q59" i="1"/>
  <c r="Q32" i="1"/>
  <c r="O46" i="22"/>
  <c r="O18" i="22"/>
  <c r="P56" i="23"/>
  <c r="Q6" i="23" s="1"/>
  <c r="O19" i="22"/>
  <c r="O48" i="22"/>
  <c r="O60" i="22"/>
  <c r="Q12" i="1"/>
  <c r="O56" i="22"/>
  <c r="Q57" i="1"/>
  <c r="Q43" i="1"/>
  <c r="Q22" i="1"/>
  <c r="Q20" i="1"/>
  <c r="O36" i="22"/>
  <c r="O61" i="22"/>
  <c r="Q24" i="1"/>
  <c r="Q13" i="1"/>
  <c r="O52" i="22"/>
  <c r="O13" i="22"/>
  <c r="O38" i="22"/>
  <c r="O25" i="22"/>
  <c r="O43" i="22"/>
  <c r="O59" i="22"/>
  <c r="O37" i="22"/>
  <c r="O24" i="22"/>
  <c r="O53" i="22"/>
  <c r="O21" i="22"/>
  <c r="O50" i="22"/>
  <c r="O29" i="22"/>
  <c r="Q11" i="1"/>
  <c r="Q61" i="1"/>
  <c r="Q62" i="1"/>
  <c r="Q34" i="1"/>
  <c r="Q16" i="1"/>
  <c r="O32" i="22"/>
  <c r="O22" i="22"/>
  <c r="O27" i="22"/>
  <c r="Q28" i="1"/>
  <c r="O51" i="1"/>
  <c r="O54" i="1" s="1"/>
  <c r="O58" i="22"/>
  <c r="O16" i="22"/>
  <c r="Q19" i="1"/>
  <c r="O51" i="22"/>
  <c r="O47" i="22"/>
  <c r="O64" i="22"/>
  <c r="O6" i="22"/>
  <c r="O40" i="22"/>
  <c r="O11" i="22"/>
  <c r="O26" i="22"/>
  <c r="O28" i="22"/>
  <c r="O54" i="22"/>
  <c r="O7" i="22"/>
  <c r="Q5" i="1"/>
  <c r="Q36" i="1"/>
  <c r="Q60" i="1"/>
  <c r="Q35" i="1"/>
  <c r="O62" i="23"/>
  <c r="O16" i="23"/>
  <c r="O39" i="23"/>
  <c r="O63" i="23"/>
  <c r="O36" i="23"/>
  <c r="O12" i="23"/>
  <c r="O32" i="23"/>
  <c r="O22" i="23"/>
  <c r="O34" i="23"/>
  <c r="O21" i="23"/>
  <c r="O52" i="23"/>
  <c r="O37" i="23"/>
  <c r="O11" i="23"/>
  <c r="Q23" i="1"/>
  <c r="Q44" i="1"/>
  <c r="Q25" i="1"/>
  <c r="Q17" i="1"/>
  <c r="Q45" i="1"/>
  <c r="Q50" i="1"/>
  <c r="O19" i="23"/>
  <c r="O33" i="23"/>
  <c r="O47" i="23"/>
  <c r="O48" i="23"/>
  <c r="O50" i="23"/>
  <c r="O44" i="23"/>
  <c r="Q58" i="1"/>
  <c r="Q33" i="1"/>
  <c r="Q15" i="1"/>
  <c r="Q18" i="1"/>
  <c r="Q40" i="1"/>
  <c r="Q31" i="1"/>
  <c r="Q26" i="1"/>
  <c r="O10" i="23"/>
  <c r="O28" i="23"/>
  <c r="O64" i="23"/>
  <c r="O45" i="23"/>
  <c r="O23" i="23"/>
  <c r="O25" i="23"/>
  <c r="O20" i="23"/>
  <c r="O49" i="23"/>
  <c r="Q8" i="1"/>
  <c r="Q6" i="1"/>
  <c r="Q41" i="1"/>
  <c r="Q46" i="1"/>
  <c r="Q37" i="1"/>
  <c r="Q48" i="1"/>
  <c r="Q47" i="1"/>
  <c r="O64" i="1"/>
  <c r="O52" i="1"/>
  <c r="E30" i="26"/>
  <c r="Q38" i="1"/>
  <c r="O54" i="23"/>
  <c r="G39" i="26" l="1"/>
  <c r="G42" i="26"/>
  <c r="G43" i="26"/>
  <c r="G41" i="26"/>
  <c r="G40" i="26"/>
  <c r="G44" i="26"/>
  <c r="G38" i="26"/>
  <c r="F98" i="26"/>
  <c r="G94" i="26" s="1"/>
  <c r="Q52" i="22"/>
  <c r="Q45" i="23"/>
  <c r="Q62" i="22"/>
  <c r="Q43" i="22"/>
  <c r="Q25" i="22"/>
  <c r="Q16" i="23"/>
  <c r="O66" i="23"/>
  <c r="Q22" i="22"/>
  <c r="Q24" i="22"/>
  <c r="Q64" i="23"/>
  <c r="Q22" i="23"/>
  <c r="Q36" i="23"/>
  <c r="Q49" i="23"/>
  <c r="Q13" i="23"/>
  <c r="Q37" i="23"/>
  <c r="Q29" i="23"/>
  <c r="Q27" i="23"/>
  <c r="Q40" i="22"/>
  <c r="Q30" i="22"/>
  <c r="Q34" i="22"/>
  <c r="Q44" i="22"/>
  <c r="Q53" i="22"/>
  <c r="Q39" i="22"/>
  <c r="Q18" i="22"/>
  <c r="Q35" i="22"/>
  <c r="Q56" i="23"/>
  <c r="Q62" i="23"/>
  <c r="Q16" i="22"/>
  <c r="Q46" i="22"/>
  <c r="Q10" i="22"/>
  <c r="Q19" i="22"/>
  <c r="Q60" i="23"/>
  <c r="Q63" i="23"/>
  <c r="Q32" i="23"/>
  <c r="Q64" i="1"/>
  <c r="Q36" i="22"/>
  <c r="Q13" i="22"/>
  <c r="Q41" i="22"/>
  <c r="Q12" i="22"/>
  <c r="Q31" i="22"/>
  <c r="Q30" i="23"/>
  <c r="Q19" i="23"/>
  <c r="Q38" i="23"/>
  <c r="Q48" i="22"/>
  <c r="Q38" i="22"/>
  <c r="Q26" i="22"/>
  <c r="Q15" i="22"/>
  <c r="Q63" i="22"/>
  <c r="Q8" i="23"/>
  <c r="Q23" i="23"/>
  <c r="Q54" i="23"/>
  <c r="Q52" i="1"/>
  <c r="Q6" i="22"/>
  <c r="Q28" i="22"/>
  <c r="Q64" i="22"/>
  <c r="Q47" i="22"/>
  <c r="Q50" i="22"/>
  <c r="Q14" i="22"/>
  <c r="Q20" i="22"/>
  <c r="Q23" i="22"/>
  <c r="Q29" i="22"/>
  <c r="Q33" i="22"/>
  <c r="Q7" i="22"/>
  <c r="Q37" i="22"/>
  <c r="Q42" i="22"/>
  <c r="Q58" i="22"/>
  <c r="Q9" i="22"/>
  <c r="Q17" i="22"/>
  <c r="Q51" i="22"/>
  <c r="Q32" i="22"/>
  <c r="Q61" i="22"/>
  <c r="Q59" i="22"/>
  <c r="Q54" i="22"/>
  <c r="Q56" i="22"/>
  <c r="Q49" i="22"/>
  <c r="Q60" i="22"/>
  <c r="Q8" i="22"/>
  <c r="Q11" i="22"/>
  <c r="Q27" i="22"/>
  <c r="Q45" i="22"/>
  <c r="O66" i="22"/>
  <c r="Q28" i="23"/>
  <c r="Q47" i="23"/>
  <c r="Q17" i="23"/>
  <c r="Q48" i="23"/>
  <c r="Q39" i="23"/>
  <c r="Q61" i="23"/>
  <c r="Q51" i="23"/>
  <c r="Q15" i="23"/>
  <c r="Q10" i="23"/>
  <c r="Q46" i="23"/>
  <c r="Q14" i="23"/>
  <c r="Q11" i="23"/>
  <c r="Q35" i="23"/>
  <c r="Q41" i="23"/>
  <c r="Q18" i="23"/>
  <c r="Q44" i="23"/>
  <c r="Q24" i="23"/>
  <c r="Q33" i="23"/>
  <c r="Q25" i="23"/>
  <c r="Q59" i="23"/>
  <c r="Q53" i="23"/>
  <c r="Q34" i="23"/>
  <c r="Q52" i="23"/>
  <c r="Q21" i="23"/>
  <c r="Q42" i="23"/>
  <c r="Q26" i="23"/>
  <c r="Q9" i="23"/>
  <c r="Q58" i="23"/>
  <c r="Q12" i="23"/>
  <c r="Q31" i="23"/>
  <c r="Q50" i="23"/>
  <c r="Q43" i="23"/>
  <c r="Q20" i="23"/>
  <c r="Q40" i="23"/>
  <c r="Q7" i="23"/>
  <c r="Q51" i="1"/>
  <c r="Q54" i="1" s="1"/>
  <c r="G96" i="26" l="1"/>
  <c r="G93" i="26"/>
  <c r="G95" i="26"/>
  <c r="G92" i="26"/>
  <c r="G97" i="26"/>
  <c r="Q66" i="23"/>
  <c r="Q66" i="22"/>
</calcChain>
</file>

<file path=xl/sharedStrings.xml><?xml version="1.0" encoding="utf-8"?>
<sst xmlns="http://schemas.openxmlformats.org/spreadsheetml/2006/main" count="1458" uniqueCount="527">
  <si>
    <t>Capex</t>
  </si>
  <si>
    <t>Permitting and Environmental Compliance</t>
  </si>
  <si>
    <t>1.1.1</t>
  </si>
  <si>
    <t>Siting &amp; Scoping</t>
  </si>
  <si>
    <t>1.1.2</t>
  </si>
  <si>
    <t>Pre-Installation Studies</t>
  </si>
  <si>
    <t>1.1.3</t>
  </si>
  <si>
    <t>Post-Installation Studies</t>
  </si>
  <si>
    <t>NEPA &amp; Process</t>
  </si>
  <si>
    <t>1.2.1</t>
  </si>
  <si>
    <t>Infrastructure</t>
  </si>
  <si>
    <t>1.2.2</t>
  </si>
  <si>
    <t>Subsea Cables</t>
  </si>
  <si>
    <t>1.2.3</t>
  </si>
  <si>
    <t>Dockside Improvements</t>
  </si>
  <si>
    <t>1.2.4</t>
  </si>
  <si>
    <t>1.2.5</t>
  </si>
  <si>
    <t>Other</t>
  </si>
  <si>
    <t>Mooring/Foundation</t>
  </si>
  <si>
    <t>1.3.1</t>
  </si>
  <si>
    <t>Mooring lines/chain</t>
  </si>
  <si>
    <t>1.3.2</t>
  </si>
  <si>
    <t>Anchors</t>
  </si>
  <si>
    <t>1.3.3</t>
  </si>
  <si>
    <t>1.3.4</t>
  </si>
  <si>
    <t>Connecting Hardware (shackles etc.)</t>
  </si>
  <si>
    <t>1.3.5</t>
  </si>
  <si>
    <t>Device Structural Components</t>
  </si>
  <si>
    <t>1.4.1</t>
  </si>
  <si>
    <t>1.4.2</t>
  </si>
  <si>
    <t>1.4.3</t>
  </si>
  <si>
    <t>1.4.4</t>
  </si>
  <si>
    <t>Power Take Off</t>
  </si>
  <si>
    <t>1.5.1</t>
  </si>
  <si>
    <t>Generator</t>
  </si>
  <si>
    <t>1.5.2</t>
  </si>
  <si>
    <t>1.5.3</t>
  </si>
  <si>
    <t>1.5.4</t>
  </si>
  <si>
    <t>Hydraulic System</t>
  </si>
  <si>
    <t>Frequency Converter</t>
  </si>
  <si>
    <t>1.5.5</t>
  </si>
  <si>
    <t>Step-up Transformer</t>
  </si>
  <si>
    <t>1.5.6</t>
  </si>
  <si>
    <t>Riser Cable</t>
  </si>
  <si>
    <t>1.5.7</t>
  </si>
  <si>
    <t>Electrical Energy Storage</t>
  </si>
  <si>
    <t>1.5.8</t>
  </si>
  <si>
    <t>Installation</t>
  </si>
  <si>
    <t>Transport to Staging Site</t>
  </si>
  <si>
    <t>Cable Shore Landing</t>
  </si>
  <si>
    <t>Device Installation</t>
  </si>
  <si>
    <t>Device Comissioning</t>
  </si>
  <si>
    <t>Insurance</t>
  </si>
  <si>
    <t>Environmental Monitoring and Regulatory Compliance</t>
  </si>
  <si>
    <t>Marine Operations</t>
  </si>
  <si>
    <t>Shoreside Operations</t>
  </si>
  <si>
    <t>Replacement Parts</t>
  </si>
  <si>
    <t>Consumables</t>
  </si>
  <si>
    <t>Annualized OPEX</t>
  </si>
  <si>
    <t>Dedicated O&amp;M Vessel</t>
  </si>
  <si>
    <t>Seals</t>
  </si>
  <si>
    <t>1.5.9</t>
  </si>
  <si>
    <t xml:space="preserve">Control System </t>
  </si>
  <si>
    <t>Device Access (Railings, Ladders, etc)</t>
  </si>
  <si>
    <t>Bearings and Linear Guides</t>
  </si>
  <si>
    <t>Assembly, Testing &amp; QA</t>
  </si>
  <si>
    <t>Units</t>
  </si>
  <si>
    <t>1.5.10</t>
  </si>
  <si>
    <t>1.5.11</t>
  </si>
  <si>
    <t>1.5.12</t>
  </si>
  <si>
    <t>1.5.13</t>
  </si>
  <si>
    <t>Mooring/Foundation System</t>
  </si>
  <si>
    <t>Subsystem Integration &amp; Profit Margin</t>
  </si>
  <si>
    <t>1.7.1</t>
  </si>
  <si>
    <t>1.7.2</t>
  </si>
  <si>
    <t>1.7.3</t>
  </si>
  <si>
    <t>1.7.4</t>
  </si>
  <si>
    <t>1.7.5</t>
  </si>
  <si>
    <t>1.7.6</t>
  </si>
  <si>
    <t>Cost</t>
  </si>
  <si>
    <t>Total Cost</t>
  </si>
  <si>
    <t>Total</t>
  </si>
  <si>
    <t>Assumptions</t>
  </si>
  <si>
    <t>Component</t>
  </si>
  <si>
    <t>Sum</t>
  </si>
  <si>
    <t>1-Unit</t>
  </si>
  <si>
    <t>Subsystem Integration and Profit margins are difficult to estimate given the level of design of the reference model.  For consistency and to make it simple, this was assumed to be 10% of the machine cost.  This is probably low for single unit production scale</t>
  </si>
  <si>
    <t xml:space="preserve">However, because the primary focus of the RM effort is in identifying cost reduction pathways it was decided to apply this assumption, rather then an assumption as a function of deployment scale.  </t>
  </si>
  <si>
    <t>10 Units</t>
  </si>
  <si>
    <t>50 Units</t>
  </si>
  <si>
    <t>100 Units</t>
  </si>
  <si>
    <t>Transport Cost to Staging Site</t>
  </si>
  <si>
    <t>1 - Unit</t>
  </si>
  <si>
    <t>10 - Units</t>
  </si>
  <si>
    <t>100 - Units</t>
  </si>
  <si>
    <t>50 - Units</t>
  </si>
  <si>
    <t>Note: Typical in offshore one-off projects</t>
  </si>
  <si>
    <t>Note: Typical in Onshore Wind, assuming high technical maturity</t>
  </si>
  <si>
    <t>Comments/Notes</t>
  </si>
  <si>
    <t>1 Unit</t>
  </si>
  <si>
    <t>Totals</t>
  </si>
  <si>
    <t>Development</t>
  </si>
  <si>
    <t>1.1.1.1</t>
  </si>
  <si>
    <t>1.1.1.2</t>
  </si>
  <si>
    <t>1.1.1.3</t>
  </si>
  <si>
    <t>1.1.1.4</t>
  </si>
  <si>
    <t>Site Assessment</t>
  </si>
  <si>
    <t>Design &amp; Engineering</t>
  </si>
  <si>
    <t>10-Units</t>
  </si>
  <si>
    <t>100-Units</t>
  </si>
  <si>
    <t>50-Units</t>
  </si>
  <si>
    <t>Cost Summary</t>
  </si>
  <si>
    <t>Weight (tonnes)</t>
  </si>
  <si>
    <t>Profit</t>
  </si>
  <si>
    <t>Mass</t>
  </si>
  <si>
    <t>Category</t>
  </si>
  <si>
    <t>Prog Ratio</t>
  </si>
  <si>
    <t>Cost per unit</t>
  </si>
  <si>
    <t>Siting and Scoping</t>
  </si>
  <si>
    <t>Environmental Scoping</t>
  </si>
  <si>
    <t>Community Outreach</t>
  </si>
  <si>
    <t>Regulatory Outreach</t>
  </si>
  <si>
    <t>Fish and Invertebrates</t>
  </si>
  <si>
    <t>Habitat</t>
  </si>
  <si>
    <t>Cultural Resources</t>
  </si>
  <si>
    <t>Navigation</t>
  </si>
  <si>
    <t>Recreation</t>
  </si>
  <si>
    <t>Post-Install Capital</t>
  </si>
  <si>
    <t>NEPA Document Preparation</t>
  </si>
  <si>
    <t>Monitoring and Study Plans</t>
  </si>
  <si>
    <t>NEPA and Process</t>
  </si>
  <si>
    <t xml:space="preserve">Material </t>
  </si>
  <si>
    <t>Labor</t>
  </si>
  <si>
    <t>Material</t>
  </si>
  <si>
    <t>m</t>
  </si>
  <si>
    <t>1.2.3 Dockside Improvements</t>
  </si>
  <si>
    <t>1.2.4 Dedicated O&amp;M Vessel</t>
  </si>
  <si>
    <t>1.3.1 Mooring Lines / Chain</t>
  </si>
  <si>
    <t>1.3.2 Anchors</t>
  </si>
  <si>
    <t>% of Structural</t>
  </si>
  <si>
    <t>PTO mounting</t>
  </si>
  <si>
    <t>kW</t>
  </si>
  <si>
    <t>Mass (kg)</t>
  </si>
  <si>
    <t># Units</t>
  </si>
  <si>
    <t>Contingency</t>
  </si>
  <si>
    <t>Design and Engineering</t>
  </si>
  <si>
    <t>Decommissioning</t>
  </si>
  <si>
    <t>in%</t>
  </si>
  <si>
    <t>in %</t>
  </si>
  <si>
    <t>% of total assumpton</t>
  </si>
  <si>
    <t>Cost Estimating Notes</t>
  </si>
  <si>
    <t>Terminations and Connectors</t>
  </si>
  <si>
    <t>1.2.2 Terminations and Connectors</t>
  </si>
  <si>
    <t>Structural Cost Total from 1-3</t>
  </si>
  <si>
    <t>tonnes</t>
  </si>
  <si>
    <t>Non-Reccuring</t>
  </si>
  <si>
    <t>Non-Recurring</t>
  </si>
  <si>
    <t>Non-recurring</t>
  </si>
  <si>
    <t>1.6 Subsystem Integration and Profit Margin</t>
  </si>
  <si>
    <t>10% of Machine Cost</t>
  </si>
  <si>
    <t>Transmission Efficiency</t>
  </si>
  <si>
    <t>Annual Output</t>
  </si>
  <si>
    <t>3. Cost Estimates provided herein are based on concept design and engineering data and have high levels of uncertainties embedded</t>
  </si>
  <si>
    <t>Project Design, Engineering, and Management</t>
  </si>
  <si>
    <t>1.8 Decomissioning</t>
  </si>
  <si>
    <t>1.9 Contingency</t>
  </si>
  <si>
    <t>occurs at the end of the 20-year project life, having a minimal impact on the cost of electricty from this plant.  Decomissioning costs are not represented in the CoE assessment.</t>
  </si>
  <si>
    <t>MACRS Depreciation</t>
  </si>
  <si>
    <t>Construction Finance Rate</t>
  </si>
  <si>
    <t>Effective Tax Rate</t>
  </si>
  <si>
    <t>Technical Input Parameters</t>
  </si>
  <si>
    <t>Average Power Flux</t>
  </si>
  <si>
    <t>Energy Extraction</t>
  </si>
  <si>
    <t>Average Extracted Power</t>
  </si>
  <si>
    <t>Average Electric Power</t>
  </si>
  <si>
    <t>Rated Electric Power</t>
  </si>
  <si>
    <t xml:space="preserve">Machine Capacity Factor </t>
  </si>
  <si>
    <t>Array Parameters</t>
  </si>
  <si>
    <t># of US homes equivalent</t>
  </si>
  <si>
    <t>Array/Turbine Availability</t>
  </si>
  <si>
    <t>MWh/year</t>
  </si>
  <si>
    <t>Resource and Performance Outputs</t>
  </si>
  <si>
    <t>Site Resource Parameters</t>
  </si>
  <si>
    <t>Economic Parameters (Utility Generator Model)</t>
  </si>
  <si>
    <t>State Tax Rate</t>
  </si>
  <si>
    <t>Return on Equity</t>
  </si>
  <si>
    <t>Equity</t>
  </si>
  <si>
    <t>Debt</t>
  </si>
  <si>
    <t>Return on Debt</t>
  </si>
  <si>
    <t>Federal Tax Rate</t>
  </si>
  <si>
    <t>Plant Life (years)</t>
  </si>
  <si>
    <t>Year 1</t>
  </si>
  <si>
    <t>Year 2</t>
  </si>
  <si>
    <t>Year 3</t>
  </si>
  <si>
    <t>Year 4</t>
  </si>
  <si>
    <t>Year 5</t>
  </si>
  <si>
    <t>Year 6</t>
  </si>
  <si>
    <t>PVdepr</t>
  </si>
  <si>
    <t>Construction Cost Multiplier (CCMult)</t>
  </si>
  <si>
    <t>Weighted Average Cost of Capital (After tax)</t>
  </si>
  <si>
    <t>% Construction Spending during Year 0</t>
  </si>
  <si>
    <t>% Construction Spending during Year 1</t>
  </si>
  <si>
    <t>Annual Construction Multiplier - Year 1</t>
  </si>
  <si>
    <t>Annual Construction Multiplier - Year 2</t>
  </si>
  <si>
    <t>CCmult*CRF*(1-T*PVdepr)/(1-T)</t>
  </si>
  <si>
    <t xml:space="preserve">  1+(1-T)*[ (1+ (Construction Finance Rate))^(t+0.5) - 1 ]</t>
  </si>
  <si>
    <t>Capital Recovery Factor (WACC,Plant Life)</t>
  </si>
  <si>
    <t>Fixed Charge Rate</t>
  </si>
  <si>
    <t>Total Annual OPEX</t>
  </si>
  <si>
    <t>Plant Rated Capacity (kW)</t>
  </si>
  <si>
    <t>MWh/Year</t>
  </si>
  <si>
    <t xml:space="preserve">10% is used because that is what offshore wind has been using.    </t>
  </si>
  <si>
    <t>$/tonne</t>
  </si>
  <si>
    <t>Unknown</t>
  </si>
  <si>
    <t>10-100 Units</t>
  </si>
  <si>
    <t>Note: Inputs shown in green</t>
  </si>
  <si>
    <t>Cost Basis in $'s</t>
  </si>
  <si>
    <t>Capex and Opex Table Rounding</t>
  </si>
  <si>
    <t># of digits to zero</t>
  </si>
  <si>
    <t>$ / kW</t>
  </si>
  <si>
    <t>cents/kWh</t>
  </si>
  <si>
    <t>%</t>
  </si>
  <si>
    <t>$ / kW-yr</t>
  </si>
  <si>
    <t>Environmental Monitoring &amp; Regulatory Compliance</t>
  </si>
  <si>
    <t>Total Cost / yr</t>
  </si>
  <si>
    <t>Device</t>
  </si>
  <si>
    <t>Operation and Maintenance</t>
  </si>
  <si>
    <t>Opex</t>
  </si>
  <si>
    <t>Capex &amp; Opex</t>
  </si>
  <si>
    <t># of Units</t>
  </si>
  <si>
    <t>Installed Capacity (kW)</t>
  </si>
  <si>
    <t>Installed Capacity (MW)</t>
  </si>
  <si>
    <t>Sensitvity Graphs</t>
  </si>
  <si>
    <t>Value</t>
  </si>
  <si>
    <t>RESULTS</t>
  </si>
  <si>
    <t>Data Sources</t>
  </si>
  <si>
    <t>PNNL - Detailed in Separate Document</t>
  </si>
  <si>
    <t>RE Vision Estimate from similar experience</t>
  </si>
  <si>
    <t>Cost Estimating Notes:</t>
  </si>
  <si>
    <t>RE Vision Assumption</t>
  </si>
  <si>
    <t>Decomissioning costs are assumed to be the same as the installation costs, because similar operational procedures will be used to remove the plant hardware as for the installation process.  The key difference is that decomissioning</t>
  </si>
  <si>
    <t xml:space="preserve">Contingency captures unknown unknowns.  Given the conceptual level of design, it is likely that quite a few items are not well understood and hence costs are under-predicted.   </t>
  </si>
  <si>
    <t xml:space="preserve">Insurance cost is a direct function of the perceived risk of a project.  Offshore Oil &amp; Gas project are typically on the order of 2% of CAPEX.  These are one-off construction projects with a relatively high risk profile (oil-spill potential etc.). </t>
  </si>
  <si>
    <t xml:space="preserve"> On the other end of the spectrum is land-based wind that is technologically mature with typical insurance rates on the order of 0.5%.  The assumption is that for 1 and 10-unit deployment scales technology is relatively immature</t>
  </si>
  <si>
    <t xml:space="preserve">It is also assumed that no investor will take the risk of building a 100-unit farm unless technology risks are perceived as being really small. </t>
  </si>
  <si>
    <t>RE Vision Estimate based on related project experience</t>
  </si>
  <si>
    <t>50-100 Units</t>
  </si>
  <si>
    <t>Cost Estimating Notes for Commercial Scale (100-Units)</t>
  </si>
  <si>
    <t>Cost Estimating Notes - Single Unit Scale</t>
  </si>
  <si>
    <t>Incremental Cost for Farm Deployments</t>
  </si>
  <si>
    <t>Annualized Cost Breakdown</t>
  </si>
  <si>
    <t>Data directly taken from PNNL study</t>
  </si>
  <si>
    <t>Single Unit in Mass Production</t>
  </si>
  <si>
    <t>PNNL - Described in Separate Report</t>
  </si>
  <si>
    <t>Survey</t>
  </si>
  <si>
    <t>In reality, a figure closer to 30% is probably more realistic at single unit scale.</t>
  </si>
  <si>
    <t>Cable Installation</t>
  </si>
  <si>
    <t>Mooring Installation</t>
  </si>
  <si>
    <t>Cable Landing</t>
  </si>
  <si>
    <t>Seabed Survey &amp; Mapping</t>
  </si>
  <si>
    <t>Marine Mammals</t>
  </si>
  <si>
    <t>Seabirds</t>
  </si>
  <si>
    <t>Turtles</t>
  </si>
  <si>
    <t>Water Quality</t>
  </si>
  <si>
    <t>Marine Mammals and Turtles</t>
  </si>
  <si>
    <t>Fish</t>
  </si>
  <si>
    <t>Benthos</t>
  </si>
  <si>
    <t>Acoustic Characterization Monitoring</t>
  </si>
  <si>
    <t xml:space="preserve">Resource Assessment </t>
  </si>
  <si>
    <t>Detailed Resource Assessment - Hydrodynamic modeling</t>
  </si>
  <si>
    <t>Ecosystem Effects Seabird</t>
  </si>
  <si>
    <t>Ecosystem Effects Marine Mammals &amp; Turtles</t>
  </si>
  <si>
    <t>Ecosystem Effects Fish</t>
  </si>
  <si>
    <t>1.2.1 Subsea Cables</t>
  </si>
  <si>
    <t>Surface Float</t>
  </si>
  <si>
    <t>Vertical Column</t>
  </si>
  <si>
    <t>Reaction Plate</t>
  </si>
  <si>
    <t>Cost Breakdown Structure for WEC Rated at 286 kW</t>
  </si>
  <si>
    <t>Cost Breakdown Structure for Wave Energy Device</t>
  </si>
  <si>
    <t>1. This spreadsheet provides the background and details of the cost and economic assessment of the Wave Energy Device</t>
  </si>
  <si>
    <t>2. This spreadsheet supports the primary reports on the Wave Energy device</t>
  </si>
  <si>
    <t>Power Conversion System Parameters</t>
  </si>
  <si>
    <t>PTO Efficiency</t>
  </si>
  <si>
    <t xml:space="preserve">kW/m </t>
  </si>
  <si>
    <t>Average Hs</t>
  </si>
  <si>
    <t>Average Te</t>
  </si>
  <si>
    <t>sec</t>
  </si>
  <si>
    <t>Rated Power</t>
  </si>
  <si>
    <t>Unconstrained Device Performance</t>
  </si>
  <si>
    <t>Constrained Device Performance</t>
  </si>
  <si>
    <t>Hs</t>
  </si>
  <si>
    <t>Te</t>
  </si>
  <si>
    <t>Wave Resource Power Flux</t>
  </si>
  <si>
    <t>Wave Resource Frequency Distribution (unnormalized)</t>
  </si>
  <si>
    <t>Determining Trunk-cable length, shore to first junction box</t>
  </si>
  <si>
    <t>Site Distance to shore</t>
  </si>
  <si>
    <t>Capacity</t>
  </si>
  <si>
    <t>Unit Capacity (kW)</t>
  </si>
  <si>
    <t>#</t>
  </si>
  <si>
    <t>Plant Capacity (MW)</t>
  </si>
  <si>
    <t>Target Cable Capacity incl. 20% contingency (MW)</t>
  </si>
  <si>
    <t>Contingency Cable Length incl. 20% Contingency (m)</t>
  </si>
  <si>
    <t>Array Cable</t>
  </si>
  <si>
    <t xml:space="preserve">Per Device Cable Length </t>
  </si>
  <si>
    <t>Total Cable Length</t>
  </si>
  <si>
    <t>Subsea Cable Cost</t>
  </si>
  <si>
    <t>Trunck Cable</t>
  </si>
  <si>
    <t>Inter-Device Cable Length</t>
  </si>
  <si>
    <t>Trunk Cable Cost ($/m)</t>
  </si>
  <si>
    <t>Inter-Device Cable</t>
  </si>
  <si>
    <t>10% of Subsea Cable Cost</t>
  </si>
  <si>
    <t>None</t>
  </si>
  <si>
    <t>Rough Estimates were used for subsea cable cost</t>
  </si>
  <si>
    <t>Wire Rope to Sub-Sea Buoys</t>
  </si>
  <si>
    <t>Sub-Sea Buoys (55kN net buoyancy)</t>
  </si>
  <si>
    <t>Nylon Line 5.75"</t>
  </si>
  <si>
    <t>Chain 3.5 inch, 90 foot shot</t>
  </si>
  <si>
    <t>Anchor Joining Link</t>
  </si>
  <si>
    <t>Chain joining link</t>
  </si>
  <si>
    <t>Sinker (10-tonnes)</t>
  </si>
  <si>
    <t>Shackles</t>
  </si>
  <si>
    <t>Anchor - Bruce Mk-4, 9-tonne</t>
  </si>
  <si>
    <t>Based on Preliminary Mooring Design</t>
  </si>
  <si>
    <t>RE Vision</t>
  </si>
  <si>
    <t>Single Unit Cost Breakdown for 100-kW baseline</t>
  </si>
  <si>
    <t>Hydraulic Cylinder</t>
  </si>
  <si>
    <t>Relieve Valves</t>
  </si>
  <si>
    <t>Pressure Sensor</t>
  </si>
  <si>
    <t>Valve Subplate</t>
  </si>
  <si>
    <t>Accumulator</t>
  </si>
  <si>
    <t>HP Filter</t>
  </si>
  <si>
    <t>Return Filter</t>
  </si>
  <si>
    <t>Fixed Displacement Motor</t>
  </si>
  <si>
    <t>Reservoir</t>
  </si>
  <si>
    <t>Plumbing</t>
  </si>
  <si>
    <t>Fluid</t>
  </si>
  <si>
    <t>Misc</t>
  </si>
  <si>
    <t>Machine/Pipe Foundations</t>
  </si>
  <si>
    <t>Solenoid Valves</t>
  </si>
  <si>
    <t>Pressure Sensors</t>
  </si>
  <si>
    <t>Assembly &amp; Testing</t>
  </si>
  <si>
    <t>Check Valves</t>
  </si>
  <si>
    <t>100 Unit Cost Breakdown for 100kW baseline</t>
  </si>
  <si>
    <t>Hydraulic Energy Storage</t>
  </si>
  <si>
    <t>Hydraulic Components (all)</t>
  </si>
  <si>
    <t>Cost - 100kW</t>
  </si>
  <si>
    <t>Linear Guide</t>
  </si>
  <si>
    <t>Cost - 286kW</t>
  </si>
  <si>
    <t>Subsea Cable</t>
  </si>
  <si>
    <t>Mooring Components</t>
  </si>
  <si>
    <t>Notes:</t>
  </si>
  <si>
    <t xml:space="preserve"> - Cost from previous projects in the Pacific Northwest</t>
  </si>
  <si>
    <t xml:space="preserve"> - Drilling Distance: 500m</t>
  </si>
  <si>
    <t xml:space="preserve"> - 1 Unit would require an 8" conduit</t>
  </si>
  <si>
    <t xml:space="preserve"> - 10 Units would require 10" Conduit</t>
  </si>
  <si>
    <t xml:space="preserve"> - Jettable Material &lt; 7,500 psi </t>
  </si>
  <si>
    <t>Total HDD Activities</t>
  </si>
  <si>
    <t xml:space="preserve"> - 100 Units would require 2 x 10" conduit</t>
  </si>
  <si>
    <r>
      <t xml:space="preserve"> - </t>
    </r>
    <r>
      <rPr>
        <sz val="11"/>
        <rFont val="Calibri"/>
        <family val="2"/>
        <scheme val="minor"/>
      </rPr>
      <t>Deck space = 5100 ft^2 =&gt; 2-3 moorings can be loaded</t>
    </r>
  </si>
  <si>
    <t xml:space="preserve"> - 50 Units would require 1 x 10" conduit</t>
  </si>
  <si>
    <t xml:space="preserve">  - Mooring Installation Vessel M/V Mystique or similar</t>
  </si>
  <si>
    <t xml:space="preserve"> - Fuel at $3.5/gallon</t>
  </si>
  <si>
    <t>Mob/Demob of Vessel</t>
  </si>
  <si>
    <t xml:space="preserve">Dockside Support </t>
  </si>
  <si>
    <t>At Dock Loading</t>
  </si>
  <si>
    <t>Transit to Site and back</t>
  </si>
  <si>
    <t>On-Site Working</t>
  </si>
  <si>
    <t>Day-rate</t>
  </si>
  <si>
    <t># Days</t>
  </si>
  <si>
    <t xml:space="preserve"> - Cable Installation Vessel</t>
  </si>
  <si>
    <t xml:space="preserve"> - Support Vessel</t>
  </si>
  <si>
    <t xml:space="preserve"> -Cable Installation and Burial Tools</t>
  </si>
  <si>
    <t>Dayrates:</t>
  </si>
  <si>
    <t>At Dock Mob/Demob</t>
  </si>
  <si>
    <t>Loading Cable</t>
  </si>
  <si>
    <t>Transit</t>
  </si>
  <si>
    <t>Standby</t>
  </si>
  <si>
    <t>Cable Lay Ops</t>
  </si>
  <si>
    <t>Installation Process</t>
  </si>
  <si>
    <t>Mob/Demob CIV</t>
  </si>
  <si>
    <t>Load Cable</t>
  </si>
  <si>
    <t>Transit to Site</t>
  </si>
  <si>
    <t>Install Cable &amp; Surface Lay</t>
  </si>
  <si>
    <t>Cable Burial and S/E</t>
  </si>
  <si>
    <t>Transit to/from Home Port</t>
  </si>
  <si>
    <t>1 0-Unit</t>
  </si>
  <si>
    <t>50 Unit</t>
  </si>
  <si>
    <t>100 Unit</t>
  </si>
  <si>
    <t>Transit (5000 miles)</t>
  </si>
  <si>
    <t xml:space="preserve"> - Installation continously until complete</t>
  </si>
  <si>
    <t xml:space="preserve"> - 2 tugs (800-1500 HP)</t>
  </si>
  <si>
    <t xml:space="preserve"> - Crew Boat</t>
  </si>
  <si>
    <t xml:space="preserve"> - Shoreside support</t>
  </si>
  <si>
    <t xml:space="preserve"> - Workboat (the same as used for O&amp;M)</t>
  </si>
  <si>
    <t>Process</t>
  </si>
  <si>
    <t xml:space="preserve">Mob/Demob </t>
  </si>
  <si>
    <t>1 device per day</t>
  </si>
  <si>
    <t>10  Unit</t>
  </si>
  <si>
    <t xml:space="preserve">Notes: </t>
  </si>
  <si>
    <t xml:space="preserve"> - Same setup as Device Installation</t>
  </si>
  <si>
    <t>Percentage Rate</t>
  </si>
  <si>
    <t>Buoyancy</t>
  </si>
  <si>
    <t>1.1 Development</t>
  </si>
  <si>
    <t>1.2 Infrastructure</t>
  </si>
  <si>
    <t>1.3 Mooring/Foundation</t>
  </si>
  <si>
    <t>1.4 Device Structural Components</t>
  </si>
  <si>
    <t>1.5 Power Take Off</t>
  </si>
  <si>
    <t>1.7 Installation</t>
  </si>
  <si>
    <t>2.1 Insurance</t>
  </si>
  <si>
    <t>2.2 Environmental Monitoring and Regulatory Compliance</t>
  </si>
  <si>
    <t>2.3 Marine Operations</t>
  </si>
  <si>
    <t>2.4 Shoreside Operations</t>
  </si>
  <si>
    <t>2.5 Replacement Parts</t>
  </si>
  <si>
    <t>2.6 Consumables</t>
  </si>
  <si>
    <t>Vessel</t>
  </si>
  <si>
    <t>Per Diem</t>
  </si>
  <si>
    <t>Salary ($/year)</t>
  </si>
  <si>
    <t>Burden</t>
  </si>
  <si>
    <t># of Staff</t>
  </si>
  <si>
    <t>Staffing Costs ($/Year)</t>
  </si>
  <si>
    <t>Average</t>
  </si>
  <si>
    <t>Wage ($/hr)</t>
  </si>
  <si>
    <t>(%)</t>
  </si>
  <si>
    <t>years 1-5</t>
  </si>
  <si>
    <t>6-10</t>
  </si>
  <si>
    <t>11-15</t>
  </si>
  <si>
    <t>16-20</t>
  </si>
  <si>
    <t>Site Manager Salary</t>
  </si>
  <si>
    <t>Admin. Asst. Salary</t>
  </si>
  <si>
    <t>Sr. Tech Wage</t>
  </si>
  <si>
    <t>Jr. Tech Wage</t>
  </si>
  <si>
    <t>Additional Cost</t>
  </si>
  <si>
    <t>Dockside Rental</t>
  </si>
  <si>
    <t xml:space="preserve">Facilities Lease </t>
  </si>
  <si>
    <t xml:space="preserve"> - Ship Conversion including: (1) DP-1, Crane, Whinch, Delivery etc. </t>
  </si>
  <si>
    <t xml:space="preserve"> - Using new vessel, values come in between $4.09M and $5.65M</t>
  </si>
  <si>
    <t xml:space="preserve"> - Using used vessel, values are estimated between $2.09M and $3.1M</t>
  </si>
  <si>
    <t>$/day</t>
  </si>
  <si>
    <t>Boat (incl. 4 person crew)</t>
  </si>
  <si>
    <t>Additional Crew</t>
  </si>
  <si>
    <t>Crew Boat</t>
  </si>
  <si>
    <t>Fuel and Consumables</t>
  </si>
  <si>
    <t>Vessel of Opportunity - 12-hour dayrates for Devicve Retrieval, Mooring Repair and Cable Repair</t>
  </si>
  <si>
    <t>Vessel of Opportunity - 12-hour dayrates for Device Access and PTO Swap-out</t>
  </si>
  <si>
    <t>Permanent Crew Dayrate</t>
  </si>
  <si>
    <t>Number of Crew</t>
  </si>
  <si>
    <t>Average Hourly Rate</t>
  </si>
  <si>
    <t>Hours/Day</t>
  </si>
  <si>
    <t>Total Crew-day cost</t>
  </si>
  <si>
    <t>Inspect Mooring System using ROV</t>
  </si>
  <si>
    <t>Unscheduled Structural/Mooring/Riser Cable</t>
  </si>
  <si>
    <t>Device Recovery for shore-side overhaul</t>
  </si>
  <si>
    <t># of ops-days/year</t>
  </si>
  <si>
    <t>$/year</t>
  </si>
  <si>
    <t>$/kW-year</t>
  </si>
  <si>
    <t>Rebuild Hydraulic System and Oil Change</t>
  </si>
  <si>
    <t># Hydraulic System Replacements/Ops-day</t>
  </si>
  <si>
    <t># of Ops days/year</t>
  </si>
  <si>
    <t># of Interventions per device-year Requiring Device Recovery</t>
  </si>
  <si>
    <t># of Interventions per device-year requiring PTO retrieval</t>
  </si>
  <si>
    <t>Unscheduled PTO repairs</t>
  </si>
  <si>
    <t>Total Marine Ops Cost</t>
  </si>
  <si>
    <t>Failure Rates for Powertrain</t>
  </si>
  <si>
    <t># Failures / Year</t>
  </si>
  <si>
    <t>Cylinder</t>
  </si>
  <si>
    <t>Relief Valve</t>
  </si>
  <si>
    <t xml:space="preserve">Overhead </t>
  </si>
  <si>
    <t>Electrical Systems</t>
  </si>
  <si>
    <t>External Systems</t>
  </si>
  <si>
    <t>Moorings</t>
  </si>
  <si>
    <t>$/Unit</t>
  </si>
  <si>
    <t>L50</t>
  </si>
  <si>
    <t>$/Year</t>
  </si>
  <si>
    <t># Failures/Year</t>
  </si>
  <si>
    <t>Failure Rates for 100kW Reference Powertrain</t>
  </si>
  <si>
    <t xml:space="preserve"> - No design available for linear guides, estimated cost at 20% of PTO cost</t>
  </si>
  <si>
    <t>Linear Guides</t>
  </si>
  <si>
    <t>No redundancy</t>
  </si>
  <si>
    <t>Scaled Powertrain at Device Rated Capacity</t>
  </si>
  <si>
    <t>Scaled Powertrain at Device Rated Capacity in Mass Production (100-Unit Scale)</t>
  </si>
  <si>
    <t>Cost Progress Ratio</t>
  </si>
  <si>
    <t>Cost at Different Unit Scales</t>
  </si>
  <si>
    <t>Staffing Levels / Cost</t>
  </si>
  <si>
    <t>Consumables include</t>
  </si>
  <si>
    <t>Hydraulic Oil (replaced once per year)</t>
  </si>
  <si>
    <t>Low Pressure Filter</t>
  </si>
  <si>
    <t xml:space="preserve">High Pressure Filter </t>
  </si>
  <si>
    <t>$/year-device</t>
  </si>
  <si>
    <t>Inter-Device Cable Cost (included in 1.5)</t>
  </si>
  <si>
    <t>Control System</t>
  </si>
  <si>
    <t>Installed Cost</t>
  </si>
  <si>
    <t>RE Vision Estimate</t>
  </si>
  <si>
    <t>Actual cost breakdowns are provided in separate report by PNNL (average values carried forward to this spreadsheet)</t>
  </si>
  <si>
    <t xml:space="preserve"> - Bathimtric and Geophysical Survey</t>
  </si>
  <si>
    <t xml:space="preserve"> - Small site survey with dimensions of 3.5km x 1km one trunck cable corridor</t>
  </si>
  <si>
    <t xml:space="preserve"> - Large site survey with dimensions of 16.5km x 1km with trunck cable survey</t>
  </si>
  <si>
    <t xml:space="preserve"> - Includes: bathimetry, sub-bottom profiling, Magnetometer, Grab Samples, Underwater Video</t>
  </si>
  <si>
    <t>Design &amp; Engineering is taken as a percentage of total hard cost of the device</t>
  </si>
  <si>
    <t>Terminations and Connectors are difficult to estimate without a detailed design effort. Estimated them as 10% of Cable cost</t>
  </si>
  <si>
    <t>See notes above</t>
  </si>
  <si>
    <t>1.3.4 Connecting Hardware</t>
  </si>
  <si>
    <t>1.3.3 Buoyancy</t>
  </si>
  <si>
    <t>Total Installed Cost (omits Decommissioning)</t>
  </si>
  <si>
    <t>Structural Design Details can be found in the main report, all costs are shown on a per unit basis, total costs are calculated in the summary</t>
  </si>
  <si>
    <t xml:space="preserve">Concept design did not allow to refine all design details.  Used 2% of structural cost to account for ssmaller items such as device access, connecting elements etc. </t>
  </si>
  <si>
    <t>Mass - 100kW</t>
  </si>
  <si>
    <t>Mass - 286kW</t>
  </si>
  <si>
    <t xml:space="preserve">RE Vision Estimate </t>
  </si>
  <si>
    <t>RE Vision 100 KW Wave Power Hydraulic System Study</t>
  </si>
  <si>
    <t>Data Sources - Single Unit Scale</t>
  </si>
  <si>
    <t>- Costs have been estimated from a 100kW system design and scaled using the rated capacity of the RM3 device</t>
  </si>
  <si>
    <t>Data Sources - Commercial Scale (100-Units)</t>
  </si>
  <si>
    <t>Machine Cost</t>
  </si>
  <si>
    <t>RE Vision cost assessment</t>
  </si>
  <si>
    <t>See notes above in cost details</t>
  </si>
  <si>
    <t>RE Vision Esitmate</t>
  </si>
  <si>
    <t>RE Vision Estimae</t>
  </si>
  <si>
    <t xml:space="preserve">Cost of shore-side ops is estimated based on Windpact O&amp;M cost model provided by NREL (O&amp;M Cost Estimator_revA_22Jun2006.xls). Below are the assumptions on labor and consumables. It is assumed that the labor associated with repair are similar to wind. </t>
  </si>
  <si>
    <t>WindPACT study from NREL operation and matinence model</t>
  </si>
  <si>
    <t>Estimate from survey company</t>
  </si>
  <si>
    <t>Not estimated, but included in project contingency</t>
  </si>
  <si>
    <t>Only critical components that can not be made redundant are considered in failure rate</t>
  </si>
  <si>
    <t xml:space="preserve">Mooring L50 life considers that a mooring repair results only in partial replacement </t>
  </si>
  <si>
    <t>High level estimates based on similar projects</t>
  </si>
  <si>
    <t>Mean Wave Height (m)</t>
  </si>
  <si>
    <t>Wave Power Density (kW/m)</t>
  </si>
  <si>
    <t>LCoE - cents/kWh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</si>
</sst>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00"/>
    <numFmt numFmtId="165" formatCode="&quot;$&quot;#,##0"/>
    <numFmt numFmtId="166" formatCode="0.0%"/>
    <numFmt numFmtId="167" formatCode="0.0"/>
    <numFmt numFmtId="168" formatCode="&quot;$&quot;#,##0.00"/>
    <numFmt numFmtId="169" formatCode="_(&quot;$&quot;* #,##0_);_(&quot;$&quot;* \(#,##0\);_(&quot;$&quot;* &quot;-&quot;??_);_(@_)"/>
    <numFmt numFmtId="170" formatCode="#,##0.0"/>
    <numFmt numFmtId="171" formatCode="0.0000"/>
    <numFmt numFmtId="172" formatCode="0.000"/>
    <numFmt numFmtId="173" formatCode="[$$-409]#,##0_);\([$$-409]#,##0\)"/>
    <numFmt numFmtId="174" formatCode="0.000000000000000%"/>
    <numFmt numFmtId="175" formatCode="#,##0.0_);\(#,##0.0\)"/>
    <numFmt numFmtId="176" formatCode="0.00000%"/>
    <numFmt numFmtId="177" formatCode="_(&quot;$&quot;* #,##0.0_);_(&quot;$&quot;* \(#,##0.0\);_(&quot;$&quot;* &quot;-&quot;??_);_(@_)"/>
  </numFmts>
  <fonts count="46" x14ac:knownFonts="1">
    <font>
      <sz val="11"/>
      <color theme="1"/>
      <name val="Calibri"/>
      <family val="2"/>
      <scheme val="minor"/>
    </font>
    <font>
      <b/>
      <u/>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Calibri"/>
      <family val="2"/>
      <scheme val="minor"/>
    </font>
    <font>
      <b/>
      <sz val="10"/>
      <name val="Arial"/>
      <family val="2"/>
    </font>
    <font>
      <b/>
      <sz val="11"/>
      <color theme="1"/>
      <name val="Times New Roman"/>
      <family val="1"/>
    </font>
    <font>
      <b/>
      <sz val="12"/>
      <name val="Arial"/>
      <family val="2"/>
    </font>
    <font>
      <i/>
      <sz val="10"/>
      <name val="Arial"/>
      <family val="2"/>
    </font>
    <font>
      <sz val="11"/>
      <color indexed="8"/>
      <name val="Calibri"/>
      <family val="2"/>
      <scheme val="minor"/>
    </font>
    <font>
      <sz val="10"/>
      <color theme="1"/>
      <name val="Arial"/>
      <family val="2"/>
    </font>
    <font>
      <sz val="11"/>
      <name val="Calibri"/>
      <family val="2"/>
      <scheme val="minor"/>
    </font>
    <font>
      <b/>
      <sz val="12"/>
      <color theme="1"/>
      <name val="Calibri"/>
      <family val="2"/>
      <scheme val="minor"/>
    </font>
    <font>
      <sz val="11"/>
      <name val="Arial"/>
      <family val="2"/>
    </font>
    <font>
      <i/>
      <sz val="11"/>
      <color theme="1"/>
      <name val="Calibri"/>
      <family val="2"/>
      <scheme val="minor"/>
    </font>
    <font>
      <u/>
      <sz val="10"/>
      <color indexed="12"/>
      <name val="Arial"/>
      <family val="2"/>
    </font>
    <font>
      <sz val="10"/>
      <color indexed="8"/>
      <name val="Arial"/>
      <family val="2"/>
    </font>
    <font>
      <sz val="10"/>
      <color indexed="10"/>
      <name val="Arial"/>
      <family val="2"/>
    </font>
    <font>
      <sz val="10"/>
      <color indexed="9"/>
      <name val="Arial"/>
      <family val="2"/>
    </font>
    <font>
      <u/>
      <sz val="11"/>
      <name val="Arial"/>
      <family val="2"/>
    </font>
    <font>
      <sz val="11"/>
      <color theme="1"/>
      <name val="Arial"/>
      <family val="2"/>
    </font>
    <font>
      <b/>
      <sz val="10"/>
      <color theme="1"/>
      <name val="Arial"/>
      <family val="2"/>
    </font>
    <font>
      <sz val="12"/>
      <color indexed="8"/>
      <name val="Calibri"/>
      <family val="2"/>
    </font>
    <font>
      <sz val="11"/>
      <color rgb="FFFF0000"/>
      <name val="Calibri"/>
      <family val="2"/>
      <scheme val="minor"/>
    </font>
    <font>
      <b/>
      <sz val="10"/>
      <name val="Times New Roman"/>
      <family val="1"/>
    </font>
    <font>
      <sz val="10"/>
      <name val="Times New Roman"/>
      <family val="1"/>
    </font>
    <font>
      <i/>
      <sz val="10"/>
      <name val="Times New Roman"/>
      <family val="1"/>
    </font>
    <font>
      <sz val="11"/>
      <color theme="1"/>
      <name val="Times New Roman"/>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22"/>
        <bgColor indexed="64"/>
      </patternFill>
    </fill>
    <fill>
      <patternFill patternType="solid">
        <fgColor theme="6" tint="0.39997558519241921"/>
        <bgColor indexed="64"/>
      </patternFill>
    </fill>
    <fill>
      <patternFill patternType="solid">
        <fgColor theme="0" tint="-0.249977111117893"/>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auto="1"/>
      </left>
      <right/>
      <top/>
      <bottom/>
      <diagonal/>
    </border>
  </borders>
  <cellStyleXfs count="150">
    <xf numFmtId="0" fontId="0" fillId="0" borderId="0"/>
    <xf numFmtId="164" fontId="4" fillId="0" borderId="0">
      <alignment horizontal="left" wrapText="1"/>
    </xf>
    <xf numFmtId="9" fontId="4" fillId="0" borderId="0" applyFont="0" applyFill="0" applyBorder="0" applyAlignment="0" applyProtection="0"/>
    <xf numFmtId="0" fontId="4" fillId="0" borderId="0"/>
    <xf numFmtId="43" fontId="4" fillId="0" borderId="0" applyFon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2" fillId="0" borderId="0"/>
    <xf numFmtId="0" fontId="5" fillId="23" borderId="7" applyNumberFormat="0" applyFont="0" applyAlignment="0" applyProtection="0"/>
    <xf numFmtId="0" fontId="18" fillId="20" borderId="8" applyNumberFormat="0" applyAlignment="0" applyProtection="0"/>
    <xf numFmtId="9" fontId="4"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5" fillId="0" borderId="0"/>
    <xf numFmtId="0" fontId="2" fillId="0" borderId="0"/>
    <xf numFmtId="9" fontId="2" fillId="0" borderId="0" applyFont="0" applyFill="0" applyBorder="0" applyAlignment="0" applyProtection="0"/>
    <xf numFmtId="0" fontId="4" fillId="0" borderId="0"/>
    <xf numFmtId="164" fontId="4" fillId="0" borderId="0">
      <alignment horizontal="left" wrapText="1"/>
    </xf>
    <xf numFmtId="0" fontId="4"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4"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4" fillId="0" borderId="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4" fontId="2" fillId="0" borderId="0" applyFont="0" applyFill="0" applyBorder="0" applyAlignment="0" applyProtection="0"/>
    <xf numFmtId="0" fontId="33" fillId="0" borderId="0" applyNumberFormat="0" applyFill="0" applyBorder="0" applyAlignment="0" applyProtection="0"/>
    <xf numFmtId="0" fontId="4" fillId="0" borderId="0"/>
    <xf numFmtId="0" fontId="4" fillId="0" borderId="0"/>
    <xf numFmtId="0" fontId="4" fillId="0" borderId="0"/>
    <xf numFmtId="0" fontId="4" fillId="0" borderId="0"/>
    <xf numFmtId="166" fontId="4" fillId="0" borderId="0" applyFont="0" applyFill="0" applyBorder="0" applyAlignment="0" applyProtection="0"/>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164" fontId="4" fillId="0" borderId="0">
      <alignment horizontal="left" wrapText="1"/>
    </xf>
    <xf numFmtId="9" fontId="2" fillId="0" borderId="0" applyFont="0" applyFill="0" applyBorder="0" applyAlignment="0" applyProtection="0"/>
  </cellStyleXfs>
  <cellXfs count="754">
    <xf numFmtId="0" fontId="0" fillId="0" borderId="0" xfId="0"/>
    <xf numFmtId="0" fontId="0" fillId="0" borderId="0" xfId="0" applyAlignment="1">
      <alignment horizontal="left"/>
    </xf>
    <xf numFmtId="0" fontId="0" fillId="0" borderId="0" xfId="0" applyNumberFormat="1" applyAlignment="1">
      <alignment horizontal="left"/>
    </xf>
    <xf numFmtId="0" fontId="1" fillId="0" borderId="0" xfId="0" applyFont="1" applyAlignment="1">
      <alignment horizontal="left"/>
    </xf>
    <xf numFmtId="42" fontId="0" fillId="0" borderId="0" xfId="0" applyNumberFormat="1" applyFill="1"/>
    <xf numFmtId="0" fontId="0" fillId="0" borderId="0" xfId="0"/>
    <xf numFmtId="0" fontId="0" fillId="0" borderId="0" xfId="0" applyFill="1"/>
    <xf numFmtId="0" fontId="0" fillId="0" borderId="0" xfId="0"/>
    <xf numFmtId="165" fontId="0" fillId="0" borderId="0" xfId="0" applyNumberFormat="1"/>
    <xf numFmtId="42" fontId="0" fillId="0" borderId="0" xfId="0" applyNumberFormat="1"/>
    <xf numFmtId="0" fontId="3" fillId="0" borderId="0" xfId="0" applyFont="1"/>
    <xf numFmtId="44" fontId="0" fillId="0" borderId="0" xfId="0" applyNumberFormat="1"/>
    <xf numFmtId="0" fontId="0" fillId="0" borderId="0" xfId="0"/>
    <xf numFmtId="0" fontId="3" fillId="0" borderId="0" xfId="0" applyFont="1"/>
    <xf numFmtId="0" fontId="0" fillId="0" borderId="0" xfId="0" applyAlignment="1">
      <alignment horizontal="right"/>
    </xf>
    <xf numFmtId="0" fontId="0" fillId="0" borderId="0" xfId="0" applyFont="1"/>
    <xf numFmtId="0" fontId="0" fillId="0" borderId="0" xfId="0" applyBorder="1"/>
    <xf numFmtId="0" fontId="0" fillId="0" borderId="0" xfId="0" applyFill="1" applyBorder="1"/>
    <xf numFmtId="165" fontId="0" fillId="0" borderId="0" xfId="0" applyNumberFormat="1"/>
    <xf numFmtId="9" fontId="0" fillId="0" borderId="0" xfId="0" applyNumberFormat="1"/>
    <xf numFmtId="0" fontId="0" fillId="0" borderId="17" xfId="0" applyBorder="1"/>
    <xf numFmtId="165" fontId="0" fillId="0" borderId="17" xfId="0" applyNumberFormat="1" applyBorder="1"/>
    <xf numFmtId="3" fontId="0" fillId="0" borderId="17" xfId="0" applyNumberFormat="1" applyBorder="1"/>
    <xf numFmtId="167" fontId="0" fillId="0" borderId="0" xfId="0" applyNumberFormat="1"/>
    <xf numFmtId="10" fontId="0" fillId="0" borderId="0" xfId="0" applyNumberFormat="1"/>
    <xf numFmtId="0" fontId="0" fillId="24" borderId="0" xfId="0" applyFill="1"/>
    <xf numFmtId="0" fontId="0" fillId="0" borderId="17" xfId="0" applyFont="1" applyBorder="1"/>
    <xf numFmtId="3" fontId="0" fillId="0" borderId="0" xfId="0" applyNumberFormat="1" applyBorder="1"/>
    <xf numFmtId="165" fontId="0" fillId="0" borderId="0" xfId="0" applyNumberFormat="1" applyBorder="1"/>
    <xf numFmtId="168" fontId="0" fillId="0" borderId="0" xfId="0" applyNumberFormat="1" applyBorder="1"/>
    <xf numFmtId="9" fontId="0" fillId="0" borderId="0" xfId="0" applyNumberFormat="1" applyBorder="1"/>
    <xf numFmtId="0" fontId="0" fillId="0" borderId="0" xfId="0" applyFont="1" applyFill="1" applyBorder="1"/>
    <xf numFmtId="165" fontId="0" fillId="0" borderId="0" xfId="0" applyNumberFormat="1" applyFill="1" applyBorder="1"/>
    <xf numFmtId="0" fontId="3" fillId="0" borderId="0" xfId="0" applyFont="1" applyBorder="1"/>
    <xf numFmtId="170" fontId="0" fillId="0" borderId="0" xfId="0" applyNumberFormat="1" applyBorder="1"/>
    <xf numFmtId="4" fontId="0" fillId="0" borderId="0" xfId="0" applyNumberFormat="1" applyBorder="1"/>
    <xf numFmtId="2" fontId="0" fillId="0" borderId="0" xfId="0" applyNumberFormat="1"/>
    <xf numFmtId="3" fontId="0" fillId="0" borderId="0" xfId="0" applyNumberFormat="1" applyFill="1"/>
    <xf numFmtId="0" fontId="26" fillId="0" borderId="0" xfId="0" applyNumberFormat="1" applyFont="1" applyFill="1" applyBorder="1" applyAlignment="1" applyProtection="1">
      <alignment horizontal="center"/>
    </xf>
    <xf numFmtId="0" fontId="0" fillId="0" borderId="0" xfId="0"/>
    <xf numFmtId="0" fontId="0" fillId="0" borderId="0" xfId="0" applyAlignment="1">
      <alignment horizontal="left"/>
    </xf>
    <xf numFmtId="42" fontId="0" fillId="0" borderId="0" xfId="0" applyNumberFormat="1"/>
    <xf numFmtId="0" fontId="0" fillId="0" borderId="0" xfId="0" applyFill="1"/>
    <xf numFmtId="165" fontId="0" fillId="0" borderId="0" xfId="0" applyNumberFormat="1"/>
    <xf numFmtId="0" fontId="3" fillId="0" borderId="0" xfId="0" applyFont="1"/>
    <xf numFmtId="166" fontId="0" fillId="0" borderId="0" xfId="0" applyNumberFormat="1"/>
    <xf numFmtId="9" fontId="0" fillId="0" borderId="0" xfId="0" applyNumberFormat="1"/>
    <xf numFmtId="168" fontId="0" fillId="0" borderId="0" xfId="0" applyNumberFormat="1"/>
    <xf numFmtId="0" fontId="0" fillId="0" borderId="0" xfId="0" applyAlignment="1">
      <alignment horizontal="right"/>
    </xf>
    <xf numFmtId="10" fontId="0" fillId="0" borderId="0" xfId="0" applyNumberFormat="1"/>
    <xf numFmtId="0" fontId="0" fillId="0" borderId="0" xfId="0" applyFont="1" applyBorder="1"/>
    <xf numFmtId="165" fontId="0" fillId="0" borderId="0" xfId="0" applyNumberFormat="1" applyBorder="1"/>
    <xf numFmtId="2" fontId="0" fillId="0" borderId="0" xfId="0" applyNumberFormat="1"/>
    <xf numFmtId="0" fontId="0" fillId="0" borderId="0" xfId="0"/>
    <xf numFmtId="0" fontId="0" fillId="0" borderId="0" xfId="0" applyFont="1" applyBorder="1" applyAlignment="1">
      <alignment horizontal="left"/>
    </xf>
    <xf numFmtId="0" fontId="27" fillId="0" borderId="0" xfId="0" applyFont="1" applyBorder="1" applyAlignment="1">
      <alignment vertical="top" wrapText="1"/>
    </xf>
    <xf numFmtId="0" fontId="0" fillId="0" borderId="0" xfId="0" applyFont="1" applyBorder="1" applyAlignment="1"/>
    <xf numFmtId="0" fontId="27" fillId="0" borderId="0" xfId="0" applyFont="1" applyBorder="1" applyAlignment="1">
      <alignment vertical="top"/>
    </xf>
    <xf numFmtId="0" fontId="5" fillId="0" borderId="0" xfId="0" applyFont="1" applyBorder="1" applyAlignment="1">
      <alignment vertical="top" wrapText="1"/>
    </xf>
    <xf numFmtId="3" fontId="0" fillId="0" borderId="0" xfId="0" applyNumberFormat="1"/>
    <xf numFmtId="0" fontId="0" fillId="0" borderId="0" xfId="0"/>
    <xf numFmtId="0" fontId="3" fillId="0" borderId="0" xfId="0" applyFont="1"/>
    <xf numFmtId="0" fontId="0" fillId="0" borderId="0" xfId="0" applyFont="1"/>
    <xf numFmtId="0" fontId="0" fillId="0" borderId="0" xfId="0" applyFill="1"/>
    <xf numFmtId="0" fontId="0" fillId="0" borderId="0" xfId="0" applyFill="1" applyBorder="1"/>
    <xf numFmtId="0" fontId="0" fillId="0" borderId="0" xfId="0" applyAlignment="1">
      <alignment horizontal="right"/>
    </xf>
    <xf numFmtId="42" fontId="0" fillId="0" borderId="0" xfId="0" applyNumberFormat="1"/>
    <xf numFmtId="44" fontId="0" fillId="0" borderId="0" xfId="0" applyNumberFormat="1"/>
    <xf numFmtId="0" fontId="0" fillId="0" borderId="0" xfId="0"/>
    <xf numFmtId="0" fontId="0" fillId="0" borderId="0" xfId="0" applyBorder="1"/>
    <xf numFmtId="167" fontId="0" fillId="0" borderId="0" xfId="0" applyNumberFormat="1" applyFill="1"/>
    <xf numFmtId="1" fontId="0" fillId="0" borderId="0" xfId="0" applyNumberFormat="1" applyAlignment="1">
      <alignment horizontal="center"/>
    </xf>
    <xf numFmtId="42" fontId="3" fillId="0" borderId="0" xfId="0" applyNumberFormat="1" applyFont="1" applyFill="1"/>
    <xf numFmtId="0" fontId="0" fillId="0" borderId="0" xfId="0"/>
    <xf numFmtId="0" fontId="3" fillId="0" borderId="0" xfId="0" applyFont="1" applyAlignment="1">
      <alignment horizontal="left"/>
    </xf>
    <xf numFmtId="1" fontId="0" fillId="0" borderId="0" xfId="0" applyNumberFormat="1" applyBorder="1"/>
    <xf numFmtId="0" fontId="0" fillId="0" borderId="20" xfId="0" applyBorder="1"/>
    <xf numFmtId="0" fontId="0" fillId="0" borderId="20" xfId="0" applyBorder="1" applyAlignment="1">
      <alignment horizontal="left" vertical="center"/>
    </xf>
    <xf numFmtId="0" fontId="0" fillId="0" borderId="0" xfId="0" applyAlignment="1">
      <alignment vertical="center"/>
    </xf>
    <xf numFmtId="0" fontId="30" fillId="0" borderId="0" xfId="0" applyFont="1"/>
    <xf numFmtId="0" fontId="0" fillId="0" borderId="0" xfId="0" applyFont="1" applyFill="1"/>
    <xf numFmtId="0" fontId="0" fillId="0" borderId="17" xfId="0" applyFill="1" applyBorder="1"/>
    <xf numFmtId="169" fontId="0" fillId="0" borderId="0" xfId="0" applyNumberFormat="1"/>
    <xf numFmtId="0" fontId="3" fillId="0" borderId="0" xfId="0" applyFont="1" applyFill="1"/>
    <xf numFmtId="0" fontId="0" fillId="0" borderId="0" xfId="0" applyFont="1" applyAlignment="1">
      <alignment horizontal="right"/>
    </xf>
    <xf numFmtId="0" fontId="0" fillId="0" borderId="0" xfId="0" applyFont="1" applyAlignment="1">
      <alignment horizontal="left"/>
    </xf>
    <xf numFmtId="165" fontId="0" fillId="0" borderId="0" xfId="0" applyNumberFormat="1" applyAlignment="1">
      <alignment horizontal="right"/>
    </xf>
    <xf numFmtId="3" fontId="0" fillId="0" borderId="0" xfId="0" applyNumberFormat="1" applyFill="1" applyBorder="1"/>
    <xf numFmtId="42" fontId="0" fillId="0" borderId="0" xfId="0" applyNumberFormat="1" applyFont="1" applyFill="1"/>
    <xf numFmtId="42" fontId="22" fillId="0" borderId="0" xfId="0" applyNumberFormat="1" applyFont="1" applyFill="1"/>
    <xf numFmtId="9" fontId="3" fillId="0" borderId="0" xfId="0" applyNumberFormat="1" applyFont="1" applyFill="1"/>
    <xf numFmtId="166" fontId="0" fillId="0" borderId="0" xfId="0" applyNumberFormat="1" applyFill="1"/>
    <xf numFmtId="42" fontId="3" fillId="0" borderId="0" xfId="0" applyNumberFormat="1" applyFont="1"/>
    <xf numFmtId="42" fontId="0" fillId="0" borderId="0" xfId="0" applyNumberFormat="1" applyFont="1"/>
    <xf numFmtId="9" fontId="0" fillId="0" borderId="0" xfId="0" applyNumberFormat="1" applyFont="1" applyFill="1"/>
    <xf numFmtId="166" fontId="0" fillId="0" borderId="0" xfId="0" applyNumberFormat="1" applyFont="1" applyFill="1"/>
    <xf numFmtId="166" fontId="3" fillId="0" borderId="0" xfId="0" applyNumberFormat="1" applyFont="1" applyFill="1"/>
    <xf numFmtId="0" fontId="5" fillId="0" borderId="0" xfId="0" applyFont="1" applyBorder="1" applyAlignment="1">
      <alignment vertical="top" wrapText="1"/>
    </xf>
    <xf numFmtId="49" fontId="3" fillId="0" borderId="0" xfId="0" applyNumberFormat="1" applyFont="1" applyFill="1" applyAlignment="1">
      <alignment horizontal="left"/>
    </xf>
    <xf numFmtId="1" fontId="3" fillId="0" borderId="0" xfId="0" applyNumberFormat="1" applyFont="1"/>
    <xf numFmtId="37" fontId="3" fillId="0" borderId="0" xfId="0" applyNumberFormat="1" applyFont="1"/>
    <xf numFmtId="0" fontId="3" fillId="0" borderId="0" xfId="0" applyFont="1" applyAlignment="1">
      <alignment horizontal="right"/>
    </xf>
    <xf numFmtId="0" fontId="32" fillId="0" borderId="0" xfId="0" applyFont="1"/>
    <xf numFmtId="0" fontId="32" fillId="0" borderId="0" xfId="0" applyFont="1" applyAlignment="1">
      <alignment horizontal="left"/>
    </xf>
    <xf numFmtId="0" fontId="5" fillId="0" borderId="17" xfId="0" applyFont="1" applyBorder="1" applyAlignment="1">
      <alignment vertical="top" wrapText="1"/>
    </xf>
    <xf numFmtId="0" fontId="27" fillId="0" borderId="17" xfId="0" applyFont="1" applyFill="1" applyBorder="1" applyAlignment="1">
      <alignment vertical="top"/>
    </xf>
    <xf numFmtId="168" fontId="0" fillId="0" borderId="0" xfId="0" applyNumberFormat="1" applyAlignment="1">
      <alignment horizontal="right"/>
    </xf>
    <xf numFmtId="9" fontId="0" fillId="0" borderId="0" xfId="0" applyNumberFormat="1" applyFont="1"/>
    <xf numFmtId="42" fontId="0" fillId="0" borderId="17" xfId="0" applyNumberFormat="1" applyBorder="1"/>
    <xf numFmtId="42" fontId="0" fillId="0" borderId="0" xfId="133" applyNumberFormat="1" applyFont="1"/>
    <xf numFmtId="9" fontId="28" fillId="0" borderId="0" xfId="0" applyNumberFormat="1" applyFont="1" applyBorder="1"/>
    <xf numFmtId="42" fontId="0" fillId="0" borderId="17" xfId="133" applyNumberFormat="1" applyFont="1" applyBorder="1"/>
    <xf numFmtId="165" fontId="0" fillId="0" borderId="0" xfId="0" applyNumberFormat="1" applyFont="1"/>
    <xf numFmtId="0" fontId="0" fillId="0" borderId="17" xfId="0" applyFont="1" applyFill="1" applyBorder="1"/>
    <xf numFmtId="169" fontId="0" fillId="0" borderId="0" xfId="133" applyNumberFormat="1" applyFont="1"/>
    <xf numFmtId="169" fontId="0" fillId="0" borderId="17" xfId="133" applyNumberFormat="1" applyFont="1" applyBorder="1"/>
    <xf numFmtId="3" fontId="29" fillId="0" borderId="0" xfId="0" applyNumberFormat="1" applyFont="1"/>
    <xf numFmtId="169" fontId="3" fillId="0" borderId="0" xfId="0" applyNumberFormat="1" applyFont="1" applyFill="1"/>
    <xf numFmtId="1" fontId="3" fillId="0" borderId="0" xfId="0" applyNumberFormat="1" applyFont="1" applyFill="1"/>
    <xf numFmtId="1" fontId="0" fillId="0" borderId="0" xfId="0" applyNumberFormat="1" applyFill="1"/>
    <xf numFmtId="9" fontId="3" fillId="0" borderId="0" xfId="0" applyNumberFormat="1" applyFont="1"/>
    <xf numFmtId="0" fontId="4" fillId="25" borderId="11" xfId="3" applyFill="1" applyBorder="1"/>
    <xf numFmtId="0" fontId="4" fillId="0" borderId="0" xfId="3" applyBorder="1"/>
    <xf numFmtId="0" fontId="4" fillId="0" borderId="0" xfId="3"/>
    <xf numFmtId="0" fontId="4" fillId="0" borderId="0" xfId="3" applyFont="1" applyAlignment="1">
      <alignment wrapText="1"/>
    </xf>
    <xf numFmtId="0" fontId="23" fillId="0" borderId="0" xfId="3" applyFont="1" applyBorder="1"/>
    <xf numFmtId="0" fontId="23" fillId="0" borderId="0" xfId="3" applyFont="1"/>
    <xf numFmtId="0" fontId="34" fillId="0" borderId="0" xfId="3" applyFont="1"/>
    <xf numFmtId="0" fontId="4" fillId="0" borderId="0" xfId="3" applyBorder="1" applyAlignment="1">
      <alignment horizontal="left"/>
    </xf>
    <xf numFmtId="0" fontId="4" fillId="0" borderId="0" xfId="3" applyFill="1" applyBorder="1" applyAlignment="1">
      <alignment horizontal="left"/>
    </xf>
    <xf numFmtId="0" fontId="34" fillId="0" borderId="0" xfId="3" applyFont="1" applyBorder="1"/>
    <xf numFmtId="0" fontId="4" fillId="0" borderId="0" xfId="3" applyFill="1" applyBorder="1"/>
    <xf numFmtId="167" fontId="4" fillId="0" borderId="0" xfId="3" applyNumberFormat="1" applyBorder="1"/>
    <xf numFmtId="0" fontId="23" fillId="0" borderId="0" xfId="3" applyFont="1" applyFill="1"/>
    <xf numFmtId="0" fontId="4" fillId="0" borderId="0" xfId="3" applyFill="1"/>
    <xf numFmtId="9" fontId="4" fillId="26" borderId="12" xfId="3" applyNumberFormat="1" applyFill="1" applyBorder="1"/>
    <xf numFmtId="2" fontId="4" fillId="0" borderId="0" xfId="3" applyNumberFormat="1"/>
    <xf numFmtId="172" fontId="4" fillId="0" borderId="0" xfId="3" applyNumberFormat="1"/>
    <xf numFmtId="0" fontId="4" fillId="0" borderId="0" xfId="3" applyFont="1" applyBorder="1"/>
    <xf numFmtId="166" fontId="4" fillId="0" borderId="0" xfId="3" applyNumberFormat="1"/>
    <xf numFmtId="166" fontId="4" fillId="0" borderId="12" xfId="3" applyNumberFormat="1" applyBorder="1"/>
    <xf numFmtId="3" fontId="4" fillId="0" borderId="0" xfId="3" applyNumberFormat="1"/>
    <xf numFmtId="0" fontId="28" fillId="0" borderId="0" xfId="0" applyFont="1" applyFill="1" applyBorder="1"/>
    <xf numFmtId="10" fontId="4" fillId="24" borderId="12" xfId="3" applyNumberFormat="1" applyFill="1" applyBorder="1"/>
    <xf numFmtId="166" fontId="4" fillId="26" borderId="12" xfId="3" applyNumberFormat="1" applyFont="1" applyFill="1" applyBorder="1" applyAlignment="1">
      <alignment horizontal="right"/>
    </xf>
    <xf numFmtId="166" fontId="4" fillId="26" borderId="12" xfId="3" applyNumberFormat="1" applyFont="1" applyFill="1" applyBorder="1"/>
    <xf numFmtId="40" fontId="4" fillId="0" borderId="0" xfId="3" applyNumberFormat="1"/>
    <xf numFmtId="3" fontId="4" fillId="0" borderId="0" xfId="3" applyNumberFormat="1" applyBorder="1"/>
    <xf numFmtId="174" fontId="4" fillId="0" borderId="0" xfId="3" applyNumberFormat="1"/>
    <xf numFmtId="171" fontId="4" fillId="0" borderId="0" xfId="3" applyNumberFormat="1"/>
    <xf numFmtId="44" fontId="3" fillId="0" borderId="0" xfId="0" applyNumberFormat="1" applyFont="1"/>
    <xf numFmtId="169" fontId="3" fillId="0" borderId="0" xfId="0" applyNumberFormat="1" applyFont="1"/>
    <xf numFmtId="169" fontId="0" fillId="0" borderId="0" xfId="0" applyNumberFormat="1" applyFont="1"/>
    <xf numFmtId="44" fontId="0" fillId="0" borderId="0" xfId="0" applyNumberFormat="1" applyFont="1"/>
    <xf numFmtId="1" fontId="0" fillId="0" borderId="0" xfId="0" applyNumberFormat="1" applyFont="1" applyFill="1"/>
    <xf numFmtId="0" fontId="3" fillId="0" borderId="17" xfId="0" applyFont="1" applyBorder="1" applyAlignment="1">
      <alignment horizontal="left"/>
    </xf>
    <xf numFmtId="0" fontId="3" fillId="0" borderId="17" xfId="0" applyFont="1" applyBorder="1"/>
    <xf numFmtId="169" fontId="3" fillId="0" borderId="17" xfId="0" applyNumberFormat="1" applyFont="1" applyBorder="1"/>
    <xf numFmtId="166" fontId="3" fillId="0" borderId="17" xfId="0" applyNumberFormat="1" applyFont="1" applyBorder="1"/>
    <xf numFmtId="44" fontId="3" fillId="0" borderId="17" xfId="0" applyNumberFormat="1" applyFont="1" applyBorder="1"/>
    <xf numFmtId="9" fontId="3" fillId="0" borderId="17" xfId="0" applyNumberFormat="1" applyFont="1" applyFill="1" applyBorder="1"/>
    <xf numFmtId="166" fontId="3" fillId="0" borderId="17" xfId="0" applyNumberFormat="1" applyFont="1" applyFill="1" applyBorder="1"/>
    <xf numFmtId="3" fontId="0" fillId="0" borderId="0" xfId="0" applyNumberFormat="1" applyFont="1"/>
    <xf numFmtId="175" fontId="3" fillId="0" borderId="0" xfId="0" applyNumberFormat="1" applyFont="1"/>
    <xf numFmtId="175" fontId="0" fillId="0" borderId="0" xfId="0" applyNumberFormat="1" applyFont="1"/>
    <xf numFmtId="0" fontId="0" fillId="0" borderId="0" xfId="0" applyNumberFormat="1" applyFont="1" applyAlignment="1">
      <alignment horizontal="left"/>
    </xf>
    <xf numFmtId="175" fontId="3" fillId="0" borderId="17" xfId="0" applyNumberFormat="1" applyFont="1" applyBorder="1"/>
    <xf numFmtId="165" fontId="3" fillId="0" borderId="17" xfId="0" applyNumberFormat="1" applyFont="1" applyBorder="1"/>
    <xf numFmtId="0" fontId="25" fillId="25" borderId="11" xfId="3" applyFont="1" applyFill="1" applyBorder="1"/>
    <xf numFmtId="0" fontId="4" fillId="25" borderId="11" xfId="3" applyFill="1" applyBorder="1"/>
    <xf numFmtId="0" fontId="4" fillId="0" borderId="0" xfId="3" applyBorder="1"/>
    <xf numFmtId="0" fontId="4" fillId="0" borderId="0" xfId="3"/>
    <xf numFmtId="0" fontId="23" fillId="0" borderId="0" xfId="3" applyFont="1" applyBorder="1"/>
    <xf numFmtId="0" fontId="31" fillId="0" borderId="0" xfId="3" applyFont="1" applyBorder="1"/>
    <xf numFmtId="0" fontId="36" fillId="0" borderId="0" xfId="3" applyFont="1" applyBorder="1"/>
    <xf numFmtId="0" fontId="4" fillId="0" borderId="17" xfId="3" applyBorder="1"/>
    <xf numFmtId="0" fontId="37" fillId="0" borderId="0" xfId="3" applyFont="1" applyBorder="1"/>
    <xf numFmtId="0" fontId="4" fillId="0" borderId="16" xfId="3" applyBorder="1"/>
    <xf numFmtId="172" fontId="4" fillId="0" borderId="12" xfId="3" applyNumberFormat="1" applyBorder="1"/>
    <xf numFmtId="0" fontId="35" fillId="0" borderId="0" xfId="3" applyFont="1" applyBorder="1"/>
    <xf numFmtId="0" fontId="4" fillId="0" borderId="11" xfId="3" applyBorder="1"/>
    <xf numFmtId="0" fontId="4" fillId="0" borderId="0" xfId="3" applyFill="1" applyBorder="1"/>
    <xf numFmtId="0" fontId="4" fillId="0" borderId="17" xfId="3" applyBorder="1" applyAlignment="1">
      <alignment horizontal="right"/>
    </xf>
    <xf numFmtId="0" fontId="4" fillId="0" borderId="10" xfId="3" applyFont="1" applyBorder="1"/>
    <xf numFmtId="0" fontId="4" fillId="0" borderId="13" xfId="3" applyBorder="1"/>
    <xf numFmtId="172" fontId="4" fillId="0" borderId="13" xfId="3" applyNumberFormat="1" applyBorder="1"/>
    <xf numFmtId="0" fontId="4" fillId="0" borderId="0" xfId="3" applyBorder="1" applyAlignment="1">
      <alignment horizontal="left"/>
    </xf>
    <xf numFmtId="0" fontId="4" fillId="0" borderId="10" xfId="3" applyBorder="1"/>
    <xf numFmtId="10" fontId="4" fillId="0" borderId="13" xfId="3" applyNumberFormat="1" applyBorder="1"/>
    <xf numFmtId="3" fontId="4" fillId="0" borderId="13" xfId="3" applyNumberFormat="1" applyBorder="1"/>
    <xf numFmtId="3" fontId="4" fillId="0" borderId="12" xfId="3" applyNumberFormat="1" applyBorder="1"/>
    <xf numFmtId="0" fontId="36" fillId="0" borderId="0" xfId="3" applyFont="1" applyFill="1" applyBorder="1"/>
    <xf numFmtId="3" fontId="4" fillId="0" borderId="13" xfId="3" applyNumberFormat="1" applyFont="1" applyBorder="1"/>
    <xf numFmtId="3" fontId="4" fillId="0" borderId="12" xfId="3" applyNumberFormat="1" applyFont="1" applyBorder="1"/>
    <xf numFmtId="0" fontId="31" fillId="0" borderId="0" xfId="3" applyFont="1" applyFill="1" applyBorder="1"/>
    <xf numFmtId="165" fontId="4" fillId="0" borderId="0" xfId="3" applyNumberFormat="1" applyBorder="1"/>
    <xf numFmtId="3" fontId="4" fillId="0" borderId="0" xfId="3" applyNumberFormat="1" applyBorder="1"/>
    <xf numFmtId="2" fontId="4" fillId="0" borderId="12" xfId="3" applyNumberFormat="1" applyBorder="1"/>
    <xf numFmtId="0" fontId="3" fillId="0" borderId="0" xfId="0" applyFont="1" applyBorder="1" applyAlignment="1">
      <alignment horizontal="left"/>
    </xf>
    <xf numFmtId="0" fontId="3" fillId="0" borderId="0" xfId="0" applyFont="1" applyBorder="1" applyAlignment="1"/>
    <xf numFmtId="3" fontId="0" fillId="0" borderId="0" xfId="0" applyNumberFormat="1"/>
    <xf numFmtId="42" fontId="0" fillId="0" borderId="0" xfId="0" applyNumberFormat="1" applyFill="1"/>
    <xf numFmtId="169" fontId="0" fillId="0" borderId="0" xfId="133" applyNumberFormat="1" applyFont="1" applyFill="1"/>
    <xf numFmtId="42" fontId="38" fillId="0" borderId="0" xfId="133" applyNumberFormat="1" applyFont="1" applyBorder="1"/>
    <xf numFmtId="44" fontId="38" fillId="0" borderId="0" xfId="0" applyNumberFormat="1" applyFont="1" applyBorder="1"/>
    <xf numFmtId="9" fontId="0" fillId="0" borderId="0" xfId="0" applyNumberFormat="1" applyFont="1" applyBorder="1"/>
    <xf numFmtId="0" fontId="27" fillId="0" borderId="17" xfId="0" applyFont="1" applyFill="1" applyBorder="1" applyAlignment="1">
      <alignment vertical="top" wrapText="1"/>
    </xf>
    <xf numFmtId="9" fontId="0" fillId="0" borderId="0" xfId="0" applyNumberFormat="1" applyFill="1"/>
    <xf numFmtId="169" fontId="0" fillId="0" borderId="17" xfId="0" applyNumberFormat="1" applyBorder="1"/>
    <xf numFmtId="42" fontId="38" fillId="0" borderId="0" xfId="0" applyNumberFormat="1" applyFont="1" applyBorder="1"/>
    <xf numFmtId="5" fontId="38" fillId="0" borderId="0" xfId="0" applyNumberFormat="1" applyFont="1" applyBorder="1"/>
    <xf numFmtId="0" fontId="0" fillId="0" borderId="0" xfId="0"/>
    <xf numFmtId="165" fontId="0" fillId="0" borderId="0" xfId="0" applyNumberFormat="1"/>
    <xf numFmtId="0" fontId="3" fillId="0" borderId="0" xfId="0" applyFont="1"/>
    <xf numFmtId="9" fontId="0" fillId="0" borderId="0" xfId="0" applyNumberFormat="1"/>
    <xf numFmtId="0" fontId="0" fillId="0" borderId="0" xfId="0" applyAlignment="1">
      <alignment horizontal="right"/>
    </xf>
    <xf numFmtId="0" fontId="0" fillId="0" borderId="0" xfId="0" applyBorder="1"/>
    <xf numFmtId="0" fontId="0" fillId="0" borderId="0" xfId="0" applyFill="1" applyBorder="1"/>
    <xf numFmtId="3" fontId="0" fillId="0" borderId="0" xfId="0" applyNumberFormat="1"/>
    <xf numFmtId="0" fontId="0" fillId="0" borderId="17" xfId="0" applyBorder="1"/>
    <xf numFmtId="165" fontId="0" fillId="0" borderId="17" xfId="0" applyNumberFormat="1" applyBorder="1"/>
    <xf numFmtId="0" fontId="0" fillId="24" borderId="0" xfId="0" applyFill="1" applyBorder="1"/>
    <xf numFmtId="0" fontId="0" fillId="0" borderId="17" xfId="0" applyFont="1" applyBorder="1"/>
    <xf numFmtId="165" fontId="0" fillId="0" borderId="0" xfId="0" applyNumberFormat="1" applyBorder="1"/>
    <xf numFmtId="165" fontId="0" fillId="0" borderId="0" xfId="0" applyNumberFormat="1" applyFill="1"/>
    <xf numFmtId="0" fontId="0" fillId="0" borderId="0" xfId="0" applyFill="1"/>
    <xf numFmtId="0" fontId="4" fillId="0" borderId="0" xfId="3" applyBorder="1"/>
    <xf numFmtId="0" fontId="4" fillId="0" borderId="0" xfId="3"/>
    <xf numFmtId="0" fontId="4" fillId="0" borderId="0" xfId="3" applyFont="1" applyAlignment="1">
      <alignment wrapText="1"/>
    </xf>
    <xf numFmtId="169" fontId="0" fillId="0" borderId="0" xfId="133" applyNumberFormat="1" applyFont="1"/>
    <xf numFmtId="0" fontId="0" fillId="0" borderId="0" xfId="0" applyFill="1" applyBorder="1" applyAlignment="1">
      <alignment horizontal="right"/>
    </xf>
    <xf numFmtId="169" fontId="0" fillId="0" borderId="0" xfId="133" applyNumberFormat="1" applyFont="1" applyFill="1" applyBorder="1"/>
    <xf numFmtId="169" fontId="0" fillId="0" borderId="17" xfId="133" applyNumberFormat="1" applyFont="1" applyFill="1" applyBorder="1"/>
    <xf numFmtId="0" fontId="0" fillId="0" borderId="0" xfId="0" applyNumberFormat="1" applyFont="1" applyFill="1" applyBorder="1" applyAlignment="1" applyProtection="1"/>
    <xf numFmtId="0" fontId="0" fillId="0" borderId="0" xfId="0" applyBorder="1" applyAlignment="1">
      <alignment vertical="center"/>
    </xf>
    <xf numFmtId="0" fontId="0" fillId="0" borderId="0" xfId="0" applyBorder="1" applyAlignment="1">
      <alignment horizontal="left" vertical="center"/>
    </xf>
    <xf numFmtId="169" fontId="0" fillId="0" borderId="0" xfId="133" applyNumberFormat="1" applyFont="1" applyBorder="1"/>
    <xf numFmtId="169" fontId="0" fillId="0" borderId="20" xfId="133" applyNumberFormat="1" applyFont="1" applyBorder="1"/>
    <xf numFmtId="0" fontId="29" fillId="0" borderId="0" xfId="0" applyNumberFormat="1" applyFont="1" applyFill="1" applyBorder="1" applyAlignment="1" applyProtection="1">
      <alignment horizontal="left"/>
    </xf>
    <xf numFmtId="0" fontId="29" fillId="0" borderId="0" xfId="0" applyNumberFormat="1" applyFont="1" applyFill="1" applyBorder="1" applyAlignment="1" applyProtection="1">
      <alignment horizontal="left" vertical="top" wrapText="1"/>
    </xf>
    <xf numFmtId="169" fontId="29" fillId="0" borderId="0" xfId="133" applyNumberFormat="1" applyFont="1" applyFill="1" applyBorder="1" applyAlignment="1" applyProtection="1">
      <protection locked="0"/>
    </xf>
    <xf numFmtId="0" fontId="0" fillId="0" borderId="0" xfId="0" applyFill="1" applyBorder="1" applyAlignment="1">
      <alignment vertical="center"/>
    </xf>
    <xf numFmtId="0" fontId="0" fillId="0" borderId="0" xfId="0" applyFill="1" applyBorder="1" applyAlignment="1">
      <alignment horizontal="left" vertical="center"/>
    </xf>
    <xf numFmtId="9" fontId="0" fillId="0" borderId="0" xfId="0" applyNumberFormat="1" applyFill="1" applyBorder="1"/>
    <xf numFmtId="0" fontId="28" fillId="0" borderId="17" xfId="0" applyFont="1" applyFill="1" applyBorder="1" applyAlignment="1"/>
    <xf numFmtId="0" fontId="28" fillId="0" borderId="0" xfId="0" applyFont="1" applyBorder="1"/>
    <xf numFmtId="0" fontId="39" fillId="0" borderId="0" xfId="0" applyFont="1" applyFill="1" applyBorder="1" applyAlignment="1">
      <alignment horizontal="center"/>
    </xf>
    <xf numFmtId="0" fontId="28" fillId="27" borderId="18" xfId="0" applyFont="1" applyFill="1" applyBorder="1" applyAlignment="1"/>
    <xf numFmtId="165" fontId="28" fillId="0" borderId="0" xfId="0" applyNumberFormat="1" applyFont="1" applyBorder="1"/>
    <xf numFmtId="0" fontId="28" fillId="27" borderId="15" xfId="0" applyFont="1" applyFill="1" applyBorder="1" applyAlignment="1"/>
    <xf numFmtId="3" fontId="28" fillId="0" borderId="12" xfId="0" applyNumberFormat="1" applyFont="1" applyBorder="1"/>
    <xf numFmtId="9" fontId="23" fillId="0" borderId="12" xfId="2" applyFont="1" applyFill="1" applyBorder="1" applyAlignment="1">
      <alignment horizontal="center"/>
    </xf>
    <xf numFmtId="0" fontId="39" fillId="0" borderId="0" xfId="0" applyFont="1" applyFill="1" applyBorder="1" applyAlignment="1">
      <alignment horizontal="center" wrapText="1"/>
    </xf>
    <xf numFmtId="0" fontId="0" fillId="0" borderId="0" xfId="0"/>
    <xf numFmtId="0" fontId="0" fillId="0" borderId="0" xfId="0" applyFill="1" applyBorder="1"/>
    <xf numFmtId="0" fontId="28" fillId="0" borderId="10" xfId="0" applyFont="1" applyBorder="1"/>
    <xf numFmtId="165" fontId="28" fillId="0" borderId="12" xfId="0" applyNumberFormat="1" applyFont="1" applyBorder="1"/>
    <xf numFmtId="0" fontId="0" fillId="0" borderId="0" xfId="0"/>
    <xf numFmtId="165" fontId="28" fillId="0" borderId="12" xfId="0" applyNumberFormat="1" applyFont="1" applyBorder="1"/>
    <xf numFmtId="0" fontId="0" fillId="0" borderId="0" xfId="0"/>
    <xf numFmtId="0" fontId="0" fillId="0" borderId="12" xfId="0" applyBorder="1"/>
    <xf numFmtId="167" fontId="0" fillId="0" borderId="12" xfId="0" applyNumberFormat="1" applyBorder="1"/>
    <xf numFmtId="0" fontId="28" fillId="0" borderId="10" xfId="0" applyFont="1" applyBorder="1"/>
    <xf numFmtId="166" fontId="28" fillId="0" borderId="12" xfId="0" applyNumberFormat="1" applyFont="1" applyBorder="1"/>
    <xf numFmtId="170" fontId="28" fillId="0" borderId="12" xfId="0" applyNumberFormat="1" applyFont="1" applyBorder="1"/>
    <xf numFmtId="0" fontId="39" fillId="27" borderId="18" xfId="0" applyFont="1" applyFill="1" applyBorder="1" applyAlignment="1">
      <alignment horizontal="center"/>
    </xf>
    <xf numFmtId="0" fontId="39" fillId="27" borderId="12" xfId="0" applyFont="1" applyFill="1" applyBorder="1" applyAlignment="1">
      <alignment horizontal="center"/>
    </xf>
    <xf numFmtId="0" fontId="39" fillId="27" borderId="15" xfId="0" applyFont="1" applyFill="1" applyBorder="1" applyAlignment="1">
      <alignment horizontal="center"/>
    </xf>
    <xf numFmtId="0" fontId="28" fillId="0" borderId="10" xfId="0" applyFont="1" applyBorder="1"/>
    <xf numFmtId="165" fontId="28" fillId="0" borderId="12" xfId="0" applyNumberFormat="1" applyFont="1" applyBorder="1"/>
    <xf numFmtId="0" fontId="28" fillId="0" borderId="10" xfId="0" applyFont="1" applyBorder="1"/>
    <xf numFmtId="165" fontId="28" fillId="0" borderId="12" xfId="0" applyNumberFormat="1" applyFont="1" applyBorder="1"/>
    <xf numFmtId="166" fontId="0" fillId="0" borderId="0" xfId="0" applyNumberFormat="1"/>
    <xf numFmtId="0" fontId="0" fillId="0" borderId="12" xfId="0" applyBorder="1"/>
    <xf numFmtId="166" fontId="28" fillId="0" borderId="12" xfId="0" applyNumberFormat="1" applyFont="1" applyBorder="1"/>
    <xf numFmtId="0" fontId="28" fillId="0" borderId="12" xfId="0" applyFont="1" applyBorder="1"/>
    <xf numFmtId="167" fontId="28" fillId="0" borderId="12" xfId="0" applyNumberFormat="1" applyFont="1" applyBorder="1"/>
    <xf numFmtId="0" fontId="0" fillId="0" borderId="10" xfId="0" applyBorder="1"/>
    <xf numFmtId="0" fontId="0" fillId="0" borderId="13" xfId="0" applyBorder="1"/>
    <xf numFmtId="0" fontId="39" fillId="27" borderId="12" xfId="0" applyFont="1" applyFill="1" applyBorder="1" applyAlignment="1">
      <alignment horizontal="center"/>
    </xf>
    <xf numFmtId="0" fontId="0" fillId="0" borderId="0" xfId="0"/>
    <xf numFmtId="0" fontId="28" fillId="0" borderId="0" xfId="0" applyFont="1" applyFill="1" applyBorder="1"/>
    <xf numFmtId="0" fontId="0" fillId="0" borderId="12" xfId="0" applyBorder="1"/>
    <xf numFmtId="166" fontId="28" fillId="0" borderId="12" xfId="0" applyNumberFormat="1" applyFont="1" applyBorder="1"/>
    <xf numFmtId="0" fontId="28" fillId="0" borderId="12" xfId="0" applyFont="1" applyBorder="1"/>
    <xf numFmtId="167" fontId="28" fillId="0" borderId="12" xfId="0" applyNumberFormat="1" applyFont="1" applyBorder="1"/>
    <xf numFmtId="0" fontId="0" fillId="0" borderId="10" xfId="0" applyBorder="1"/>
    <xf numFmtId="0" fontId="0" fillId="0" borderId="13" xfId="0" applyBorder="1"/>
    <xf numFmtId="0" fontId="39" fillId="27" borderId="18" xfId="0" applyFont="1" applyFill="1" applyBorder="1" applyAlignment="1">
      <alignment horizontal="center"/>
    </xf>
    <xf numFmtId="0" fontId="39" fillId="27" borderId="12" xfId="0" applyFont="1" applyFill="1" applyBorder="1" applyAlignment="1">
      <alignment horizontal="center"/>
    </xf>
    <xf numFmtId="2" fontId="0" fillId="0" borderId="0" xfId="0" applyNumberFormat="1"/>
    <xf numFmtId="0" fontId="23" fillId="0" borderId="12" xfId="55" applyFont="1" applyBorder="1"/>
    <xf numFmtId="0" fontId="4" fillId="0" borderId="12" xfId="55" applyFill="1" applyBorder="1"/>
    <xf numFmtId="9" fontId="4" fillId="0" borderId="12" xfId="2" applyBorder="1"/>
    <xf numFmtId="170" fontId="4" fillId="0" borderId="12" xfId="55" applyNumberFormat="1" applyFill="1" applyBorder="1"/>
    <xf numFmtId="0" fontId="0" fillId="0" borderId="0" xfId="0"/>
    <xf numFmtId="0" fontId="0" fillId="0" borderId="0" xfId="0" applyFill="1"/>
    <xf numFmtId="0" fontId="23" fillId="0" borderId="12" xfId="55" applyFont="1" applyFill="1" applyBorder="1" applyAlignment="1">
      <alignment horizontal="center"/>
    </xf>
    <xf numFmtId="0" fontId="23" fillId="0" borderId="12" xfId="55" applyFont="1" applyBorder="1" applyAlignment="1">
      <alignment horizontal="center"/>
    </xf>
    <xf numFmtId="4" fontId="23" fillId="0" borderId="12" xfId="55" applyNumberFormat="1" applyFont="1" applyBorder="1" applyAlignment="1">
      <alignment horizontal="center"/>
    </xf>
    <xf numFmtId="169" fontId="29" fillId="0" borderId="0" xfId="133" applyNumberFormat="1" applyFont="1" applyFill="1" applyBorder="1"/>
    <xf numFmtId="10" fontId="29" fillId="0" borderId="0" xfId="0" applyNumberFormat="1" applyFont="1" applyFill="1" applyBorder="1"/>
    <xf numFmtId="3" fontId="29" fillId="0" borderId="0" xfId="0" applyNumberFormat="1" applyFont="1" applyFill="1" applyBorder="1"/>
    <xf numFmtId="3" fontId="28" fillId="0" borderId="0" xfId="0" applyNumberFormat="1" applyFont="1" applyBorder="1"/>
    <xf numFmtId="0" fontId="39" fillId="27" borderId="15" xfId="0" applyFont="1" applyFill="1" applyBorder="1" applyAlignment="1">
      <alignment horizontal="center"/>
    </xf>
    <xf numFmtId="0" fontId="0" fillId="0" borderId="0" xfId="0" applyFill="1" applyBorder="1" applyAlignment="1">
      <alignment horizontal="center"/>
    </xf>
    <xf numFmtId="0" fontId="40" fillId="0" borderId="0" xfId="0" applyFont="1" applyBorder="1" applyAlignment="1">
      <alignment vertical="top" wrapText="1"/>
    </xf>
    <xf numFmtId="169" fontId="2" fillId="0" borderId="0" xfId="133" applyNumberFormat="1" applyFont="1" applyFill="1" applyBorder="1"/>
    <xf numFmtId="3" fontId="5" fillId="0" borderId="0" xfId="0" applyNumberFormat="1"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0" fillId="0" borderId="0" xfId="0" applyFill="1" applyBorder="1" applyAlignment="1">
      <alignment horizontal="center"/>
    </xf>
    <xf numFmtId="0" fontId="5" fillId="0" borderId="0" xfId="0" applyFont="1" applyFill="1" applyBorder="1" applyAlignment="1">
      <alignment horizontal="center" vertical="top" wrapText="1"/>
    </xf>
    <xf numFmtId="42" fontId="30" fillId="0" borderId="0" xfId="0" applyNumberFormat="1" applyFont="1"/>
    <xf numFmtId="1" fontId="30" fillId="0" borderId="0" xfId="0" applyNumberFormat="1" applyFont="1" applyAlignment="1">
      <alignment horizontal="center"/>
    </xf>
    <xf numFmtId="42" fontId="30" fillId="0" borderId="0" xfId="0" applyNumberFormat="1" applyFont="1" applyFill="1"/>
    <xf numFmtId="167" fontId="30" fillId="0" borderId="0" xfId="0" applyNumberFormat="1" applyFont="1" applyFill="1"/>
    <xf numFmtId="0" fontId="5" fillId="0" borderId="0" xfId="0" applyFont="1" applyFill="1" applyBorder="1" applyAlignment="1">
      <alignment horizontal="right" vertical="top" wrapText="1"/>
    </xf>
    <xf numFmtId="0" fontId="27" fillId="0" borderId="17" xfId="0" applyFont="1" applyBorder="1" applyAlignment="1">
      <alignment vertical="top" wrapText="1"/>
    </xf>
    <xf numFmtId="3" fontId="0" fillId="0" borderId="17" xfId="0" applyNumberFormat="1" applyFill="1" applyBorder="1"/>
    <xf numFmtId="0" fontId="39" fillId="27" borderId="12" xfId="0" applyFont="1" applyFill="1" applyBorder="1" applyAlignment="1">
      <alignment horizontal="right"/>
    </xf>
    <xf numFmtId="0" fontId="39" fillId="27" borderId="10" xfId="0" applyFont="1" applyFill="1" applyBorder="1" applyAlignment="1">
      <alignment horizontal="right"/>
    </xf>
    <xf numFmtId="0" fontId="39" fillId="27" borderId="10" xfId="0" applyFont="1" applyFill="1" applyBorder="1" applyAlignment="1">
      <alignment horizontal="right" wrapText="1"/>
    </xf>
    <xf numFmtId="0" fontId="3" fillId="0" borderId="0" xfId="0" applyNumberFormat="1" applyFont="1" applyFill="1" applyBorder="1" applyAlignment="1" applyProtection="1"/>
    <xf numFmtId="42" fontId="0" fillId="0" borderId="17" xfId="133" applyNumberFormat="1" applyFont="1" applyFill="1" applyBorder="1"/>
    <xf numFmtId="173" fontId="0" fillId="0" borderId="0" xfId="133" applyNumberFormat="1" applyFont="1" applyFill="1" applyBorder="1"/>
    <xf numFmtId="0" fontId="0" fillId="0" borderId="0" xfId="0" applyNumberFormat="1" applyBorder="1"/>
    <xf numFmtId="0" fontId="3" fillId="0" borderId="0" xfId="0" applyFont="1" applyFill="1" applyBorder="1"/>
    <xf numFmtId="0" fontId="32" fillId="0" borderId="0" xfId="0" applyFont="1" applyFill="1"/>
    <xf numFmtId="165" fontId="0" fillId="0" borderId="0" xfId="133" applyNumberFormat="1" applyFont="1" applyFill="1"/>
    <xf numFmtId="0" fontId="0" fillId="0" borderId="0" xfId="0"/>
    <xf numFmtId="0" fontId="0" fillId="0" borderId="17" xfId="0" applyBorder="1"/>
    <xf numFmtId="0" fontId="0" fillId="0" borderId="0" xfId="0" applyFill="1"/>
    <xf numFmtId="165" fontId="0" fillId="0" borderId="0" xfId="0" applyNumberFormat="1"/>
    <xf numFmtId="165" fontId="0" fillId="0" borderId="17" xfId="0" applyNumberFormat="1" applyBorder="1"/>
    <xf numFmtId="0" fontId="0" fillId="0" borderId="0" xfId="0" applyFont="1" applyFill="1" applyBorder="1"/>
    <xf numFmtId="165" fontId="0" fillId="0" borderId="0" xfId="0" applyNumberFormat="1" applyFill="1"/>
    <xf numFmtId="0" fontId="0" fillId="0" borderId="0" xfId="0"/>
    <xf numFmtId="0" fontId="0" fillId="0" borderId="0" xfId="0" applyFill="1"/>
    <xf numFmtId="0" fontId="41" fillId="0" borderId="0" xfId="0" applyFont="1"/>
    <xf numFmtId="0" fontId="3" fillId="0" borderId="0" xfId="0" applyFont="1"/>
    <xf numFmtId="42" fontId="0" fillId="0" borderId="0" xfId="0" applyNumberFormat="1" applyFill="1"/>
    <xf numFmtId="0" fontId="0" fillId="0" borderId="0" xfId="0"/>
    <xf numFmtId="0" fontId="0" fillId="0" borderId="0" xfId="0"/>
    <xf numFmtId="0" fontId="0" fillId="0" borderId="0" xfId="0"/>
    <xf numFmtId="0" fontId="3" fillId="0" borderId="0" xfId="0" applyFont="1"/>
    <xf numFmtId="0" fontId="0" fillId="0" borderId="0" xfId="0"/>
    <xf numFmtId="42" fontId="0" fillId="0" borderId="0" xfId="0" applyNumberFormat="1"/>
    <xf numFmtId="0" fontId="0" fillId="0" borderId="0" xfId="0"/>
    <xf numFmtId="42" fontId="0" fillId="0" borderId="0" xfId="0" applyNumberFormat="1" applyFill="1"/>
    <xf numFmtId="42" fontId="0" fillId="0" borderId="0" xfId="0" applyNumberFormat="1"/>
    <xf numFmtId="0" fontId="3" fillId="0" borderId="0" xfId="0" applyFont="1"/>
    <xf numFmtId="167" fontId="0" fillId="0" borderId="0" xfId="0" applyNumberFormat="1"/>
    <xf numFmtId="0" fontId="0" fillId="0" borderId="0" xfId="0"/>
    <xf numFmtId="42" fontId="0" fillId="0" borderId="0" xfId="0" applyNumberFormat="1" applyFill="1"/>
    <xf numFmtId="42" fontId="0" fillId="0" borderId="0" xfId="0" applyNumberFormat="1"/>
    <xf numFmtId="0" fontId="3" fillId="0" borderId="0" xfId="0" applyFont="1"/>
    <xf numFmtId="167" fontId="0" fillId="0" borderId="0" xfId="0" applyNumberFormat="1"/>
    <xf numFmtId="0" fontId="0" fillId="0" borderId="0" xfId="0"/>
    <xf numFmtId="0" fontId="0" fillId="0" borderId="0" xfId="0" applyFont="1"/>
    <xf numFmtId="0" fontId="0" fillId="0" borderId="0" xfId="0"/>
    <xf numFmtId="0" fontId="0" fillId="0" borderId="0" xfId="0"/>
    <xf numFmtId="9" fontId="29" fillId="0" borderId="0" xfId="0" applyNumberFormat="1" applyFont="1"/>
    <xf numFmtId="165" fontId="29" fillId="0" borderId="0" xfId="0" applyNumberFormat="1" applyFont="1" applyFill="1"/>
    <xf numFmtId="0" fontId="29" fillId="0" borderId="17" xfId="0" applyFont="1" applyBorder="1"/>
    <xf numFmtId="168" fontId="29" fillId="0" borderId="0" xfId="0" applyNumberFormat="1" applyFont="1"/>
    <xf numFmtId="165" fontId="28" fillId="0" borderId="0" xfId="0" applyNumberFormat="1" applyFont="1" applyFill="1" applyBorder="1"/>
    <xf numFmtId="170" fontId="28" fillId="0" borderId="0" xfId="0" applyNumberFormat="1" applyFont="1" applyFill="1" applyBorder="1" applyAlignment="1">
      <alignment horizontal="right"/>
    </xf>
    <xf numFmtId="165" fontId="29" fillId="0" borderId="17" xfId="0" applyNumberFormat="1" applyFont="1" applyBorder="1"/>
    <xf numFmtId="0" fontId="24" fillId="0" borderId="0" xfId="0" applyFont="1" applyFill="1" applyBorder="1" applyAlignment="1">
      <alignment horizontal="right"/>
    </xf>
    <xf numFmtId="1" fontId="29" fillId="0" borderId="0" xfId="0" applyNumberFormat="1" applyFont="1" applyBorder="1"/>
    <xf numFmtId="3" fontId="4" fillId="0" borderId="0" xfId="0" applyNumberFormat="1" applyFont="1" applyFill="1" applyBorder="1" applyAlignment="1">
      <alignment horizontal="right"/>
    </xf>
    <xf numFmtId="0" fontId="29" fillId="0" borderId="0" xfId="0" applyFont="1" applyAlignment="1">
      <alignment horizontal="right"/>
    </xf>
    <xf numFmtId="167" fontId="28" fillId="0" borderId="0" xfId="0" applyNumberFormat="1" applyFont="1" applyFill="1" applyBorder="1" applyAlignment="1">
      <alignment horizontal="right"/>
    </xf>
    <xf numFmtId="0" fontId="28" fillId="0" borderId="0" xfId="0" applyFont="1" applyFill="1" applyBorder="1" applyAlignment="1">
      <alignment horizontal="right"/>
    </xf>
    <xf numFmtId="0" fontId="22" fillId="0" borderId="0" xfId="0" applyFont="1"/>
    <xf numFmtId="3" fontId="39" fillId="0" borderId="0" xfId="0" applyNumberFormat="1" applyFont="1" applyFill="1" applyBorder="1"/>
    <xf numFmtId="0" fontId="29" fillId="0" borderId="0" xfId="0" applyFont="1" applyAlignment="1">
      <alignment horizontal="left"/>
    </xf>
    <xf numFmtId="0" fontId="39" fillId="0" borderId="0" xfId="0" applyFont="1" applyFill="1" applyBorder="1"/>
    <xf numFmtId="166" fontId="4" fillId="0" borderId="0" xfId="3" applyNumberFormat="1" applyFill="1" applyBorder="1"/>
    <xf numFmtId="0" fontId="0" fillId="0" borderId="0" xfId="0" applyFill="1" applyBorder="1" applyAlignment="1"/>
    <xf numFmtId="165" fontId="29" fillId="0" borderId="0" xfId="0" applyNumberFormat="1" applyFont="1" applyBorder="1"/>
    <xf numFmtId="166" fontId="4" fillId="0" borderId="0" xfId="3" applyNumberFormat="1" applyFont="1" applyFill="1" applyBorder="1"/>
    <xf numFmtId="0" fontId="29" fillId="0" borderId="0" xfId="0" applyFont="1" applyBorder="1"/>
    <xf numFmtId="0" fontId="29" fillId="0" borderId="0" xfId="0" applyFont="1" applyFill="1"/>
    <xf numFmtId="168" fontId="29" fillId="0" borderId="0" xfId="0" applyNumberFormat="1" applyFont="1" applyAlignment="1">
      <alignment horizontal="right"/>
    </xf>
    <xf numFmtId="165" fontId="29" fillId="0" borderId="0" xfId="0" applyNumberFormat="1" applyFont="1"/>
    <xf numFmtId="42" fontId="3" fillId="0" borderId="0" xfId="0" applyNumberFormat="1" applyFont="1" applyFill="1"/>
    <xf numFmtId="169" fontId="0" fillId="0" borderId="0" xfId="0" applyNumberFormat="1"/>
    <xf numFmtId="42" fontId="0" fillId="0" borderId="0" xfId="0" applyNumberFormat="1" applyFont="1" applyFill="1"/>
    <xf numFmtId="42" fontId="22" fillId="0" borderId="0" xfId="0" applyNumberFormat="1" applyFont="1" applyFill="1"/>
    <xf numFmtId="42" fontId="3" fillId="0" borderId="0" xfId="0" applyNumberFormat="1" applyFont="1"/>
    <xf numFmtId="169" fontId="3" fillId="0" borderId="0" xfId="0" applyNumberFormat="1" applyFont="1" applyFill="1"/>
    <xf numFmtId="0" fontId="4" fillId="25" borderId="11" xfId="3" applyFill="1" applyBorder="1"/>
    <xf numFmtId="0" fontId="4" fillId="0" borderId="0" xfId="3" applyBorder="1"/>
    <xf numFmtId="0" fontId="4" fillId="0" borderId="0" xfId="3"/>
    <xf numFmtId="0" fontId="4" fillId="0" borderId="0" xfId="3" applyBorder="1" applyAlignment="1">
      <alignment horizontal="left"/>
    </xf>
    <xf numFmtId="0" fontId="4" fillId="0" borderId="0" xfId="3" applyFill="1" applyBorder="1" applyAlignment="1">
      <alignment horizontal="left"/>
    </xf>
    <xf numFmtId="0" fontId="34" fillId="0" borderId="0" xfId="3" applyFont="1" applyBorder="1"/>
    <xf numFmtId="0" fontId="4" fillId="0" borderId="0" xfId="3" applyFill="1" applyBorder="1"/>
    <xf numFmtId="3" fontId="4" fillId="0" borderId="0" xfId="3" applyNumberFormat="1" applyBorder="1"/>
    <xf numFmtId="165" fontId="3" fillId="0" borderId="17" xfId="0" applyNumberFormat="1" applyFont="1" applyBorder="1"/>
    <xf numFmtId="0" fontId="36" fillId="0" borderId="0" xfId="3" applyFont="1" applyBorder="1"/>
    <xf numFmtId="0" fontId="35" fillId="0" borderId="0" xfId="3" applyFont="1" applyBorder="1"/>
    <xf numFmtId="0" fontId="36" fillId="0" borderId="0" xfId="3" applyFont="1" applyFill="1" applyBorder="1"/>
    <xf numFmtId="0" fontId="0" fillId="0" borderId="0" xfId="0" applyFill="1" applyBorder="1" applyAlignment="1">
      <alignment horizontal="right"/>
    </xf>
    <xf numFmtId="169" fontId="0" fillId="0" borderId="0" xfId="133" applyNumberFormat="1" applyFont="1" applyFill="1" applyBorder="1"/>
    <xf numFmtId="0" fontId="39" fillId="0" borderId="0" xfId="0" applyFont="1" applyFill="1" applyBorder="1" applyAlignment="1">
      <alignment horizontal="center"/>
    </xf>
    <xf numFmtId="3" fontId="5" fillId="0" borderId="0" xfId="0" applyNumberFormat="1" applyFont="1" applyFill="1" applyBorder="1" applyAlignment="1">
      <alignment vertical="top" wrapText="1"/>
    </xf>
    <xf numFmtId="0" fontId="24" fillId="0" borderId="0" xfId="0" applyFont="1" applyFill="1" applyBorder="1"/>
    <xf numFmtId="0" fontId="4" fillId="0" borderId="0" xfId="0" applyFont="1" applyFill="1" applyBorder="1" applyAlignment="1">
      <alignment horizontal="right"/>
    </xf>
    <xf numFmtId="0" fontId="43" fillId="0" borderId="0" xfId="0" applyFont="1" applyBorder="1"/>
    <xf numFmtId="168" fontId="29" fillId="0" borderId="0" xfId="0" applyNumberFormat="1" applyFont="1" applyBorder="1"/>
    <xf numFmtId="0" fontId="29" fillId="0" borderId="0" xfId="0" applyFont="1"/>
    <xf numFmtId="0" fontId="29" fillId="0" borderId="0" xfId="0" applyFont="1"/>
    <xf numFmtId="9" fontId="28" fillId="0" borderId="0" xfId="0" applyNumberFormat="1" applyFont="1" applyFill="1" applyBorder="1"/>
    <xf numFmtId="166" fontId="4" fillId="0" borderId="0" xfId="3" applyNumberFormat="1" applyFont="1" applyFill="1" applyBorder="1" applyAlignment="1">
      <alignment horizontal="right"/>
    </xf>
    <xf numFmtId="9" fontId="4" fillId="0" borderId="0" xfId="3" applyNumberFormat="1" applyFill="1" applyBorder="1"/>
    <xf numFmtId="3" fontId="39" fillId="0" borderId="0" xfId="0" applyNumberFormat="1" applyFont="1" applyFill="1" applyBorder="1" applyAlignment="1">
      <alignment horizontal="right"/>
    </xf>
    <xf numFmtId="10" fontId="4" fillId="0" borderId="0" xfId="3" applyNumberFormat="1" applyFill="1" applyBorder="1"/>
    <xf numFmtId="0" fontId="0" fillId="0" borderId="0" xfId="0"/>
    <xf numFmtId="42" fontId="0" fillId="0" borderId="0" xfId="0" applyNumberFormat="1" applyFill="1"/>
    <xf numFmtId="42" fontId="0" fillId="0" borderId="0" xfId="0" applyNumberFormat="1"/>
    <xf numFmtId="0" fontId="29" fillId="0" borderId="0" xfId="0" applyFont="1"/>
    <xf numFmtId="0" fontId="0" fillId="0" borderId="0" xfId="0" applyFill="1"/>
    <xf numFmtId="0" fontId="3" fillId="0" borderId="0" xfId="0" applyFont="1"/>
    <xf numFmtId="9" fontId="0" fillId="0" borderId="0" xfId="0" applyNumberFormat="1"/>
    <xf numFmtId="0" fontId="0" fillId="0" borderId="0" xfId="0" applyBorder="1"/>
    <xf numFmtId="0" fontId="0" fillId="0" borderId="0" xfId="0" applyFont="1" applyBorder="1"/>
    <xf numFmtId="0" fontId="0" fillId="0" borderId="0" xfId="0" applyFont="1" applyFill="1" applyBorder="1"/>
    <xf numFmtId="0" fontId="0" fillId="0" borderId="0" xfId="0" applyFont="1" applyBorder="1" applyAlignment="1">
      <alignment horizontal="left"/>
    </xf>
    <xf numFmtId="0" fontId="27" fillId="0" borderId="0" xfId="0" applyFont="1" applyBorder="1" applyAlignment="1">
      <alignment vertical="top" wrapText="1"/>
    </xf>
    <xf numFmtId="0" fontId="27" fillId="0" borderId="0" xfId="0" applyFont="1" applyBorder="1" applyAlignment="1">
      <alignment vertical="top"/>
    </xf>
    <xf numFmtId="1" fontId="39" fillId="0" borderId="0" xfId="0" applyNumberFormat="1" applyFont="1" applyFill="1" applyBorder="1"/>
    <xf numFmtId="167" fontId="28" fillId="0" borderId="0" xfId="0" applyNumberFormat="1" applyFont="1" applyFill="1" applyBorder="1"/>
    <xf numFmtId="170" fontId="28" fillId="0" borderId="0" xfId="0" applyNumberFormat="1" applyFont="1" applyFill="1" applyBorder="1"/>
    <xf numFmtId="0" fontId="3" fillId="0" borderId="0" xfId="0" applyFont="1" applyFill="1" applyBorder="1" applyAlignment="1">
      <alignment horizontal="right" wrapText="1"/>
    </xf>
    <xf numFmtId="0" fontId="0" fillId="0" borderId="0" xfId="0"/>
    <xf numFmtId="0" fontId="0" fillId="0" borderId="0" xfId="0" applyAlignment="1">
      <alignment horizontal="left"/>
    </xf>
    <xf numFmtId="0" fontId="3" fillId="0" borderId="0" xfId="0" applyFont="1"/>
    <xf numFmtId="0" fontId="0" fillId="0" borderId="0" xfId="0" applyFill="1" applyBorder="1"/>
    <xf numFmtId="0" fontId="0" fillId="0" borderId="0" xfId="0"/>
    <xf numFmtId="166" fontId="0" fillId="0" borderId="0" xfId="0" applyNumberFormat="1"/>
    <xf numFmtId="168" fontId="0" fillId="0" borderId="0" xfId="0" applyNumberFormat="1"/>
    <xf numFmtId="0" fontId="0" fillId="0" borderId="0" xfId="0" applyAlignment="1">
      <alignment horizontal="right"/>
    </xf>
    <xf numFmtId="165" fontId="0" fillId="0" borderId="0" xfId="0" applyNumberFormat="1" applyFill="1"/>
    <xf numFmtId="42" fontId="0" fillId="0" borderId="0" xfId="0" applyNumberFormat="1"/>
    <xf numFmtId="0" fontId="4" fillId="0" borderId="0" xfId="3"/>
    <xf numFmtId="0" fontId="4" fillId="26" borderId="12" xfId="3" applyFill="1" applyBorder="1"/>
    <xf numFmtId="0" fontId="39" fillId="0" borderId="0" xfId="0" applyFont="1" applyFill="1" applyBorder="1" applyAlignment="1">
      <alignment horizontal="right"/>
    </xf>
    <xf numFmtId="0" fontId="4" fillId="0" borderId="0" xfId="3" applyFill="1" applyBorder="1"/>
    <xf numFmtId="0" fontId="0" fillId="0" borderId="0" xfId="0" applyFill="1" applyBorder="1"/>
    <xf numFmtId="0" fontId="28" fillId="0" borderId="0" xfId="0" applyFont="1" applyFill="1" applyBorder="1"/>
    <xf numFmtId="168" fontId="0" fillId="0" borderId="0" xfId="0" applyNumberFormat="1" applyFill="1" applyBorder="1"/>
    <xf numFmtId="0" fontId="0" fillId="0" borderId="0" xfId="0"/>
    <xf numFmtId="0" fontId="3" fillId="0" borderId="0" xfId="0" applyFont="1"/>
    <xf numFmtId="169" fontId="0" fillId="0" borderId="0" xfId="0" applyNumberFormat="1"/>
    <xf numFmtId="169" fontId="0" fillId="0" borderId="0" xfId="133" applyNumberFormat="1" applyFont="1"/>
    <xf numFmtId="0" fontId="0" fillId="0" borderId="0" xfId="0" applyFont="1" applyFill="1" applyBorder="1"/>
    <xf numFmtId="0" fontId="0" fillId="0" borderId="0" xfId="0" applyFill="1"/>
    <xf numFmtId="165" fontId="0" fillId="0" borderId="0" xfId="0" applyNumberFormat="1"/>
    <xf numFmtId="0" fontId="0" fillId="0" borderId="0" xfId="0"/>
    <xf numFmtId="0" fontId="0" fillId="0" borderId="0" xfId="0" applyFont="1"/>
    <xf numFmtId="0" fontId="0" fillId="0" borderId="0" xfId="0" applyFont="1" applyBorder="1"/>
    <xf numFmtId="0" fontId="0" fillId="0" borderId="0" xfId="0" applyAlignment="1">
      <alignment horizontal="right"/>
    </xf>
    <xf numFmtId="42" fontId="0" fillId="0" borderId="0" xfId="0" applyNumberFormat="1"/>
    <xf numFmtId="0" fontId="29" fillId="0" borderId="0" xfId="0" applyFont="1"/>
    <xf numFmtId="0" fontId="0" fillId="0" borderId="0" xfId="0" applyFill="1" applyAlignment="1">
      <alignment horizontal="left"/>
    </xf>
    <xf numFmtId="165" fontId="29" fillId="0" borderId="0" xfId="0" applyNumberFormat="1" applyFont="1" applyFill="1" applyBorder="1"/>
    <xf numFmtId="176" fontId="4" fillId="0" borderId="0" xfId="3" applyNumberFormat="1"/>
    <xf numFmtId="167" fontId="4" fillId="0" borderId="13" xfId="3" applyNumberFormat="1" applyBorder="1"/>
    <xf numFmtId="2" fontId="0" fillId="0" borderId="0" xfId="0" applyNumberFormat="1" applyFill="1" applyBorder="1" applyAlignment="1" applyProtection="1"/>
    <xf numFmtId="0" fontId="43" fillId="0" borderId="0" xfId="0" applyFont="1" applyFill="1" applyBorder="1" applyAlignment="1">
      <alignment horizontal="center"/>
    </xf>
    <xf numFmtId="41" fontId="28" fillId="0" borderId="0" xfId="0" applyNumberFormat="1" applyFont="1" applyBorder="1"/>
    <xf numFmtId="0" fontId="0" fillId="0" borderId="0" xfId="0" applyNumberFormat="1" applyFill="1" applyBorder="1" applyAlignment="1" applyProtection="1">
      <alignment horizontal="center"/>
    </xf>
    <xf numFmtId="3" fontId="3" fillId="0" borderId="0" xfId="0" applyNumberFormat="1" applyFont="1" applyFill="1" applyBorder="1"/>
    <xf numFmtId="42" fontId="3" fillId="0" borderId="17" xfId="0" applyNumberFormat="1" applyFont="1" applyFill="1" applyBorder="1"/>
    <xf numFmtId="3" fontId="23" fillId="0" borderId="0" xfId="0" applyNumberFormat="1" applyFont="1" applyFill="1" applyBorder="1" applyAlignment="1" applyProtection="1">
      <alignment horizontal="right"/>
    </xf>
    <xf numFmtId="3" fontId="23" fillId="0" borderId="0" xfId="133" applyNumberFormat="1" applyFont="1" applyFill="1" applyBorder="1" applyAlignment="1" applyProtection="1">
      <alignment horizontal="right"/>
    </xf>
    <xf numFmtId="0" fontId="44" fillId="0" borderId="0" xfId="0" applyFont="1" applyFill="1" applyBorder="1"/>
    <xf numFmtId="3" fontId="42" fillId="0" borderId="0" xfId="0" applyNumberFormat="1" applyFont="1" applyFill="1" applyBorder="1" applyAlignment="1">
      <alignment horizontal="center"/>
    </xf>
    <xf numFmtId="0" fontId="43" fillId="0" borderId="0" xfId="0" applyFont="1" applyFill="1" applyBorder="1"/>
    <xf numFmtId="0" fontId="29" fillId="0" borderId="0" xfId="0" applyFont="1" applyFill="1" applyBorder="1"/>
    <xf numFmtId="41" fontId="0" fillId="0" borderId="0" xfId="0" applyNumberFormat="1" applyBorder="1"/>
    <xf numFmtId="44" fontId="0" fillId="0" borderId="0" xfId="0" applyNumberFormat="1" applyBorder="1"/>
    <xf numFmtId="0" fontId="22" fillId="0" borderId="0" xfId="0" applyFont="1" applyFill="1"/>
    <xf numFmtId="0" fontId="0" fillId="0" borderId="0" xfId="0"/>
    <xf numFmtId="0" fontId="0" fillId="0" borderId="0" xfId="0" applyBorder="1"/>
    <xf numFmtId="0" fontId="3" fillId="0" borderId="0" xfId="0" applyFont="1"/>
    <xf numFmtId="1" fontId="0" fillId="0" borderId="0" xfId="0" applyNumberFormat="1" applyAlignment="1">
      <alignment horizontal="center"/>
    </xf>
    <xf numFmtId="0" fontId="4" fillId="0" borderId="0" xfId="3"/>
    <xf numFmtId="0" fontId="4" fillId="0" borderId="0" xfId="3" applyBorder="1"/>
    <xf numFmtId="0" fontId="35" fillId="0" borderId="0" xfId="3" applyFont="1" applyBorder="1"/>
    <xf numFmtId="0" fontId="4" fillId="0" borderId="0" xfId="3" applyFill="1" applyBorder="1" applyAlignment="1">
      <alignment horizontal="left"/>
    </xf>
    <xf numFmtId="0" fontId="4" fillId="0" borderId="0" xfId="3" applyBorder="1" applyAlignment="1">
      <alignment horizontal="left"/>
    </xf>
    <xf numFmtId="165" fontId="0" fillId="0" borderId="0" xfId="0" applyNumberFormat="1" applyBorder="1"/>
    <xf numFmtId="0" fontId="0" fillId="0" borderId="0" xfId="0" applyFill="1"/>
    <xf numFmtId="3" fontId="0" fillId="0" borderId="0" xfId="0" applyNumberFormat="1"/>
    <xf numFmtId="165" fontId="0" fillId="0" borderId="0" xfId="0" applyNumberFormat="1"/>
    <xf numFmtId="0" fontId="4" fillId="0" borderId="0" xfId="3"/>
    <xf numFmtId="0" fontId="4" fillId="0" borderId="0" xfId="3" applyBorder="1"/>
    <xf numFmtId="0" fontId="4" fillId="0" borderId="0" xfId="3" applyFill="1" applyBorder="1"/>
    <xf numFmtId="0" fontId="36" fillId="0" borderId="0" xfId="3" applyFont="1" applyBorder="1"/>
    <xf numFmtId="0" fontId="36" fillId="0" borderId="0" xfId="3" applyFont="1" applyFill="1" applyBorder="1"/>
    <xf numFmtId="0" fontId="4" fillId="25" borderId="11" xfId="3" applyFill="1" applyBorder="1"/>
    <xf numFmtId="10" fontId="4" fillId="0" borderId="0" xfId="3" applyNumberFormat="1" applyFill="1" applyBorder="1"/>
    <xf numFmtId="9" fontId="4" fillId="0" borderId="0" xfId="3" applyNumberFormat="1" applyFill="1" applyBorder="1"/>
    <xf numFmtId="166" fontId="4" fillId="0" borderId="0" xfId="3" applyNumberFormat="1" applyFill="1" applyBorder="1"/>
    <xf numFmtId="3" fontId="4" fillId="0" borderId="0" xfId="3" applyNumberFormat="1" applyBorder="1"/>
    <xf numFmtId="0" fontId="4" fillId="0" borderId="0" xfId="3"/>
    <xf numFmtId="0" fontId="4" fillId="0" borderId="0" xfId="3" applyBorder="1"/>
    <xf numFmtId="0" fontId="4" fillId="0" borderId="0" xfId="3" applyFill="1" applyBorder="1"/>
    <xf numFmtId="0" fontId="35" fillId="0" borderId="0" xfId="3" applyFont="1" applyBorder="1"/>
    <xf numFmtId="0" fontId="23" fillId="0" borderId="0" xfId="0" applyNumberFormat="1" applyFont="1" applyFill="1" applyBorder="1" applyAlignment="1" applyProtection="1"/>
    <xf numFmtId="44" fontId="0" fillId="0" borderId="0" xfId="133" applyFont="1" applyFill="1" applyBorder="1" applyProtection="1"/>
    <xf numFmtId="2" fontId="0" fillId="0" borderId="0" xfId="0" applyNumberFormat="1" applyFill="1" applyBorder="1" applyAlignment="1" applyProtection="1">
      <protection locked="0"/>
    </xf>
    <xf numFmtId="3" fontId="0" fillId="0" borderId="0" xfId="133" applyNumberFormat="1" applyFont="1" applyFill="1" applyBorder="1" applyAlignment="1" applyProtection="1">
      <alignment horizontal="right"/>
    </xf>
    <xf numFmtId="0" fontId="0" fillId="0" borderId="0" xfId="0" applyNumberFormat="1" applyFill="1" applyBorder="1" applyAlignment="1" applyProtection="1">
      <alignment horizontal="center"/>
      <protection locked="0"/>
    </xf>
    <xf numFmtId="0" fontId="0" fillId="0" borderId="0" xfId="0" applyNumberFormat="1" applyFill="1" applyBorder="1" applyAlignment="1" applyProtection="1"/>
    <xf numFmtId="0" fontId="26" fillId="0" borderId="0" xfId="0" applyNumberFormat="1" applyFont="1" applyFill="1" applyBorder="1" applyAlignment="1" applyProtection="1">
      <alignment horizontal="right"/>
    </xf>
    <xf numFmtId="1" fontId="0" fillId="0" borderId="0" xfId="0" applyNumberFormat="1"/>
    <xf numFmtId="0" fontId="0" fillId="0" borderId="0" xfId="0" applyFill="1" applyBorder="1"/>
    <xf numFmtId="0" fontId="3" fillId="0" borderId="0" xfId="0" applyFont="1" applyFill="1" applyBorder="1"/>
    <xf numFmtId="42" fontId="0" fillId="0" borderId="0" xfId="0" applyNumberFormat="1" applyFill="1" applyBorder="1"/>
    <xf numFmtId="44" fontId="0" fillId="0" borderId="0" xfId="0" applyNumberFormat="1" applyFill="1" applyBorder="1"/>
    <xf numFmtId="165" fontId="0" fillId="0" borderId="0" xfId="0" applyNumberFormat="1"/>
    <xf numFmtId="0" fontId="27" fillId="0" borderId="0" xfId="0" applyFont="1" applyFill="1" applyBorder="1" applyAlignment="1">
      <alignment vertical="top"/>
    </xf>
    <xf numFmtId="0" fontId="28" fillId="0" borderId="0" xfId="0" applyFont="1" applyBorder="1" applyAlignment="1">
      <alignment horizontal="center"/>
    </xf>
    <xf numFmtId="0" fontId="0" fillId="0" borderId="0" xfId="0" applyBorder="1" applyAlignment="1">
      <alignment horizontal="center"/>
    </xf>
    <xf numFmtId="0" fontId="4" fillId="0" borderId="0" xfId="3" applyBorder="1"/>
    <xf numFmtId="0" fontId="34" fillId="0" borderId="0" xfId="3" applyFont="1"/>
    <xf numFmtId="0" fontId="4" fillId="0" borderId="11" xfId="3" applyBorder="1"/>
    <xf numFmtId="0" fontId="4" fillId="0" borderId="0" xfId="3" applyFill="1" applyBorder="1" applyAlignment="1">
      <alignment horizontal="left"/>
    </xf>
    <xf numFmtId="0" fontId="4" fillId="0" borderId="0" xfId="3" applyFont="1" applyFill="1" applyBorder="1"/>
    <xf numFmtId="0" fontId="4" fillId="0" borderId="0" xfId="3" applyFill="1" applyBorder="1"/>
    <xf numFmtId="0" fontId="37" fillId="0" borderId="0" xfId="3" applyFont="1" applyBorder="1"/>
    <xf numFmtId="0" fontId="23" fillId="0" borderId="0" xfId="3" applyFont="1" applyFill="1"/>
    <xf numFmtId="0" fontId="4" fillId="0" borderId="0" xfId="3" applyFill="1"/>
    <xf numFmtId="165" fontId="4" fillId="0" borderId="0" xfId="3" applyNumberFormat="1" applyBorder="1"/>
    <xf numFmtId="0" fontId="31" fillId="0" borderId="0" xfId="3" applyFont="1" applyFill="1" applyBorder="1"/>
    <xf numFmtId="1" fontId="4" fillId="0" borderId="0" xfId="3" applyNumberFormat="1"/>
    <xf numFmtId="166" fontId="4" fillId="0" borderId="0" xfId="3" applyNumberFormat="1" applyFill="1" applyBorder="1"/>
    <xf numFmtId="0" fontId="0" fillId="0" borderId="0" xfId="0" applyFill="1" applyBorder="1"/>
    <xf numFmtId="165" fontId="0" fillId="0" borderId="0" xfId="0" applyNumberFormat="1" applyFill="1" applyBorder="1"/>
    <xf numFmtId="42" fontId="0" fillId="0" borderId="0" xfId="0" applyNumberFormat="1" applyFill="1" applyBorder="1"/>
    <xf numFmtId="172" fontId="4" fillId="0" borderId="0" xfId="3" applyNumberFormat="1" applyFill="1" applyBorder="1"/>
    <xf numFmtId="9" fontId="4" fillId="26" borderId="12" xfId="3" applyNumberFormat="1" applyFill="1" applyBorder="1"/>
    <xf numFmtId="0" fontId="0" fillId="0" borderId="0" xfId="0"/>
    <xf numFmtId="0" fontId="0" fillId="0" borderId="0" xfId="0" applyBorder="1"/>
    <xf numFmtId="0" fontId="0" fillId="0" borderId="0" xfId="0" applyFill="1"/>
    <xf numFmtId="0" fontId="0" fillId="0" borderId="0" xfId="0" applyFill="1" applyBorder="1"/>
    <xf numFmtId="0" fontId="0" fillId="0" borderId="0" xfId="0" applyFont="1" applyBorder="1"/>
    <xf numFmtId="0" fontId="28" fillId="0" borderId="0" xfId="0" applyFont="1" applyBorder="1"/>
    <xf numFmtId="1" fontId="4" fillId="26" borderId="12" xfId="55" applyNumberFormat="1" applyFont="1" applyFill="1" applyBorder="1"/>
    <xf numFmtId="42" fontId="3" fillId="0" borderId="17" xfId="0" applyNumberFormat="1" applyFont="1" applyBorder="1"/>
    <xf numFmtId="1" fontId="4" fillId="0" borderId="12" xfId="55" applyNumberFormat="1" applyFont="1" applyFill="1" applyBorder="1"/>
    <xf numFmtId="0" fontId="34" fillId="0" borderId="0" xfId="3" applyFont="1" applyFill="1" applyBorder="1"/>
    <xf numFmtId="167" fontId="4" fillId="26" borderId="12" xfId="3" applyNumberFormat="1" applyFill="1" applyBorder="1"/>
    <xf numFmtId="0" fontId="34" fillId="0" borderId="0" xfId="3" applyFont="1" applyFill="1"/>
    <xf numFmtId="2" fontId="23" fillId="0" borderId="0" xfId="55" applyNumberFormat="1" applyFont="1"/>
    <xf numFmtId="0" fontId="4" fillId="0" borderId="0" xfId="3" applyFill="1" applyBorder="1" applyAlignment="1">
      <alignment horizontal="right"/>
    </xf>
    <xf numFmtId="0" fontId="4" fillId="0" borderId="0" xfId="3"/>
    <xf numFmtId="0" fontId="4" fillId="0" borderId="0" xfId="3" applyBorder="1"/>
    <xf numFmtId="0" fontId="4" fillId="0" borderId="0" xfId="3" applyFill="1" applyBorder="1"/>
    <xf numFmtId="0" fontId="4" fillId="0" borderId="11" xfId="3" applyBorder="1"/>
    <xf numFmtId="167" fontId="4" fillId="0" borderId="0" xfId="3" applyNumberFormat="1" applyBorder="1"/>
    <xf numFmtId="167" fontId="4" fillId="0" borderId="0" xfId="55" applyNumberFormat="1" applyFill="1" applyBorder="1"/>
    <xf numFmtId="0" fontId="4" fillId="0" borderId="0" xfId="55" applyFont="1" applyBorder="1"/>
    <xf numFmtId="0" fontId="23" fillId="0" borderId="0" xfId="55" applyNumberFormat="1" applyFont="1"/>
    <xf numFmtId="0" fontId="4" fillId="0" borderId="12" xfId="3" applyBorder="1"/>
    <xf numFmtId="167" fontId="4" fillId="0" borderId="21" xfId="3" applyNumberFormat="1" applyBorder="1"/>
    <xf numFmtId="1" fontId="4" fillId="0" borderId="0" xfId="55" applyNumberFormat="1" applyFont="1" applyFill="1" applyBorder="1"/>
    <xf numFmtId="0" fontId="4" fillId="0" borderId="0" xfId="3"/>
    <xf numFmtId="0" fontId="4" fillId="0" borderId="0" xfId="3" applyBorder="1"/>
    <xf numFmtId="0" fontId="4" fillId="0" borderId="0" xfId="3" applyFont="1" applyBorder="1"/>
    <xf numFmtId="0" fontId="23" fillId="0" borderId="0" xfId="3" applyFont="1" applyBorder="1"/>
    <xf numFmtId="0" fontId="4" fillId="0" borderId="0" xfId="3" applyFill="1" applyBorder="1"/>
    <xf numFmtId="0" fontId="4" fillId="0" borderId="0" xfId="3" applyFont="1"/>
    <xf numFmtId="0" fontId="4" fillId="0" borderId="11" xfId="3" applyBorder="1"/>
    <xf numFmtId="0" fontId="4" fillId="0" borderId="11" xfId="3" applyFont="1" applyBorder="1"/>
    <xf numFmtId="0" fontId="4" fillId="0" borderId="0" xfId="3" applyFont="1" applyFill="1" applyBorder="1"/>
    <xf numFmtId="2" fontId="4" fillId="0" borderId="0" xfId="3" applyNumberFormat="1" applyBorder="1"/>
    <xf numFmtId="0" fontId="4" fillId="0" borderId="11" xfId="3" applyFill="1" applyBorder="1"/>
    <xf numFmtId="0" fontId="4" fillId="0" borderId="0" xfId="3" applyBorder="1" applyAlignment="1">
      <alignment horizontal="left"/>
    </xf>
    <xf numFmtId="167" fontId="4" fillId="0" borderId="0" xfId="3" applyNumberFormat="1" applyBorder="1"/>
    <xf numFmtId="0" fontId="36" fillId="0" borderId="0" xfId="3" applyFont="1" applyFill="1" applyBorder="1"/>
    <xf numFmtId="167" fontId="4" fillId="0" borderId="0" xfId="55" applyNumberFormat="1" applyFill="1" applyBorder="1"/>
    <xf numFmtId="0" fontId="4" fillId="0" borderId="0" xfId="55" applyFont="1" applyBorder="1"/>
    <xf numFmtId="0" fontId="23" fillId="0" borderId="0" xfId="55" applyNumberFormat="1" applyFont="1"/>
    <xf numFmtId="167" fontId="4" fillId="0" borderId="12" xfId="55" applyNumberFormat="1" applyFill="1" applyBorder="1"/>
    <xf numFmtId="0" fontId="4" fillId="0" borderId="12" xfId="3" applyBorder="1"/>
    <xf numFmtId="167" fontId="4" fillId="0" borderId="12" xfId="3" applyNumberFormat="1" applyBorder="1"/>
    <xf numFmtId="0" fontId="0" fillId="0" borderId="0" xfId="0" applyAlignment="1">
      <alignment horizontal="center"/>
    </xf>
    <xf numFmtId="1" fontId="0" fillId="0" borderId="0" xfId="0" applyNumberFormat="1" applyAlignment="1">
      <alignment horizontal="right"/>
    </xf>
    <xf numFmtId="3" fontId="0" fillId="0" borderId="0" xfId="0" applyNumberFormat="1" applyAlignment="1">
      <alignment horizontal="right"/>
    </xf>
    <xf numFmtId="177" fontId="0" fillId="0" borderId="0" xfId="133" applyNumberFormat="1" applyFont="1"/>
    <xf numFmtId="169" fontId="0" fillId="0" borderId="0" xfId="133" applyNumberFormat="1" applyFont="1" applyAlignment="1">
      <alignment horizontal="right"/>
    </xf>
    <xf numFmtId="169" fontId="0" fillId="0" borderId="0" xfId="133" applyNumberFormat="1" applyFont="1" applyAlignment="1">
      <alignment horizontal="center"/>
    </xf>
    <xf numFmtId="42" fontId="0" fillId="0" borderId="17" xfId="0" applyNumberFormat="1" applyFill="1" applyBorder="1"/>
    <xf numFmtId="0" fontId="0" fillId="0" borderId="0" xfId="0" applyBorder="1" applyAlignment="1" applyProtection="1">
      <alignment horizontal="left" vertical="center"/>
      <protection locked="0"/>
    </xf>
    <xf numFmtId="0" fontId="0" fillId="0" borderId="0" xfId="0" applyBorder="1" applyProtection="1">
      <protection locked="0"/>
    </xf>
    <xf numFmtId="0" fontId="0" fillId="24" borderId="0" xfId="0" applyFill="1" applyBorder="1" applyProtection="1">
      <protection locked="0"/>
    </xf>
    <xf numFmtId="169" fontId="0" fillId="0" borderId="0" xfId="0" applyNumberFormat="1" applyFill="1"/>
    <xf numFmtId="169" fontId="0" fillId="0" borderId="17" xfId="0" applyNumberFormat="1" applyFill="1" applyBorder="1"/>
    <xf numFmtId="1" fontId="29" fillId="0" borderId="0" xfId="0" applyNumberFormat="1" applyFont="1" applyAlignment="1">
      <alignment horizontal="right"/>
    </xf>
    <xf numFmtId="169" fontId="29" fillId="0" borderId="0" xfId="133" applyNumberFormat="1" applyFont="1" applyAlignment="1">
      <alignment horizontal="right"/>
    </xf>
    <xf numFmtId="0" fontId="45" fillId="0" borderId="0" xfId="0" applyFont="1"/>
    <xf numFmtId="165" fontId="0" fillId="0" borderId="17" xfId="0" applyNumberFormat="1" applyFill="1" applyBorder="1"/>
    <xf numFmtId="168" fontId="29" fillId="0" borderId="0" xfId="0" applyNumberFormat="1" applyFont="1" applyBorder="1" applyAlignment="1">
      <alignment horizontal="right"/>
    </xf>
    <xf numFmtId="0" fontId="29" fillId="0" borderId="0" xfId="0" applyFont="1" applyFill="1" applyAlignment="1">
      <alignment horizontal="right"/>
    </xf>
    <xf numFmtId="0" fontId="29" fillId="0" borderId="0" xfId="0" applyFont="1" applyAlignment="1">
      <alignment horizontal="center"/>
    </xf>
    <xf numFmtId="168" fontId="29" fillId="0" borderId="0" xfId="0" applyNumberFormat="1" applyFont="1" applyAlignment="1">
      <alignment horizontal="center"/>
    </xf>
    <xf numFmtId="0" fontId="29" fillId="0" borderId="0" xfId="0" applyFont="1" applyFill="1" applyAlignment="1">
      <alignment horizontal="center"/>
    </xf>
    <xf numFmtId="4" fontId="29" fillId="0" borderId="0" xfId="0" applyNumberFormat="1" applyFont="1" applyAlignment="1">
      <alignment horizontal="right"/>
    </xf>
    <xf numFmtId="169" fontId="29" fillId="0" borderId="0" xfId="133" applyNumberFormat="1" applyFont="1"/>
    <xf numFmtId="175" fontId="29" fillId="0" borderId="0" xfId="133" applyNumberFormat="1" applyFont="1" applyFill="1" applyBorder="1"/>
    <xf numFmtId="167" fontId="29" fillId="0" borderId="0" xfId="0" applyNumberFormat="1" applyFont="1"/>
    <xf numFmtId="0" fontId="29" fillId="0" borderId="17" xfId="0" applyFont="1" applyFill="1" applyBorder="1"/>
    <xf numFmtId="169" fontId="29" fillId="0" borderId="17" xfId="133" applyNumberFormat="1" applyFont="1" applyFill="1" applyBorder="1"/>
    <xf numFmtId="37" fontId="29" fillId="0" borderId="17" xfId="133" applyNumberFormat="1" applyFont="1" applyFill="1" applyBorder="1"/>
    <xf numFmtId="1" fontId="29" fillId="0" borderId="17" xfId="0" applyNumberFormat="1" applyFont="1" applyFill="1" applyBorder="1"/>
    <xf numFmtId="0" fontId="29" fillId="0" borderId="17" xfId="0" applyFont="1" applyBorder="1" applyAlignment="1">
      <alignment horizontal="right"/>
    </xf>
    <xf numFmtId="169" fontId="29" fillId="0" borderId="17" xfId="133" applyNumberFormat="1" applyFont="1" applyBorder="1" applyAlignment="1">
      <alignment horizontal="right"/>
    </xf>
    <xf numFmtId="37" fontId="29" fillId="0" borderId="17" xfId="133" applyNumberFormat="1" applyFont="1" applyBorder="1" applyAlignment="1">
      <alignment horizontal="right"/>
    </xf>
    <xf numFmtId="169" fontId="29" fillId="0" borderId="0" xfId="0" applyNumberFormat="1" applyFont="1"/>
    <xf numFmtId="169" fontId="29" fillId="0" borderId="17" xfId="133" applyNumberFormat="1" applyFont="1" applyBorder="1"/>
    <xf numFmtId="0" fontId="25" fillId="25" borderId="19" xfId="0" applyNumberFormat="1" applyFont="1" applyFill="1" applyBorder="1" applyAlignment="1" applyProtection="1">
      <alignment horizontal="left" wrapText="1"/>
    </xf>
    <xf numFmtId="0" fontId="26" fillId="25" borderId="20" xfId="0" applyNumberFormat="1" applyFont="1" applyFill="1" applyBorder="1" applyAlignment="1" applyProtection="1">
      <alignment horizontal="center"/>
    </xf>
    <xf numFmtId="0" fontId="26" fillId="25" borderId="22" xfId="0" applyNumberFormat="1" applyFont="1" applyFill="1" applyBorder="1" applyAlignment="1" applyProtection="1">
      <alignment wrapText="1"/>
    </xf>
    <xf numFmtId="0" fontId="26" fillId="25" borderId="19" xfId="0" applyNumberFormat="1" applyFont="1" applyFill="1" applyBorder="1" applyAlignment="1" applyProtection="1">
      <alignment horizontal="left"/>
    </xf>
    <xf numFmtId="0" fontId="26" fillId="25" borderId="20" xfId="0" applyNumberFormat="1" applyFont="1" applyFill="1" applyBorder="1" applyAlignment="1" applyProtection="1">
      <alignment horizontal="right"/>
    </xf>
    <xf numFmtId="0" fontId="26" fillId="25" borderId="20" xfId="0" applyNumberFormat="1" applyFont="1" applyFill="1" applyBorder="1" applyAlignment="1" applyProtection="1"/>
    <xf numFmtId="0" fontId="26" fillId="25" borderId="22" xfId="0" applyNumberFormat="1" applyFont="1" applyFill="1" applyBorder="1" applyAlignment="1" applyProtection="1"/>
    <xf numFmtId="0" fontId="26" fillId="25" borderId="19" xfId="0" applyNumberFormat="1" applyFont="1" applyFill="1" applyBorder="1" applyAlignment="1" applyProtection="1">
      <alignment horizontal="center"/>
    </xf>
    <xf numFmtId="0" fontId="0" fillId="25" borderId="23" xfId="0" applyNumberFormat="1" applyFill="1" applyBorder="1" applyAlignment="1" applyProtection="1">
      <alignment wrapText="1"/>
    </xf>
    <xf numFmtId="0" fontId="26" fillId="25" borderId="24" xfId="0" applyNumberFormat="1" applyFont="1" applyFill="1" applyBorder="1" applyAlignment="1" applyProtection="1">
      <alignment horizontal="center"/>
    </xf>
    <xf numFmtId="0" fontId="26" fillId="25" borderId="25" xfId="0" applyNumberFormat="1" applyFont="1" applyFill="1" applyBorder="1" applyAlignment="1" applyProtection="1">
      <alignment horizontal="center" wrapText="1"/>
    </xf>
    <xf numFmtId="16" fontId="0" fillId="25" borderId="23" xfId="0" applyNumberFormat="1" applyFill="1" applyBorder="1" applyAlignment="1" applyProtection="1">
      <alignment horizontal="center"/>
    </xf>
    <xf numFmtId="0" fontId="0" fillId="25" borderId="24" xfId="0" quotePrefix="1" applyNumberFormat="1" applyFill="1" applyBorder="1" applyAlignment="1" applyProtection="1">
      <alignment horizontal="center"/>
    </xf>
    <xf numFmtId="0" fontId="0" fillId="25" borderId="25" xfId="0" quotePrefix="1" applyNumberFormat="1" applyFill="1" applyBorder="1" applyAlignment="1" applyProtection="1">
      <alignment horizontal="center"/>
    </xf>
    <xf numFmtId="16" fontId="0" fillId="25" borderId="24" xfId="0" applyNumberFormat="1" applyFill="1" applyBorder="1" applyAlignment="1" applyProtection="1">
      <alignment horizontal="center"/>
    </xf>
    <xf numFmtId="0" fontId="0" fillId="25" borderId="26" xfId="0" applyNumberFormat="1" applyFill="1" applyBorder="1" applyAlignment="1" applyProtection="1"/>
    <xf numFmtId="3" fontId="0" fillId="0" borderId="18" xfId="0" applyNumberFormat="1" applyFill="1" applyBorder="1" applyAlignment="1" applyProtection="1">
      <protection locked="0"/>
    </xf>
    <xf numFmtId="0" fontId="0" fillId="0" borderId="18" xfId="0" applyNumberFormat="1" applyFill="1" applyBorder="1" applyAlignment="1" applyProtection="1">
      <alignment horizontal="center"/>
      <protection locked="0"/>
    </xf>
    <xf numFmtId="169" fontId="0" fillId="25" borderId="0" xfId="133" applyNumberFormat="1" applyFont="1" applyFill="1" applyBorder="1" applyProtection="1"/>
    <xf numFmtId="0" fontId="4" fillId="0" borderId="18" xfId="0" applyNumberFormat="1" applyFont="1" applyFill="1" applyBorder="1" applyAlignment="1" applyProtection="1">
      <alignment horizontal="center"/>
      <protection locked="0"/>
    </xf>
    <xf numFmtId="3" fontId="0" fillId="25" borderId="26" xfId="133" applyNumberFormat="1" applyFont="1" applyFill="1" applyBorder="1" applyAlignment="1" applyProtection="1">
      <alignment horizontal="right"/>
    </xf>
    <xf numFmtId="3" fontId="0" fillId="25" borderId="0" xfId="133" applyNumberFormat="1" applyFont="1" applyFill="1" applyBorder="1" applyAlignment="1" applyProtection="1">
      <alignment horizontal="right"/>
    </xf>
    <xf numFmtId="3" fontId="0" fillId="25" borderId="16" xfId="133" applyNumberFormat="1" applyFont="1" applyFill="1" applyBorder="1" applyAlignment="1" applyProtection="1">
      <alignment horizontal="right"/>
    </xf>
    <xf numFmtId="3" fontId="0" fillId="0" borderId="12" xfId="0" applyNumberFormat="1" applyFill="1" applyBorder="1" applyAlignment="1" applyProtection="1">
      <protection locked="0"/>
    </xf>
    <xf numFmtId="0" fontId="0" fillId="0" borderId="12" xfId="0" applyNumberFormat="1" applyFill="1" applyBorder="1" applyAlignment="1" applyProtection="1">
      <alignment horizontal="center"/>
      <protection locked="0"/>
    </xf>
    <xf numFmtId="0" fontId="4" fillId="0" borderId="12" xfId="0" applyNumberFormat="1" applyFont="1" applyFill="1" applyBorder="1" applyAlignment="1" applyProtection="1">
      <alignment horizontal="center"/>
      <protection locked="0"/>
    </xf>
    <xf numFmtId="3" fontId="4" fillId="25" borderId="26" xfId="133" applyNumberFormat="1" applyFont="1" applyFill="1" applyBorder="1" applyAlignment="1" applyProtection="1">
      <alignment horizontal="right"/>
    </xf>
    <xf numFmtId="2" fontId="0" fillId="0" borderId="12" xfId="0" applyNumberFormat="1" applyFill="1" applyBorder="1" applyAlignment="1" applyProtection="1">
      <protection locked="0"/>
    </xf>
    <xf numFmtId="44" fontId="0" fillId="25" borderId="0" xfId="133" applyFont="1" applyFill="1" applyBorder="1" applyProtection="1"/>
    <xf numFmtId="3" fontId="0" fillId="25" borderId="14" xfId="133" applyNumberFormat="1" applyFont="1" applyFill="1" applyBorder="1" applyAlignment="1" applyProtection="1">
      <alignment horizontal="right"/>
    </xf>
    <xf numFmtId="3" fontId="0" fillId="25" borderId="17" xfId="133" applyNumberFormat="1" applyFont="1" applyFill="1" applyBorder="1" applyAlignment="1" applyProtection="1">
      <alignment horizontal="right"/>
    </xf>
    <xf numFmtId="3" fontId="0" fillId="25" borderId="21" xfId="133" applyNumberFormat="1" applyFont="1" applyFill="1" applyBorder="1" applyAlignment="1" applyProtection="1">
      <alignment horizontal="right"/>
    </xf>
    <xf numFmtId="0" fontId="23" fillId="25" borderId="10" xfId="0" applyNumberFormat="1" applyFont="1" applyFill="1" applyBorder="1" applyAlignment="1" applyProtection="1"/>
    <xf numFmtId="2" fontId="0" fillId="25" borderId="11" xfId="0" applyNumberFormat="1" applyFill="1" applyBorder="1" applyAlignment="1" applyProtection="1"/>
    <xf numFmtId="0" fontId="26" fillId="25" borderId="11" xfId="0" applyNumberFormat="1" applyFont="1" applyFill="1" applyBorder="1" applyAlignment="1" applyProtection="1">
      <alignment horizontal="right"/>
    </xf>
    <xf numFmtId="44" fontId="0" fillId="25" borderId="11" xfId="133" applyFont="1" applyFill="1" applyBorder="1" applyProtection="1"/>
    <xf numFmtId="0" fontId="0" fillId="25" borderId="10" xfId="0" applyNumberFormat="1" applyFill="1" applyBorder="1" applyAlignment="1" applyProtection="1">
      <alignment horizontal="center"/>
    </xf>
    <xf numFmtId="0" fontId="0" fillId="25" borderId="11" xfId="0" applyNumberFormat="1" applyFill="1" applyBorder="1" applyAlignment="1" applyProtection="1">
      <alignment horizontal="center"/>
    </xf>
    <xf numFmtId="0" fontId="0" fillId="25" borderId="13" xfId="0" applyNumberFormat="1" applyFill="1" applyBorder="1" applyAlignment="1" applyProtection="1">
      <alignment horizontal="center"/>
    </xf>
    <xf numFmtId="3" fontId="23" fillId="25" borderId="26" xfId="0" applyNumberFormat="1" applyFont="1" applyFill="1" applyBorder="1" applyAlignment="1" applyProtection="1">
      <alignment horizontal="right"/>
    </xf>
    <xf numFmtId="3" fontId="23" fillId="25" borderId="0" xfId="133" applyNumberFormat="1" applyFont="1" applyFill="1" applyBorder="1" applyAlignment="1" applyProtection="1">
      <alignment horizontal="right"/>
    </xf>
    <xf numFmtId="3" fontId="3" fillId="0" borderId="0" xfId="0" applyNumberFormat="1" applyFont="1"/>
    <xf numFmtId="165" fontId="0" fillId="0" borderId="17" xfId="0" applyNumberFormat="1" applyBorder="1" applyAlignment="1">
      <alignment horizontal="right"/>
    </xf>
    <xf numFmtId="169" fontId="0" fillId="0" borderId="0" xfId="0" applyNumberFormat="1" applyBorder="1"/>
    <xf numFmtId="169" fontId="3" fillId="0" borderId="0" xfId="0" applyNumberFormat="1" applyFont="1" applyBorder="1" applyAlignment="1">
      <alignment horizontal="right"/>
    </xf>
    <xf numFmtId="39" fontId="0" fillId="0" borderId="0" xfId="0" applyNumberFormat="1" applyBorder="1"/>
    <xf numFmtId="39" fontId="0" fillId="0" borderId="17" xfId="0" applyNumberFormat="1" applyFont="1" applyBorder="1"/>
    <xf numFmtId="39" fontId="0" fillId="0" borderId="0" xfId="0" applyNumberFormat="1"/>
    <xf numFmtId="44" fontId="0" fillId="0" borderId="17" xfId="0" applyNumberFormat="1" applyBorder="1"/>
    <xf numFmtId="2" fontId="0" fillId="0" borderId="17" xfId="0" applyNumberFormat="1" applyBorder="1"/>
    <xf numFmtId="0" fontId="0" fillId="0" borderId="0" xfId="0" applyBorder="1" applyAlignment="1">
      <alignment horizontal="right"/>
    </xf>
    <xf numFmtId="166" fontId="0" fillId="0" borderId="0" xfId="0" applyNumberFormat="1" applyBorder="1" applyAlignment="1">
      <alignment horizontal="right"/>
    </xf>
    <xf numFmtId="44" fontId="0" fillId="0" borderId="0" xfId="0" applyNumberFormat="1" applyBorder="1" applyAlignment="1">
      <alignment horizontal="right"/>
    </xf>
    <xf numFmtId="44" fontId="0" fillId="0" borderId="0" xfId="133" applyNumberFormat="1" applyFont="1" applyBorder="1"/>
    <xf numFmtId="169" fontId="29" fillId="0" borderId="0" xfId="133" applyNumberFormat="1" applyFont="1" applyFill="1" applyBorder="1" applyAlignment="1" applyProtection="1">
      <alignment horizontal="center"/>
    </xf>
    <xf numFmtId="169" fontId="29" fillId="0" borderId="0" xfId="133" applyNumberFormat="1" applyFont="1" applyFill="1" applyBorder="1" applyAlignment="1" applyProtection="1">
      <alignment horizontal="left"/>
    </xf>
    <xf numFmtId="0" fontId="29" fillId="0" borderId="17" xfId="0" applyNumberFormat="1" applyFont="1" applyFill="1" applyBorder="1" applyAlignment="1" applyProtection="1">
      <alignment horizontal="left" vertical="top" wrapText="1"/>
    </xf>
    <xf numFmtId="169" fontId="29" fillId="0" borderId="17" xfId="133" applyNumberFormat="1" applyFont="1" applyFill="1" applyBorder="1" applyAlignment="1" applyProtection="1">
      <protection locked="0"/>
    </xf>
    <xf numFmtId="3" fontId="29" fillId="0" borderId="0" xfId="0" applyNumberFormat="1" applyFont="1" applyFill="1" applyBorder="1" applyAlignment="1" applyProtection="1">
      <alignment horizontal="right"/>
    </xf>
    <xf numFmtId="169" fontId="3" fillId="0" borderId="0" xfId="0" applyNumberFormat="1" applyFont="1" applyFill="1" applyAlignment="1"/>
    <xf numFmtId="9" fontId="3" fillId="0" borderId="0" xfId="149" applyFont="1" applyFill="1"/>
    <xf numFmtId="9" fontId="3" fillId="0" borderId="17" xfId="149" applyFont="1" applyFill="1" applyBorder="1"/>
    <xf numFmtId="1" fontId="3" fillId="0" borderId="17" xfId="0" applyNumberFormat="1" applyFont="1" applyFill="1" applyBorder="1"/>
    <xf numFmtId="0" fontId="0" fillId="0" borderId="0" xfId="0"/>
    <xf numFmtId="0" fontId="0" fillId="0" borderId="0" xfId="0"/>
    <xf numFmtId="0" fontId="0" fillId="0" borderId="0" xfId="0"/>
    <xf numFmtId="0" fontId="3" fillId="0" borderId="0" xfId="0" applyFont="1"/>
    <xf numFmtId="0" fontId="0" fillId="0" borderId="0" xfId="0"/>
    <xf numFmtId="42" fontId="0" fillId="0" borderId="0" xfId="0" applyNumberFormat="1" applyFont="1" applyBorder="1"/>
    <xf numFmtId="0" fontId="0" fillId="0" borderId="0" xfId="0"/>
    <xf numFmtId="42" fontId="0" fillId="0" borderId="0" xfId="0" applyNumberFormat="1" applyFont="1" applyFill="1"/>
    <xf numFmtId="9" fontId="3" fillId="0" borderId="0" xfId="0" applyNumberFormat="1" applyFont="1" applyFill="1"/>
    <xf numFmtId="9" fontId="0" fillId="0" borderId="0" xfId="0" applyNumberFormat="1" applyFont="1" applyFill="1"/>
    <xf numFmtId="166" fontId="0" fillId="0" borderId="0" xfId="0" applyNumberFormat="1" applyFont="1" applyFill="1"/>
    <xf numFmtId="166" fontId="3" fillId="0" borderId="0" xfId="0" applyNumberFormat="1" applyFont="1" applyFill="1"/>
    <xf numFmtId="169" fontId="3" fillId="0" borderId="0" xfId="0" applyNumberFormat="1" applyFont="1" applyFill="1"/>
    <xf numFmtId="1" fontId="0" fillId="0" borderId="0" xfId="0" applyNumberFormat="1" applyFill="1"/>
    <xf numFmtId="1" fontId="0" fillId="0" borderId="0" xfId="0" applyNumberFormat="1" applyFont="1" applyFill="1"/>
    <xf numFmtId="175" fontId="3" fillId="0" borderId="0" xfId="0" applyNumberFormat="1" applyFont="1"/>
    <xf numFmtId="42" fontId="3" fillId="0" borderId="17" xfId="0" applyNumberFormat="1" applyFont="1" applyFill="1" applyBorder="1"/>
    <xf numFmtId="0" fontId="3" fillId="0" borderId="17" xfId="0" applyFont="1" applyBorder="1" applyAlignment="1">
      <alignment horizontal="left"/>
    </xf>
    <xf numFmtId="0" fontId="3" fillId="0" borderId="17" xfId="0" applyFont="1" applyBorder="1" applyAlignment="1">
      <alignment horizontal="left"/>
    </xf>
    <xf numFmtId="0" fontId="3" fillId="0" borderId="0" xfId="0" applyFont="1" applyAlignment="1">
      <alignment horizontal="left"/>
    </xf>
    <xf numFmtId="9" fontId="3" fillId="0" borderId="0" xfId="0" applyNumberFormat="1" applyFont="1" applyFill="1"/>
    <xf numFmtId="42" fontId="3" fillId="0" borderId="0" xfId="0" applyNumberFormat="1" applyFont="1"/>
    <xf numFmtId="42" fontId="0" fillId="0" borderId="0" xfId="0" applyNumberFormat="1" applyFont="1"/>
    <xf numFmtId="9" fontId="0" fillId="0" borderId="0" xfId="0" applyNumberFormat="1" applyFont="1" applyFill="1"/>
    <xf numFmtId="166" fontId="0" fillId="0" borderId="0" xfId="0" applyNumberFormat="1" applyFont="1" applyFill="1"/>
    <xf numFmtId="166" fontId="3" fillId="0" borderId="0" xfId="0" applyNumberFormat="1" applyFont="1" applyFill="1"/>
    <xf numFmtId="169" fontId="3" fillId="0" borderId="0" xfId="0" applyNumberFormat="1" applyFont="1"/>
    <xf numFmtId="169" fontId="0" fillId="0" borderId="0" xfId="0" applyNumberFormat="1" applyFont="1"/>
    <xf numFmtId="1" fontId="0" fillId="0" borderId="0" xfId="0" applyNumberFormat="1" applyFont="1" applyFill="1"/>
    <xf numFmtId="0" fontId="3" fillId="0" borderId="17" xfId="0" applyFont="1" applyBorder="1" applyAlignment="1">
      <alignment horizontal="left"/>
    </xf>
    <xf numFmtId="175" fontId="3" fillId="0" borderId="0" xfId="0" applyNumberFormat="1" applyFont="1"/>
    <xf numFmtId="175" fontId="0" fillId="0" borderId="0" xfId="0" applyNumberFormat="1" applyFont="1"/>
    <xf numFmtId="44" fontId="0" fillId="0" borderId="0" xfId="0" applyNumberFormat="1" applyFont="1" applyBorder="1"/>
    <xf numFmtId="0" fontId="3" fillId="0" borderId="0" xfId="0" applyNumberFormat="1" applyFont="1" applyFill="1" applyAlignment="1">
      <alignment horizontal="left"/>
    </xf>
    <xf numFmtId="0" fontId="0" fillId="0" borderId="0" xfId="0"/>
    <xf numFmtId="49" fontId="0" fillId="0" borderId="0" xfId="0" applyNumberFormat="1"/>
    <xf numFmtId="2" fontId="3" fillId="0" borderId="0" xfId="0" applyNumberFormat="1" applyFont="1" applyFill="1"/>
    <xf numFmtId="0" fontId="0" fillId="0" borderId="0" xfId="0"/>
    <xf numFmtId="0" fontId="29" fillId="0" borderId="0" xfId="0" applyFont="1"/>
    <xf numFmtId="0" fontId="41" fillId="0" borderId="0" xfId="0" applyFont="1"/>
    <xf numFmtId="0" fontId="0" fillId="0" borderId="0" xfId="0"/>
    <xf numFmtId="0" fontId="0" fillId="0" borderId="0" xfId="0"/>
    <xf numFmtId="0" fontId="0" fillId="0" borderId="0" xfId="0" applyFont="1"/>
    <xf numFmtId="0" fontId="0" fillId="0" borderId="0" xfId="0" applyFont="1" applyAlignment="1">
      <alignment horizontal="left"/>
    </xf>
    <xf numFmtId="9" fontId="3" fillId="0" borderId="0" xfId="0" applyNumberFormat="1" applyFont="1" applyFill="1"/>
    <xf numFmtId="42" fontId="3" fillId="0" borderId="0" xfId="0" applyNumberFormat="1" applyFont="1"/>
    <xf numFmtId="166" fontId="3" fillId="0" borderId="0" xfId="0" applyNumberFormat="1" applyFont="1" applyFill="1"/>
    <xf numFmtId="169" fontId="3" fillId="0" borderId="0" xfId="0" applyNumberFormat="1" applyFont="1"/>
    <xf numFmtId="175" fontId="3" fillId="0" borderId="0" xfId="0" applyNumberFormat="1" applyFont="1"/>
    <xf numFmtId="175" fontId="0" fillId="0" borderId="0" xfId="0" applyNumberFormat="1" applyFill="1"/>
    <xf numFmtId="0" fontId="28" fillId="27" borderId="15" xfId="0" applyFont="1" applyFill="1" applyBorder="1" applyAlignment="1">
      <alignment horizontal="center"/>
    </xf>
    <xf numFmtId="0" fontId="28" fillId="27" borderId="18" xfId="0" applyFont="1" applyFill="1" applyBorder="1" applyAlignment="1">
      <alignment horizontal="center"/>
    </xf>
    <xf numFmtId="0" fontId="39" fillId="27" borderId="10" xfId="0" applyFont="1" applyFill="1" applyBorder="1" applyAlignment="1">
      <alignment horizontal="center"/>
    </xf>
    <xf numFmtId="0" fontId="39" fillId="27" borderId="13" xfId="0" applyFont="1" applyFill="1" applyBorder="1" applyAlignment="1">
      <alignment horizontal="center"/>
    </xf>
    <xf numFmtId="0" fontId="39" fillId="27" borderId="15" xfId="0" applyFont="1" applyFill="1" applyBorder="1" applyAlignment="1">
      <alignment horizontal="center"/>
    </xf>
    <xf numFmtId="0" fontId="39" fillId="27" borderId="18" xfId="0" applyFont="1" applyFill="1" applyBorder="1" applyAlignment="1">
      <alignment horizontal="center"/>
    </xf>
    <xf numFmtId="0" fontId="39" fillId="27" borderId="19" xfId="0" applyFont="1" applyFill="1" applyBorder="1" applyAlignment="1">
      <alignment horizontal="center"/>
    </xf>
    <xf numFmtId="0" fontId="39" fillId="27" borderId="14" xfId="0" applyFont="1" applyFill="1" applyBorder="1" applyAlignment="1">
      <alignment horizontal="center"/>
    </xf>
    <xf numFmtId="0" fontId="23" fillId="0" borderId="10" xfId="55" applyFont="1" applyFill="1" applyBorder="1" applyAlignment="1">
      <alignment horizontal="center"/>
    </xf>
    <xf numFmtId="0" fontId="23" fillId="0" borderId="13" xfId="55" applyFont="1" applyFill="1" applyBorder="1" applyAlignment="1">
      <alignment horizontal="center"/>
    </xf>
    <xf numFmtId="0" fontId="3" fillId="0" borderId="0" xfId="0" applyFont="1" applyAlignment="1">
      <alignment horizontal="center"/>
    </xf>
    <xf numFmtId="0" fontId="0" fillId="0" borderId="0" xfId="0" applyBorder="1" applyAlignment="1">
      <alignment horizontal="left" vertical="center"/>
    </xf>
    <xf numFmtId="0" fontId="5" fillId="0" borderId="0" xfId="0" applyFont="1" applyFill="1" applyBorder="1" applyAlignment="1">
      <alignment horizontal="center" vertical="top" wrapText="1"/>
    </xf>
    <xf numFmtId="3" fontId="5" fillId="0" borderId="0" xfId="0" applyNumberFormat="1" applyFont="1" applyFill="1" applyBorder="1" applyAlignment="1">
      <alignment horizontal="center" vertical="top" wrapText="1"/>
    </xf>
    <xf numFmtId="0" fontId="0" fillId="0" borderId="0" xfId="0" applyAlignment="1">
      <alignment horizontal="center"/>
    </xf>
  </cellXfs>
  <cellStyles count="150">
    <cellStyle name="20% - Accent1 2" xfId="5" xr:uid="{00000000-0005-0000-0000-000000000000}"/>
    <cellStyle name="20% - Accent1 3" xfId="56" xr:uid="{00000000-0005-0000-0000-000001000000}"/>
    <cellStyle name="20% - Accent2 2" xfId="6" xr:uid="{00000000-0005-0000-0000-000002000000}"/>
    <cellStyle name="20% - Accent2 3" xfId="57" xr:uid="{00000000-0005-0000-0000-000003000000}"/>
    <cellStyle name="20% - Accent3 2" xfId="7" xr:uid="{00000000-0005-0000-0000-000004000000}"/>
    <cellStyle name="20% - Accent3 3" xfId="58" xr:uid="{00000000-0005-0000-0000-000005000000}"/>
    <cellStyle name="20% - Accent4 2" xfId="8" xr:uid="{00000000-0005-0000-0000-000006000000}"/>
    <cellStyle name="20% - Accent4 3" xfId="59" xr:uid="{00000000-0005-0000-0000-000007000000}"/>
    <cellStyle name="20% - Accent5 2" xfId="9" xr:uid="{00000000-0005-0000-0000-000008000000}"/>
    <cellStyle name="20% - Accent5 3" xfId="60" xr:uid="{00000000-0005-0000-0000-000009000000}"/>
    <cellStyle name="20% - Accent6 2" xfId="10" xr:uid="{00000000-0005-0000-0000-00000A000000}"/>
    <cellStyle name="20% - Accent6 3" xfId="61" xr:uid="{00000000-0005-0000-0000-00000B000000}"/>
    <cellStyle name="40% - Accent1 2" xfId="11" xr:uid="{00000000-0005-0000-0000-00000C000000}"/>
    <cellStyle name="40% - Accent1 3" xfId="62" xr:uid="{00000000-0005-0000-0000-00000D000000}"/>
    <cellStyle name="40% - Accent2 2" xfId="12" xr:uid="{00000000-0005-0000-0000-00000E000000}"/>
    <cellStyle name="40% - Accent2 3" xfId="63" xr:uid="{00000000-0005-0000-0000-00000F000000}"/>
    <cellStyle name="40% - Accent3 2" xfId="13" xr:uid="{00000000-0005-0000-0000-000010000000}"/>
    <cellStyle name="40% - Accent3 3" xfId="64" xr:uid="{00000000-0005-0000-0000-000011000000}"/>
    <cellStyle name="40% - Accent4 2" xfId="14" xr:uid="{00000000-0005-0000-0000-000012000000}"/>
    <cellStyle name="40% - Accent4 3" xfId="65" xr:uid="{00000000-0005-0000-0000-000013000000}"/>
    <cellStyle name="40% - Accent5 2" xfId="15" xr:uid="{00000000-0005-0000-0000-000014000000}"/>
    <cellStyle name="40% - Accent5 3" xfId="66" xr:uid="{00000000-0005-0000-0000-000015000000}"/>
    <cellStyle name="40% - Accent6 2" xfId="16" xr:uid="{00000000-0005-0000-0000-000016000000}"/>
    <cellStyle name="40% - Accent6 3" xfId="67" xr:uid="{00000000-0005-0000-0000-000017000000}"/>
    <cellStyle name="60% - Accent1 2" xfId="17" xr:uid="{00000000-0005-0000-0000-000018000000}"/>
    <cellStyle name="60% - Accent1 3" xfId="68" xr:uid="{00000000-0005-0000-0000-000019000000}"/>
    <cellStyle name="60% - Accent2 2" xfId="18" xr:uid="{00000000-0005-0000-0000-00001A000000}"/>
    <cellStyle name="60% - Accent2 3" xfId="69" xr:uid="{00000000-0005-0000-0000-00001B000000}"/>
    <cellStyle name="60% - Accent3 2" xfId="19" xr:uid="{00000000-0005-0000-0000-00001C000000}"/>
    <cellStyle name="60% - Accent3 3" xfId="70" xr:uid="{00000000-0005-0000-0000-00001D000000}"/>
    <cellStyle name="60% - Accent4 2" xfId="20" xr:uid="{00000000-0005-0000-0000-00001E000000}"/>
    <cellStyle name="60% - Accent4 3" xfId="71" xr:uid="{00000000-0005-0000-0000-00001F000000}"/>
    <cellStyle name="60% - Accent5 2" xfId="21" xr:uid="{00000000-0005-0000-0000-000020000000}"/>
    <cellStyle name="60% - Accent5 3" xfId="72" xr:uid="{00000000-0005-0000-0000-000021000000}"/>
    <cellStyle name="60% - Accent6 2" xfId="22" xr:uid="{00000000-0005-0000-0000-000022000000}"/>
    <cellStyle name="60% - Accent6 3" xfId="73" xr:uid="{00000000-0005-0000-0000-000023000000}"/>
    <cellStyle name="Accent1 2" xfId="23" xr:uid="{00000000-0005-0000-0000-000024000000}"/>
    <cellStyle name="Accent1 3" xfId="74" xr:uid="{00000000-0005-0000-0000-000025000000}"/>
    <cellStyle name="Accent2 2" xfId="24" xr:uid="{00000000-0005-0000-0000-000026000000}"/>
    <cellStyle name="Accent2 3" xfId="75" xr:uid="{00000000-0005-0000-0000-000027000000}"/>
    <cellStyle name="Accent3 2" xfId="25" xr:uid="{00000000-0005-0000-0000-000028000000}"/>
    <cellStyle name="Accent3 3" xfId="76" xr:uid="{00000000-0005-0000-0000-000029000000}"/>
    <cellStyle name="Accent4 2" xfId="26" xr:uid="{00000000-0005-0000-0000-00002A000000}"/>
    <cellStyle name="Accent4 3" xfId="77" xr:uid="{00000000-0005-0000-0000-00002B000000}"/>
    <cellStyle name="Accent5 2" xfId="27" xr:uid="{00000000-0005-0000-0000-00002C000000}"/>
    <cellStyle name="Accent5 3" xfId="78" xr:uid="{00000000-0005-0000-0000-00002D000000}"/>
    <cellStyle name="Accent6 2" xfId="28" xr:uid="{00000000-0005-0000-0000-00002E000000}"/>
    <cellStyle name="Accent6 3" xfId="79" xr:uid="{00000000-0005-0000-0000-00002F000000}"/>
    <cellStyle name="Bad 2" xfId="29" xr:uid="{00000000-0005-0000-0000-000030000000}"/>
    <cellStyle name="Bad 3" xfId="80" xr:uid="{00000000-0005-0000-0000-000031000000}"/>
    <cellStyle name="Calculation 2" xfId="30" xr:uid="{00000000-0005-0000-0000-000032000000}"/>
    <cellStyle name="Calculation 2 2" xfId="81" xr:uid="{00000000-0005-0000-0000-000033000000}"/>
    <cellStyle name="Calculation 3" xfId="82" xr:uid="{00000000-0005-0000-0000-000034000000}"/>
    <cellStyle name="Calculation 3 2" xfId="83" xr:uid="{00000000-0005-0000-0000-000035000000}"/>
    <cellStyle name="Check Cell 2" xfId="31" xr:uid="{00000000-0005-0000-0000-000036000000}"/>
    <cellStyle name="Check Cell 3" xfId="84" xr:uid="{00000000-0005-0000-0000-000037000000}"/>
    <cellStyle name="Comma 2" xfId="4" xr:uid="{00000000-0005-0000-0000-000038000000}"/>
    <cellStyle name="Comma 2 2" xfId="85" xr:uid="{00000000-0005-0000-0000-000039000000}"/>
    <cellStyle name="Comma 3" xfId="86" xr:uid="{00000000-0005-0000-0000-00003A000000}"/>
    <cellStyle name="Currency" xfId="133" builtinId="4"/>
    <cellStyle name="Currency 2" xfId="87" xr:uid="{00000000-0005-0000-0000-00003C000000}"/>
    <cellStyle name="Explanatory Text 2" xfId="32" xr:uid="{00000000-0005-0000-0000-00003D000000}"/>
    <cellStyle name="Explanatory Text 3" xfId="88" xr:uid="{00000000-0005-0000-0000-00003E000000}"/>
    <cellStyle name="Good 2" xfId="33" xr:uid="{00000000-0005-0000-0000-00003F000000}"/>
    <cellStyle name="Good 3" xfId="89" xr:uid="{00000000-0005-0000-0000-000040000000}"/>
    <cellStyle name="Heading 1 2" xfId="34" xr:uid="{00000000-0005-0000-0000-000041000000}"/>
    <cellStyle name="Heading 1 3" xfId="90" xr:uid="{00000000-0005-0000-0000-000042000000}"/>
    <cellStyle name="Heading 2 2" xfId="35" xr:uid="{00000000-0005-0000-0000-000043000000}"/>
    <cellStyle name="Heading 2 3" xfId="91" xr:uid="{00000000-0005-0000-0000-000044000000}"/>
    <cellStyle name="Heading 3 2" xfId="36" xr:uid="{00000000-0005-0000-0000-000045000000}"/>
    <cellStyle name="Heading 3 3" xfId="92" xr:uid="{00000000-0005-0000-0000-000046000000}"/>
    <cellStyle name="Heading 4 2" xfId="37" xr:uid="{00000000-0005-0000-0000-000047000000}"/>
    <cellStyle name="Heading 4 3" xfId="93" xr:uid="{00000000-0005-0000-0000-000048000000}"/>
    <cellStyle name="Hyperlink 2" xfId="134" xr:uid="{00000000-0005-0000-0000-00004A000000}"/>
    <cellStyle name="Input 2" xfId="38" xr:uid="{00000000-0005-0000-0000-00004B000000}"/>
    <cellStyle name="Input 2 2" xfId="94" xr:uid="{00000000-0005-0000-0000-00004C000000}"/>
    <cellStyle name="Input 3" xfId="95" xr:uid="{00000000-0005-0000-0000-00004D000000}"/>
    <cellStyle name="Input 3 2" xfId="96" xr:uid="{00000000-0005-0000-0000-00004E000000}"/>
    <cellStyle name="Linked Cell 2" xfId="39" xr:uid="{00000000-0005-0000-0000-00004F000000}"/>
    <cellStyle name="Linked Cell 3" xfId="97" xr:uid="{00000000-0005-0000-0000-000050000000}"/>
    <cellStyle name="Neutral 2" xfId="40" xr:uid="{00000000-0005-0000-0000-000051000000}"/>
    <cellStyle name="Neutral 3" xfId="98" xr:uid="{00000000-0005-0000-0000-000052000000}"/>
    <cellStyle name="Normal" xfId="0" builtinId="0"/>
    <cellStyle name="Normal 10" xfId="55" xr:uid="{00000000-0005-0000-0000-000054000000}"/>
    <cellStyle name="Normal 100" xfId="135" xr:uid="{00000000-0005-0000-0000-000055000000}"/>
    <cellStyle name="Normal 103" xfId="136" xr:uid="{00000000-0005-0000-0000-000056000000}"/>
    <cellStyle name="Normal 11" xfId="99" xr:uid="{00000000-0005-0000-0000-000057000000}"/>
    <cellStyle name="Normal 11 2" xfId="100" xr:uid="{00000000-0005-0000-0000-000058000000}"/>
    <cellStyle name="Normal 11 3" xfId="101" xr:uid="{00000000-0005-0000-0000-000059000000}"/>
    <cellStyle name="Normal 12" xfId="102" xr:uid="{00000000-0005-0000-0000-00005A000000}"/>
    <cellStyle name="Normal 2" xfId="1" xr:uid="{00000000-0005-0000-0000-00005B000000}"/>
    <cellStyle name="Normal 2 2" xfId="54" xr:uid="{00000000-0005-0000-0000-00005C000000}"/>
    <cellStyle name="Normal 2 2 2" xfId="127" xr:uid="{00000000-0005-0000-0000-00005D000000}"/>
    <cellStyle name="Normal 2 2 3" xfId="148" xr:uid="{00000000-0005-0000-0000-00005E000000}"/>
    <cellStyle name="Normal 2 3" xfId="53" xr:uid="{00000000-0005-0000-0000-00005F000000}"/>
    <cellStyle name="Normal 3" xfId="3" xr:uid="{00000000-0005-0000-0000-000060000000}"/>
    <cellStyle name="Normal 3 2" xfId="103" xr:uid="{00000000-0005-0000-0000-000061000000}"/>
    <cellStyle name="Normal 4" xfId="41" xr:uid="{00000000-0005-0000-0000-000062000000}"/>
    <cellStyle name="Normal 4 2" xfId="49" xr:uid="{00000000-0005-0000-0000-000063000000}"/>
    <cellStyle name="Normal 4 2 2" xfId="104" xr:uid="{00000000-0005-0000-0000-000064000000}"/>
    <cellStyle name="Normal 4 2 3" xfId="130" xr:uid="{00000000-0005-0000-0000-000065000000}"/>
    <cellStyle name="Normal 4 3" xfId="105" xr:uid="{00000000-0005-0000-0000-000066000000}"/>
    <cellStyle name="Normal 4 4" xfId="128" xr:uid="{00000000-0005-0000-0000-000067000000}"/>
    <cellStyle name="Normal 4_Energy Model" xfId="50" xr:uid="{00000000-0005-0000-0000-000068000000}"/>
    <cellStyle name="Normal 5" xfId="51" xr:uid="{00000000-0005-0000-0000-000069000000}"/>
    <cellStyle name="Normal 5 2" xfId="106" xr:uid="{00000000-0005-0000-0000-00006A000000}"/>
    <cellStyle name="Normal 5 3" xfId="131" xr:uid="{00000000-0005-0000-0000-00006B000000}"/>
    <cellStyle name="Normal 6" xfId="107" xr:uid="{00000000-0005-0000-0000-00006C000000}"/>
    <cellStyle name="Normal 6 2" xfId="137" xr:uid="{00000000-0005-0000-0000-00006D000000}"/>
    <cellStyle name="Normal 6 3" xfId="138" xr:uid="{00000000-0005-0000-0000-00006E000000}"/>
    <cellStyle name="Normal 7" xfId="108" xr:uid="{00000000-0005-0000-0000-00006F000000}"/>
    <cellStyle name="Normal 8" xfId="109" xr:uid="{00000000-0005-0000-0000-000070000000}"/>
    <cellStyle name="Normal 9" xfId="110" xr:uid="{00000000-0005-0000-0000-000071000000}"/>
    <cellStyle name="Note 2" xfId="42" xr:uid="{00000000-0005-0000-0000-000072000000}"/>
    <cellStyle name="Note 2 2" xfId="111" xr:uid="{00000000-0005-0000-0000-000073000000}"/>
    <cellStyle name="Note 3" xfId="112" xr:uid="{00000000-0005-0000-0000-000074000000}"/>
    <cellStyle name="Note 3 2" xfId="113" xr:uid="{00000000-0005-0000-0000-000075000000}"/>
    <cellStyle name="Output 2" xfId="43" xr:uid="{00000000-0005-0000-0000-000076000000}"/>
    <cellStyle name="Output 2 2" xfId="114" xr:uid="{00000000-0005-0000-0000-000077000000}"/>
    <cellStyle name="Output 3" xfId="115" xr:uid="{00000000-0005-0000-0000-000078000000}"/>
    <cellStyle name="Output 3 2" xfId="116" xr:uid="{00000000-0005-0000-0000-000079000000}"/>
    <cellStyle name="Percent" xfId="149" builtinId="5"/>
    <cellStyle name="Percent 2" xfId="2" xr:uid="{00000000-0005-0000-0000-00007B000000}"/>
    <cellStyle name="Percent 2 2" xfId="117" xr:uid="{00000000-0005-0000-0000-00007C000000}"/>
    <cellStyle name="Percent 2 3" xfId="139" xr:uid="{00000000-0005-0000-0000-00007D000000}"/>
    <cellStyle name="Percent 3" xfId="44" xr:uid="{00000000-0005-0000-0000-00007E000000}"/>
    <cellStyle name="Percent 3 2" xfId="118" xr:uid="{00000000-0005-0000-0000-00007F000000}"/>
    <cellStyle name="Percent 4" xfId="45" xr:uid="{00000000-0005-0000-0000-000080000000}"/>
    <cellStyle name="Percent 4 2" xfId="52" xr:uid="{00000000-0005-0000-0000-000081000000}"/>
    <cellStyle name="Percent 4 2 2" xfId="119" xr:uid="{00000000-0005-0000-0000-000082000000}"/>
    <cellStyle name="Percent 4 2 3" xfId="132" xr:uid="{00000000-0005-0000-0000-000083000000}"/>
    <cellStyle name="Percent 4 3" xfId="120" xr:uid="{00000000-0005-0000-0000-000084000000}"/>
    <cellStyle name="Percent 4 4" xfId="129" xr:uid="{00000000-0005-0000-0000-000085000000}"/>
    <cellStyle name="Percent 5" xfId="121" xr:uid="{00000000-0005-0000-0000-000086000000}"/>
    <cellStyle name="Style 1" xfId="140" xr:uid="{00000000-0005-0000-0000-000087000000}"/>
    <cellStyle name="Style 1 2" xfId="141" xr:uid="{00000000-0005-0000-0000-000088000000}"/>
    <cellStyle name="Style 1 2 2" xfId="142" xr:uid="{00000000-0005-0000-0000-000089000000}"/>
    <cellStyle name="Style 1 3" xfId="143" xr:uid="{00000000-0005-0000-0000-00008A000000}"/>
    <cellStyle name="Style 1 3 2" xfId="144" xr:uid="{00000000-0005-0000-0000-00008B000000}"/>
    <cellStyle name="Style 1 3 3" xfId="145" xr:uid="{00000000-0005-0000-0000-00008C000000}"/>
    <cellStyle name="Style 1 4" xfId="146" xr:uid="{00000000-0005-0000-0000-00008D000000}"/>
    <cellStyle name="Style 1 5" xfId="147" xr:uid="{00000000-0005-0000-0000-00008E000000}"/>
    <cellStyle name="Title 2" xfId="46" xr:uid="{00000000-0005-0000-0000-00008F000000}"/>
    <cellStyle name="Title 3" xfId="122" xr:uid="{00000000-0005-0000-0000-000090000000}"/>
    <cellStyle name="Total 2" xfId="47" xr:uid="{00000000-0005-0000-0000-000091000000}"/>
    <cellStyle name="Total 2 2" xfId="123" xr:uid="{00000000-0005-0000-0000-000092000000}"/>
    <cellStyle name="Total 3" xfId="124" xr:uid="{00000000-0005-0000-0000-000093000000}"/>
    <cellStyle name="Total 3 2" xfId="125" xr:uid="{00000000-0005-0000-0000-000094000000}"/>
    <cellStyle name="Warning Text 2" xfId="48" xr:uid="{00000000-0005-0000-0000-000095000000}"/>
    <cellStyle name="Warning Text 3" xfId="126" xr:uid="{00000000-0005-0000-0000-000096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Tables'!$A$7</c:f>
              <c:strCache>
                <c:ptCount val="1"/>
                <c:pt idx="0">
                  <c:v>Development</c:v>
                </c:pt>
              </c:strCache>
            </c:strRef>
          </c:tx>
          <c:invertIfNegative val="0"/>
          <c:cat>
            <c:numRef>
              <c:f>'Report Graphs'!$B$2:$E$2</c:f>
              <c:numCache>
                <c:formatCode>General</c:formatCode>
                <c:ptCount val="4"/>
                <c:pt idx="0">
                  <c:v>1</c:v>
                </c:pt>
                <c:pt idx="1">
                  <c:v>10</c:v>
                </c:pt>
                <c:pt idx="2">
                  <c:v>50</c:v>
                </c:pt>
                <c:pt idx="3">
                  <c:v>100</c:v>
                </c:pt>
              </c:numCache>
            </c:numRef>
          </c:cat>
          <c:val>
            <c:numRef>
              <c:f>'Report Tables'!$B$7:$E$7</c:f>
              <c:numCache>
                <c:formatCode>"$"#,##0</c:formatCode>
                <c:ptCount val="4"/>
                <c:pt idx="0">
                  <c:v>4553</c:v>
                </c:pt>
                <c:pt idx="1">
                  <c:v>8774</c:v>
                </c:pt>
                <c:pt idx="2">
                  <c:v>11003</c:v>
                </c:pt>
                <c:pt idx="3">
                  <c:v>10820</c:v>
                </c:pt>
              </c:numCache>
            </c:numRef>
          </c:val>
          <c:extLst>
            <c:ext xmlns:c16="http://schemas.microsoft.com/office/drawing/2014/chart" uri="{C3380CC4-5D6E-409C-BE32-E72D297353CC}">
              <c16:uniqueId val="{00000000-2F4C-437B-B7E1-0678C5E33DFB}"/>
            </c:ext>
          </c:extLst>
        </c:ser>
        <c:ser>
          <c:idx val="1"/>
          <c:order val="1"/>
          <c:tx>
            <c:strRef>
              <c:f>'Report Tables'!$A$8</c:f>
              <c:strCache>
                <c:ptCount val="1"/>
                <c:pt idx="0">
                  <c:v>Infrastructure</c:v>
                </c:pt>
              </c:strCache>
            </c:strRef>
          </c:tx>
          <c:invertIfNegative val="0"/>
          <c:cat>
            <c:numRef>
              <c:f>'Report Graphs'!$B$2:$E$2</c:f>
              <c:numCache>
                <c:formatCode>General</c:formatCode>
                <c:ptCount val="4"/>
                <c:pt idx="0">
                  <c:v>1</c:v>
                </c:pt>
                <c:pt idx="1">
                  <c:v>10</c:v>
                </c:pt>
                <c:pt idx="2">
                  <c:v>50</c:v>
                </c:pt>
                <c:pt idx="3">
                  <c:v>100</c:v>
                </c:pt>
              </c:numCache>
            </c:numRef>
          </c:cat>
          <c:val>
            <c:numRef>
              <c:f>'Report Tables'!$B$8:$E$8</c:f>
              <c:numCache>
                <c:formatCode>"$"#,##0</c:formatCode>
                <c:ptCount val="4"/>
                <c:pt idx="0">
                  <c:v>990</c:v>
                </c:pt>
                <c:pt idx="1">
                  <c:v>4860</c:v>
                </c:pt>
                <c:pt idx="2">
                  <c:v>7566</c:v>
                </c:pt>
                <c:pt idx="3">
                  <c:v>17310</c:v>
                </c:pt>
              </c:numCache>
            </c:numRef>
          </c:val>
          <c:extLst>
            <c:ext xmlns:c16="http://schemas.microsoft.com/office/drawing/2014/chart" uri="{C3380CC4-5D6E-409C-BE32-E72D297353CC}">
              <c16:uniqueId val="{00000001-2F4C-437B-B7E1-0678C5E33DFB}"/>
            </c:ext>
          </c:extLst>
        </c:ser>
        <c:ser>
          <c:idx val="3"/>
          <c:order val="2"/>
          <c:tx>
            <c:strRef>
              <c:f>'Report Tables'!$A$9</c:f>
              <c:strCache>
                <c:ptCount val="1"/>
                <c:pt idx="0">
                  <c:v>Mooring/Foundation</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Tables'!$B$9:$E$9</c:f>
              <c:numCache>
                <c:formatCode>"$"#,##0</c:formatCode>
                <c:ptCount val="4"/>
                <c:pt idx="0">
                  <c:v>525</c:v>
                </c:pt>
                <c:pt idx="1">
                  <c:v>4723</c:v>
                </c:pt>
                <c:pt idx="2">
                  <c:v>23615</c:v>
                </c:pt>
                <c:pt idx="3">
                  <c:v>47230</c:v>
                </c:pt>
              </c:numCache>
            </c:numRef>
          </c:val>
          <c:extLst>
            <c:ext xmlns:c16="http://schemas.microsoft.com/office/drawing/2014/chart" uri="{C3380CC4-5D6E-409C-BE32-E72D297353CC}">
              <c16:uniqueId val="{00000002-2F4C-437B-B7E1-0678C5E33DFB}"/>
            </c:ext>
          </c:extLst>
        </c:ser>
        <c:ser>
          <c:idx val="4"/>
          <c:order val="3"/>
          <c:tx>
            <c:strRef>
              <c:f>'Report Tables'!$A$10</c:f>
              <c:strCache>
                <c:ptCount val="1"/>
                <c:pt idx="0">
                  <c:v>Device Structural Components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Tables'!$B$10:$E$10</c:f>
              <c:numCache>
                <c:formatCode>"$"#,##0</c:formatCode>
                <c:ptCount val="4"/>
                <c:pt idx="0">
                  <c:v>2939</c:v>
                </c:pt>
                <c:pt idx="1">
                  <c:v>20675</c:v>
                </c:pt>
                <c:pt idx="2">
                  <c:v>91548</c:v>
                </c:pt>
                <c:pt idx="3">
                  <c:v>177933</c:v>
                </c:pt>
              </c:numCache>
            </c:numRef>
          </c:val>
          <c:extLst>
            <c:ext xmlns:c16="http://schemas.microsoft.com/office/drawing/2014/chart" uri="{C3380CC4-5D6E-409C-BE32-E72D297353CC}">
              <c16:uniqueId val="{00000003-2F4C-437B-B7E1-0678C5E33DFB}"/>
            </c:ext>
          </c:extLst>
        </c:ser>
        <c:ser>
          <c:idx val="5"/>
          <c:order val="4"/>
          <c:tx>
            <c:strRef>
              <c:f>'Report Tables'!$A$11</c:f>
              <c:strCache>
                <c:ptCount val="1"/>
                <c:pt idx="0">
                  <c:v>Power Take Off</c:v>
                </c:pt>
              </c:strCache>
            </c:strRef>
          </c:tx>
          <c:invertIfNegative val="0"/>
          <c:cat>
            <c:numRef>
              <c:f>'Report Graphs'!$B$2:$E$2</c:f>
              <c:numCache>
                <c:formatCode>General</c:formatCode>
                <c:ptCount val="4"/>
                <c:pt idx="0">
                  <c:v>1</c:v>
                </c:pt>
                <c:pt idx="1">
                  <c:v>10</c:v>
                </c:pt>
                <c:pt idx="2">
                  <c:v>50</c:v>
                </c:pt>
                <c:pt idx="3">
                  <c:v>100</c:v>
                </c:pt>
              </c:numCache>
            </c:numRef>
          </c:cat>
          <c:val>
            <c:numRef>
              <c:f>'Report Tables'!$B$11:$E$11</c:f>
              <c:numCache>
                <c:formatCode>"$"#,##0</c:formatCode>
                <c:ptCount val="4"/>
                <c:pt idx="0">
                  <c:v>623</c:v>
                </c:pt>
                <c:pt idx="1">
                  <c:v>4937</c:v>
                </c:pt>
                <c:pt idx="2">
                  <c:v>21685</c:v>
                </c:pt>
                <c:pt idx="3">
                  <c:v>41284</c:v>
                </c:pt>
              </c:numCache>
            </c:numRef>
          </c:val>
          <c:extLst>
            <c:ext xmlns:c16="http://schemas.microsoft.com/office/drawing/2014/chart" uri="{C3380CC4-5D6E-409C-BE32-E72D297353CC}">
              <c16:uniqueId val="{00000004-2F4C-437B-B7E1-0678C5E33DFB}"/>
            </c:ext>
          </c:extLst>
        </c:ser>
        <c:ser>
          <c:idx val="2"/>
          <c:order val="5"/>
          <c:tx>
            <c:strRef>
              <c:f>'Report Tables'!$A$12</c:f>
              <c:strCache>
                <c:ptCount val="1"/>
                <c:pt idx="0">
                  <c:v>Subsystem Integration &amp; Profit Margin</c:v>
                </c:pt>
              </c:strCache>
            </c:strRef>
          </c:tx>
          <c:invertIfNegative val="0"/>
          <c:cat>
            <c:numRef>
              <c:f>'Report Graphs'!$B$2:$E$2</c:f>
              <c:numCache>
                <c:formatCode>General</c:formatCode>
                <c:ptCount val="4"/>
                <c:pt idx="0">
                  <c:v>1</c:v>
                </c:pt>
                <c:pt idx="1">
                  <c:v>10</c:v>
                </c:pt>
                <c:pt idx="2">
                  <c:v>50</c:v>
                </c:pt>
                <c:pt idx="3">
                  <c:v>100</c:v>
                </c:pt>
              </c:numCache>
            </c:numRef>
          </c:cat>
          <c:val>
            <c:numRef>
              <c:f>'Report Tables'!$B$12:$E$12</c:f>
              <c:numCache>
                <c:formatCode>"$"#,##0</c:formatCode>
                <c:ptCount val="4"/>
                <c:pt idx="0">
                  <c:v>356</c:v>
                </c:pt>
                <c:pt idx="1">
                  <c:v>2561</c:v>
                </c:pt>
                <c:pt idx="2">
                  <c:v>11323</c:v>
                </c:pt>
                <c:pt idx="3">
                  <c:v>21922</c:v>
                </c:pt>
              </c:numCache>
            </c:numRef>
          </c:val>
          <c:extLst>
            <c:ext xmlns:c16="http://schemas.microsoft.com/office/drawing/2014/chart" uri="{C3380CC4-5D6E-409C-BE32-E72D297353CC}">
              <c16:uniqueId val="{00000005-2F4C-437B-B7E1-0678C5E33DFB}"/>
            </c:ext>
          </c:extLst>
        </c:ser>
        <c:ser>
          <c:idx val="6"/>
          <c:order val="6"/>
          <c:tx>
            <c:strRef>
              <c:f>'Report Tables'!$A$13</c:f>
              <c:strCache>
                <c:ptCount val="1"/>
                <c:pt idx="0">
                  <c:v>Installation</c:v>
                </c:pt>
              </c:strCache>
            </c:strRef>
          </c:tx>
          <c:invertIfNegative val="0"/>
          <c:cat>
            <c:numRef>
              <c:f>'Report Graphs'!$B$2:$E$2</c:f>
              <c:numCache>
                <c:formatCode>General</c:formatCode>
                <c:ptCount val="4"/>
                <c:pt idx="0">
                  <c:v>1</c:v>
                </c:pt>
                <c:pt idx="1">
                  <c:v>10</c:v>
                </c:pt>
                <c:pt idx="2">
                  <c:v>50</c:v>
                </c:pt>
                <c:pt idx="3">
                  <c:v>100</c:v>
                </c:pt>
              </c:numCache>
            </c:numRef>
          </c:cat>
          <c:val>
            <c:numRef>
              <c:f>'Report Tables'!$B$13:$E$13</c:f>
              <c:numCache>
                <c:formatCode>"$"#,##0</c:formatCode>
                <c:ptCount val="4"/>
                <c:pt idx="0">
                  <c:v>5909</c:v>
                </c:pt>
                <c:pt idx="1">
                  <c:v>9082</c:v>
                </c:pt>
                <c:pt idx="2">
                  <c:v>21531</c:v>
                </c:pt>
                <c:pt idx="3">
                  <c:v>37860</c:v>
                </c:pt>
              </c:numCache>
            </c:numRef>
          </c:val>
          <c:extLst>
            <c:ext xmlns:c16="http://schemas.microsoft.com/office/drawing/2014/chart" uri="{C3380CC4-5D6E-409C-BE32-E72D297353CC}">
              <c16:uniqueId val="{00000006-2F4C-437B-B7E1-0678C5E33DFB}"/>
            </c:ext>
          </c:extLst>
        </c:ser>
        <c:ser>
          <c:idx val="7"/>
          <c:order val="7"/>
          <c:tx>
            <c:strRef>
              <c:f>'Report Tables'!$A$14</c:f>
              <c:strCache>
                <c:ptCount val="1"/>
                <c:pt idx="0">
                  <c:v>Contingency</c:v>
                </c:pt>
              </c:strCache>
            </c:strRef>
          </c:tx>
          <c:invertIfNegative val="0"/>
          <c:cat>
            <c:numRef>
              <c:f>'Report Graphs'!$B$2:$E$2</c:f>
              <c:numCache>
                <c:formatCode>General</c:formatCode>
                <c:ptCount val="4"/>
                <c:pt idx="0">
                  <c:v>1</c:v>
                </c:pt>
                <c:pt idx="1">
                  <c:v>10</c:v>
                </c:pt>
                <c:pt idx="2">
                  <c:v>50</c:v>
                </c:pt>
                <c:pt idx="3">
                  <c:v>100</c:v>
                </c:pt>
              </c:numCache>
            </c:numRef>
          </c:cat>
          <c:val>
            <c:numRef>
              <c:f>'Report Tables'!$B$14:$E$14</c:f>
              <c:numCache>
                <c:formatCode>"$"#,##0</c:formatCode>
                <c:ptCount val="4"/>
                <c:pt idx="0">
                  <c:v>1590</c:v>
                </c:pt>
                <c:pt idx="1">
                  <c:v>5561</c:v>
                </c:pt>
                <c:pt idx="2">
                  <c:v>18827</c:v>
                </c:pt>
                <c:pt idx="3">
                  <c:v>35436</c:v>
                </c:pt>
              </c:numCache>
            </c:numRef>
          </c:val>
          <c:extLst>
            <c:ext xmlns:c16="http://schemas.microsoft.com/office/drawing/2014/chart" uri="{C3380CC4-5D6E-409C-BE32-E72D297353CC}">
              <c16:uniqueId val="{00000007-2F4C-437B-B7E1-0678C5E33DFB}"/>
            </c:ext>
          </c:extLst>
        </c:ser>
        <c:dLbls>
          <c:showLegendKey val="0"/>
          <c:showVal val="0"/>
          <c:showCatName val="0"/>
          <c:showSerName val="0"/>
          <c:showPercent val="0"/>
          <c:showBubbleSize val="0"/>
        </c:dLbls>
        <c:gapWidth val="150"/>
        <c:overlap val="100"/>
        <c:axId val="175812992"/>
        <c:axId val="175814912"/>
      </c:barChart>
      <c:catAx>
        <c:axId val="175812992"/>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175814912"/>
        <c:crosses val="autoZero"/>
        <c:auto val="1"/>
        <c:lblAlgn val="ctr"/>
        <c:lblOffset val="100"/>
        <c:noMultiLvlLbl val="0"/>
      </c:catAx>
      <c:valAx>
        <c:axId val="175814912"/>
        <c:scaling>
          <c:orientation val="minMax"/>
          <c:min val="0"/>
        </c:scaling>
        <c:delete val="0"/>
        <c:axPos val="l"/>
        <c:majorGridlines>
          <c:spPr>
            <a:ln>
              <a:solidFill>
                <a:schemeClr val="bg1">
                  <a:lumMod val="85000"/>
                </a:schemeClr>
              </a:solidFill>
            </a:ln>
          </c:spPr>
        </c:majorGridlines>
        <c:title>
          <c:tx>
            <c:strRef>
              <c:f>'Report Tables'!$A$4</c:f>
              <c:strCache>
                <c:ptCount val="1"/>
                <c:pt idx="0">
                  <c:v>Total Cost in Thousands ($)</c:v>
                </c:pt>
              </c:strCache>
            </c:strRef>
          </c:tx>
          <c:overlay val="0"/>
          <c:txPr>
            <a:bodyPr rot="-5400000" vert="horz"/>
            <a:lstStyle/>
            <a:p>
              <a:pPr>
                <a:defRPr/>
              </a:pPr>
              <a:endParaRPr lang="en-US"/>
            </a:p>
          </c:txPr>
        </c:title>
        <c:numFmt formatCode="&quot;$&quot;#,##0" sourceLinked="1"/>
        <c:majorTickMark val="out"/>
        <c:minorTickMark val="none"/>
        <c:tickLblPos val="nextTo"/>
        <c:crossAx val="175812992"/>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'[4]Report Graphs'!$B$159:$B$167</c:f>
              <c:numCache>
                <c:formatCode>General</c:formatCode>
                <c:ptCount val="9"/>
                <c:pt idx="0">
                  <c:v>10.390967780483027</c:v>
                </c:pt>
                <c:pt idx="1">
                  <c:v>14.407267528007228</c:v>
                </c:pt>
                <c:pt idx="2">
                  <c:v>19.262078741899987</c:v>
                </c:pt>
                <c:pt idx="3">
                  <c:v>25.014411739257284</c:v>
                </c:pt>
                <c:pt idx="4">
                  <c:v>31.720897876046362</c:v>
                </c:pt>
                <c:pt idx="5">
                  <c:v>39.436100650985487</c:v>
                </c:pt>
                <c:pt idx="6">
                  <c:v>48.212762713551648</c:v>
                </c:pt>
                <c:pt idx="7">
                  <c:v>58.10200605476895</c:v>
                </c:pt>
                <c:pt idx="8">
                  <c:v>69.153497062456466</c:v>
                </c:pt>
              </c:numCache>
            </c:numRef>
          </c:xVal>
          <c:yVal>
            <c:numRef>
              <c:f>'[4]Report Graphs'!$C$159:$C$167</c:f>
              <c:numCache>
                <c:formatCode>General</c:formatCode>
                <c:ptCount val="9"/>
                <c:pt idx="0">
                  <c:v>160.88775532305041</c:v>
                </c:pt>
                <c:pt idx="1">
                  <c:v>126.74104631588072</c:v>
                </c:pt>
                <c:pt idx="2">
                  <c:v>102.5294361140466</c:v>
                </c:pt>
                <c:pt idx="3">
                  <c:v>84.723318178627878</c:v>
                </c:pt>
                <c:pt idx="4">
                  <c:v>71.236024866119209</c:v>
                </c:pt>
                <c:pt idx="5">
                  <c:v>60.768606249673731</c:v>
                </c:pt>
                <c:pt idx="6">
                  <c:v>52.477555643556613</c:v>
                </c:pt>
                <c:pt idx="7">
                  <c:v>45.795451835493438</c:v>
                </c:pt>
                <c:pt idx="8">
                  <c:v>40.329008402648689</c:v>
                </c:pt>
              </c:numCache>
            </c:numRef>
          </c:yVal>
          <c:smooth val="1"/>
          <c:extLst>
            <c:ext xmlns:c16="http://schemas.microsoft.com/office/drawing/2014/chart" uri="{C3380CC4-5D6E-409C-BE32-E72D297353CC}">
              <c16:uniqueId val="{00000000-D84B-4236-92EE-69BFD64170C7}"/>
            </c:ext>
          </c:extLst>
        </c:ser>
        <c:dLbls>
          <c:showLegendKey val="0"/>
          <c:showVal val="0"/>
          <c:showCatName val="0"/>
          <c:showSerName val="0"/>
          <c:showPercent val="0"/>
          <c:showBubbleSize val="0"/>
        </c:dLbls>
        <c:axId val="175356160"/>
        <c:axId val="175780224"/>
      </c:scatterChart>
      <c:valAx>
        <c:axId val="175356160"/>
        <c:scaling>
          <c:orientation val="minMax"/>
          <c:min val="1"/>
        </c:scaling>
        <c:delete val="0"/>
        <c:axPos val="b"/>
        <c:majorGridlines>
          <c:spPr>
            <a:ln>
              <a:solidFill>
                <a:schemeClr val="bg1">
                  <a:lumMod val="85000"/>
                </a:schemeClr>
              </a:solidFill>
            </a:ln>
          </c:spPr>
        </c:majorGridlines>
        <c:title>
          <c:tx>
            <c:rich>
              <a:bodyPr/>
              <a:lstStyle/>
              <a:p>
                <a:pPr>
                  <a:defRPr/>
                </a:pPr>
                <a:r>
                  <a:rPr lang="en-US" baseline="0"/>
                  <a:t>Mean </a:t>
                </a:r>
                <a:r>
                  <a:rPr lang="en-US"/>
                  <a:t>Wave Power</a:t>
                </a:r>
                <a:r>
                  <a:rPr lang="en-US" baseline="0"/>
                  <a:t> Density</a:t>
                </a:r>
                <a:r>
                  <a:rPr lang="en-US"/>
                  <a:t> (m/s)</a:t>
                </a:r>
              </a:p>
            </c:rich>
          </c:tx>
          <c:overlay val="0"/>
        </c:title>
        <c:numFmt formatCode="General" sourceLinked="1"/>
        <c:majorTickMark val="out"/>
        <c:minorTickMark val="none"/>
        <c:tickLblPos val="nextTo"/>
        <c:crossAx val="175780224"/>
        <c:crosses val="autoZero"/>
        <c:crossBetween val="midCat"/>
      </c:valAx>
      <c:valAx>
        <c:axId val="175780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CoE (cents/kWh)</a:t>
                </a:r>
              </a:p>
            </c:rich>
          </c:tx>
          <c:overlay val="0"/>
        </c:title>
        <c:numFmt formatCode="General" sourceLinked="1"/>
        <c:majorTickMark val="out"/>
        <c:minorTickMark val="none"/>
        <c:tickLblPos val="nextTo"/>
        <c:crossAx val="175356160"/>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Tables'!$A$7</c:f>
              <c:strCache>
                <c:ptCount val="1"/>
                <c:pt idx="0">
                  <c:v>Development</c:v>
                </c:pt>
              </c:strCache>
            </c:strRef>
          </c:tx>
          <c:invertIfNegative val="0"/>
          <c:cat>
            <c:numRef>
              <c:f>'Report Graphs'!$B$2:$E$2</c:f>
              <c:numCache>
                <c:formatCode>General</c:formatCode>
                <c:ptCount val="4"/>
                <c:pt idx="0">
                  <c:v>1</c:v>
                </c:pt>
                <c:pt idx="1">
                  <c:v>10</c:v>
                </c:pt>
                <c:pt idx="2">
                  <c:v>50</c:v>
                </c:pt>
                <c:pt idx="3">
                  <c:v>100</c:v>
                </c:pt>
              </c:numCache>
            </c:numRef>
          </c:cat>
          <c:val>
            <c:numRef>
              <c:f>'Report Tables'!$B$22:$E$22</c:f>
              <c:numCache>
                <c:formatCode>"$"#,##0</c:formatCode>
                <c:ptCount val="4"/>
                <c:pt idx="0">
                  <c:v>15920</c:v>
                </c:pt>
                <c:pt idx="1">
                  <c:v>3070</c:v>
                </c:pt>
                <c:pt idx="2">
                  <c:v>770</c:v>
                </c:pt>
                <c:pt idx="3">
                  <c:v>380</c:v>
                </c:pt>
              </c:numCache>
            </c:numRef>
          </c:val>
          <c:extLst>
            <c:ext xmlns:c16="http://schemas.microsoft.com/office/drawing/2014/chart" uri="{C3380CC4-5D6E-409C-BE32-E72D297353CC}">
              <c16:uniqueId val="{00000000-426A-407E-80F5-F994D4D69C0A}"/>
            </c:ext>
          </c:extLst>
        </c:ser>
        <c:ser>
          <c:idx val="1"/>
          <c:order val="1"/>
          <c:tx>
            <c:strRef>
              <c:f>'Report Tables'!$A$8</c:f>
              <c:strCache>
                <c:ptCount val="1"/>
                <c:pt idx="0">
                  <c:v>Infrastructure</c:v>
                </c:pt>
              </c:strCache>
            </c:strRef>
          </c:tx>
          <c:invertIfNegative val="0"/>
          <c:cat>
            <c:numRef>
              <c:f>'Report Graphs'!$B$2:$E$2</c:f>
              <c:numCache>
                <c:formatCode>General</c:formatCode>
                <c:ptCount val="4"/>
                <c:pt idx="0">
                  <c:v>1</c:v>
                </c:pt>
                <c:pt idx="1">
                  <c:v>10</c:v>
                </c:pt>
                <c:pt idx="2">
                  <c:v>50</c:v>
                </c:pt>
                <c:pt idx="3">
                  <c:v>100</c:v>
                </c:pt>
              </c:numCache>
            </c:numRef>
          </c:cat>
          <c:val>
            <c:numRef>
              <c:f>'Report Tables'!$B$23:$E$23</c:f>
              <c:numCache>
                <c:formatCode>"$"#,##0</c:formatCode>
                <c:ptCount val="4"/>
                <c:pt idx="0">
                  <c:v>3460</c:v>
                </c:pt>
                <c:pt idx="1">
                  <c:v>1700</c:v>
                </c:pt>
                <c:pt idx="2">
                  <c:v>530</c:v>
                </c:pt>
                <c:pt idx="3">
                  <c:v>610</c:v>
                </c:pt>
              </c:numCache>
            </c:numRef>
          </c:val>
          <c:extLst>
            <c:ext xmlns:c16="http://schemas.microsoft.com/office/drawing/2014/chart" uri="{C3380CC4-5D6E-409C-BE32-E72D297353CC}">
              <c16:uniqueId val="{00000001-426A-407E-80F5-F994D4D69C0A}"/>
            </c:ext>
          </c:extLst>
        </c:ser>
        <c:ser>
          <c:idx val="3"/>
          <c:order val="2"/>
          <c:tx>
            <c:strRef>
              <c:f>'Report Tables'!$A$9</c:f>
              <c:strCache>
                <c:ptCount val="1"/>
                <c:pt idx="0">
                  <c:v>Mooring/Foundation</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Tables'!$B$24:$E$24</c:f>
              <c:numCache>
                <c:formatCode>"$"#,##0</c:formatCode>
                <c:ptCount val="4"/>
                <c:pt idx="0">
                  <c:v>1830</c:v>
                </c:pt>
                <c:pt idx="1">
                  <c:v>1650</c:v>
                </c:pt>
                <c:pt idx="2">
                  <c:v>1650</c:v>
                </c:pt>
                <c:pt idx="3">
                  <c:v>1650</c:v>
                </c:pt>
              </c:numCache>
            </c:numRef>
          </c:val>
          <c:extLst>
            <c:ext xmlns:c16="http://schemas.microsoft.com/office/drawing/2014/chart" uri="{C3380CC4-5D6E-409C-BE32-E72D297353CC}">
              <c16:uniqueId val="{00000002-426A-407E-80F5-F994D4D69C0A}"/>
            </c:ext>
          </c:extLst>
        </c:ser>
        <c:ser>
          <c:idx val="4"/>
          <c:order val="3"/>
          <c:tx>
            <c:strRef>
              <c:f>'Report Tables'!$A$10</c:f>
              <c:strCache>
                <c:ptCount val="1"/>
                <c:pt idx="0">
                  <c:v>Device Structural Components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Tables'!$B$25:$E$25</c:f>
              <c:numCache>
                <c:formatCode>"$"#,##0</c:formatCode>
                <c:ptCount val="4"/>
                <c:pt idx="0">
                  <c:v>10280</c:v>
                </c:pt>
                <c:pt idx="1">
                  <c:v>7230</c:v>
                </c:pt>
                <c:pt idx="2">
                  <c:v>6400</c:v>
                </c:pt>
                <c:pt idx="3">
                  <c:v>6220</c:v>
                </c:pt>
              </c:numCache>
            </c:numRef>
          </c:val>
          <c:extLst>
            <c:ext xmlns:c16="http://schemas.microsoft.com/office/drawing/2014/chart" uri="{C3380CC4-5D6E-409C-BE32-E72D297353CC}">
              <c16:uniqueId val="{00000003-426A-407E-80F5-F994D4D69C0A}"/>
            </c:ext>
          </c:extLst>
        </c:ser>
        <c:ser>
          <c:idx val="5"/>
          <c:order val="4"/>
          <c:tx>
            <c:strRef>
              <c:f>'Report Tables'!$A$11</c:f>
              <c:strCache>
                <c:ptCount val="1"/>
                <c:pt idx="0">
                  <c:v>Power Take Off</c:v>
                </c:pt>
              </c:strCache>
            </c:strRef>
          </c:tx>
          <c:invertIfNegative val="0"/>
          <c:cat>
            <c:numRef>
              <c:f>'Report Graphs'!$B$2:$E$2</c:f>
              <c:numCache>
                <c:formatCode>General</c:formatCode>
                <c:ptCount val="4"/>
                <c:pt idx="0">
                  <c:v>1</c:v>
                </c:pt>
                <c:pt idx="1">
                  <c:v>10</c:v>
                </c:pt>
                <c:pt idx="2">
                  <c:v>50</c:v>
                </c:pt>
                <c:pt idx="3">
                  <c:v>100</c:v>
                </c:pt>
              </c:numCache>
            </c:numRef>
          </c:cat>
          <c:val>
            <c:numRef>
              <c:f>'Report Tables'!$B$26:$E$26</c:f>
              <c:numCache>
                <c:formatCode>"$"#,##0</c:formatCode>
                <c:ptCount val="4"/>
                <c:pt idx="0">
                  <c:v>2180</c:v>
                </c:pt>
                <c:pt idx="1">
                  <c:v>1730</c:v>
                </c:pt>
                <c:pt idx="2">
                  <c:v>1520</c:v>
                </c:pt>
                <c:pt idx="3">
                  <c:v>1440</c:v>
                </c:pt>
              </c:numCache>
            </c:numRef>
          </c:val>
          <c:extLst>
            <c:ext xmlns:c16="http://schemas.microsoft.com/office/drawing/2014/chart" uri="{C3380CC4-5D6E-409C-BE32-E72D297353CC}">
              <c16:uniqueId val="{00000004-426A-407E-80F5-F994D4D69C0A}"/>
            </c:ext>
          </c:extLst>
        </c:ser>
        <c:ser>
          <c:idx val="2"/>
          <c:order val="5"/>
          <c:tx>
            <c:strRef>
              <c:f>'Report Tables'!$A$12</c:f>
              <c:strCache>
                <c:ptCount val="1"/>
                <c:pt idx="0">
                  <c:v>Subsystem Integration &amp; Profit Margin</c:v>
                </c:pt>
              </c:strCache>
            </c:strRef>
          </c:tx>
          <c:invertIfNegative val="0"/>
          <c:cat>
            <c:numRef>
              <c:f>'Report Graphs'!$B$2:$E$2</c:f>
              <c:numCache>
                <c:formatCode>General</c:formatCode>
                <c:ptCount val="4"/>
                <c:pt idx="0">
                  <c:v>1</c:v>
                </c:pt>
                <c:pt idx="1">
                  <c:v>10</c:v>
                </c:pt>
                <c:pt idx="2">
                  <c:v>50</c:v>
                </c:pt>
                <c:pt idx="3">
                  <c:v>100</c:v>
                </c:pt>
              </c:numCache>
            </c:numRef>
          </c:cat>
          <c:val>
            <c:numRef>
              <c:f>'Report Tables'!$B$27:$E$27</c:f>
              <c:numCache>
                <c:formatCode>"$"#,##0</c:formatCode>
                <c:ptCount val="4"/>
                <c:pt idx="0">
                  <c:v>1250</c:v>
                </c:pt>
                <c:pt idx="1">
                  <c:v>900</c:v>
                </c:pt>
                <c:pt idx="2">
                  <c:v>790</c:v>
                </c:pt>
                <c:pt idx="3">
                  <c:v>770</c:v>
                </c:pt>
              </c:numCache>
            </c:numRef>
          </c:val>
          <c:extLst>
            <c:ext xmlns:c16="http://schemas.microsoft.com/office/drawing/2014/chart" uri="{C3380CC4-5D6E-409C-BE32-E72D297353CC}">
              <c16:uniqueId val="{00000005-426A-407E-80F5-F994D4D69C0A}"/>
            </c:ext>
          </c:extLst>
        </c:ser>
        <c:ser>
          <c:idx val="6"/>
          <c:order val="6"/>
          <c:tx>
            <c:strRef>
              <c:f>'Report Tables'!$A$13</c:f>
              <c:strCache>
                <c:ptCount val="1"/>
                <c:pt idx="0">
                  <c:v>Installation</c:v>
                </c:pt>
              </c:strCache>
            </c:strRef>
          </c:tx>
          <c:invertIfNegative val="0"/>
          <c:cat>
            <c:numRef>
              <c:f>'Report Graphs'!$B$2:$E$2</c:f>
              <c:numCache>
                <c:formatCode>General</c:formatCode>
                <c:ptCount val="4"/>
                <c:pt idx="0">
                  <c:v>1</c:v>
                </c:pt>
                <c:pt idx="1">
                  <c:v>10</c:v>
                </c:pt>
                <c:pt idx="2">
                  <c:v>50</c:v>
                </c:pt>
                <c:pt idx="3">
                  <c:v>100</c:v>
                </c:pt>
              </c:numCache>
            </c:numRef>
          </c:cat>
          <c:val>
            <c:numRef>
              <c:f>'Report Tables'!$B$28:$E$28</c:f>
              <c:numCache>
                <c:formatCode>"$"#,##0</c:formatCode>
                <c:ptCount val="4"/>
                <c:pt idx="0">
                  <c:v>20660</c:v>
                </c:pt>
                <c:pt idx="1">
                  <c:v>3180</c:v>
                </c:pt>
                <c:pt idx="2">
                  <c:v>1510</c:v>
                </c:pt>
                <c:pt idx="3">
                  <c:v>1320</c:v>
                </c:pt>
              </c:numCache>
            </c:numRef>
          </c:val>
          <c:extLst>
            <c:ext xmlns:c16="http://schemas.microsoft.com/office/drawing/2014/chart" uri="{C3380CC4-5D6E-409C-BE32-E72D297353CC}">
              <c16:uniqueId val="{00000006-426A-407E-80F5-F994D4D69C0A}"/>
            </c:ext>
          </c:extLst>
        </c:ser>
        <c:ser>
          <c:idx val="7"/>
          <c:order val="7"/>
          <c:tx>
            <c:strRef>
              <c:f>'Report Tables'!$A$14</c:f>
              <c:strCache>
                <c:ptCount val="1"/>
                <c:pt idx="0">
                  <c:v>Contingency</c:v>
                </c:pt>
              </c:strCache>
            </c:strRef>
          </c:tx>
          <c:invertIfNegative val="0"/>
          <c:cat>
            <c:numRef>
              <c:f>'Report Graphs'!$B$2:$E$2</c:f>
              <c:numCache>
                <c:formatCode>General</c:formatCode>
                <c:ptCount val="4"/>
                <c:pt idx="0">
                  <c:v>1</c:v>
                </c:pt>
                <c:pt idx="1">
                  <c:v>10</c:v>
                </c:pt>
                <c:pt idx="2">
                  <c:v>50</c:v>
                </c:pt>
                <c:pt idx="3">
                  <c:v>100</c:v>
                </c:pt>
              </c:numCache>
            </c:numRef>
          </c:cat>
          <c:val>
            <c:numRef>
              <c:f>'Report Tables'!$B$29:$E$29</c:f>
              <c:numCache>
                <c:formatCode>"$"#,##0</c:formatCode>
                <c:ptCount val="4"/>
                <c:pt idx="0">
                  <c:v>5560</c:v>
                </c:pt>
                <c:pt idx="1">
                  <c:v>1940</c:v>
                </c:pt>
                <c:pt idx="2">
                  <c:v>1320</c:v>
                </c:pt>
                <c:pt idx="3">
                  <c:v>1240</c:v>
                </c:pt>
              </c:numCache>
            </c:numRef>
          </c:val>
          <c:extLst>
            <c:ext xmlns:c16="http://schemas.microsoft.com/office/drawing/2014/chart" uri="{C3380CC4-5D6E-409C-BE32-E72D297353CC}">
              <c16:uniqueId val="{00000007-426A-407E-80F5-F994D4D69C0A}"/>
            </c:ext>
          </c:extLst>
        </c:ser>
        <c:dLbls>
          <c:showLegendKey val="0"/>
          <c:showVal val="0"/>
          <c:showCatName val="0"/>
          <c:showSerName val="0"/>
          <c:showPercent val="0"/>
          <c:showBubbleSize val="0"/>
        </c:dLbls>
        <c:gapWidth val="150"/>
        <c:overlap val="100"/>
        <c:axId val="175850624"/>
        <c:axId val="175852544"/>
      </c:barChart>
      <c:catAx>
        <c:axId val="175850624"/>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175852544"/>
        <c:crosses val="autoZero"/>
        <c:auto val="1"/>
        <c:lblAlgn val="ctr"/>
        <c:lblOffset val="100"/>
        <c:noMultiLvlLbl val="0"/>
      </c:catAx>
      <c:valAx>
        <c:axId val="175852544"/>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Capex ($/kW)</a:t>
                </a:r>
              </a:p>
            </c:rich>
          </c:tx>
          <c:overlay val="0"/>
        </c:title>
        <c:numFmt formatCode="&quot;$&quot;#,##0" sourceLinked="1"/>
        <c:majorTickMark val="out"/>
        <c:minorTickMark val="none"/>
        <c:tickLblPos val="nextTo"/>
        <c:crossAx val="175850624"/>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Tables'!$A$7</c:f>
              <c:strCache>
                <c:ptCount val="1"/>
                <c:pt idx="0">
                  <c:v>Development</c:v>
                </c:pt>
              </c:strCache>
            </c:strRef>
          </c:tx>
          <c:invertIfNegative val="0"/>
          <c:cat>
            <c:numRef>
              <c:f>'Report Graphs'!$C$2:$E$2</c:f>
              <c:numCache>
                <c:formatCode>General</c:formatCode>
                <c:ptCount val="3"/>
                <c:pt idx="0">
                  <c:v>10</c:v>
                </c:pt>
                <c:pt idx="1">
                  <c:v>50</c:v>
                </c:pt>
                <c:pt idx="2">
                  <c:v>100</c:v>
                </c:pt>
              </c:numCache>
            </c:numRef>
          </c:cat>
          <c:val>
            <c:numRef>
              <c:f>('Report Tables'!$B$37,'Report Tables'!$D$37,'Report Tables'!$F$37)</c:f>
              <c:numCache>
                <c:formatCode>#,##0.0</c:formatCode>
                <c:ptCount val="3"/>
                <c:pt idx="0">
                  <c:v>14.095594212262061</c:v>
                </c:pt>
                <c:pt idx="1">
                  <c:v>3.5354318802450253</c:v>
                </c:pt>
                <c:pt idx="2" formatCode="0.0">
                  <c:v>1.7383000350521189</c:v>
                </c:pt>
              </c:numCache>
            </c:numRef>
          </c:val>
          <c:extLst>
            <c:ext xmlns:c16="http://schemas.microsoft.com/office/drawing/2014/chart" uri="{C3380CC4-5D6E-409C-BE32-E72D297353CC}">
              <c16:uniqueId val="{00000000-311B-4D5D-9EC6-09C9B757C463}"/>
            </c:ext>
          </c:extLst>
        </c:ser>
        <c:ser>
          <c:idx val="1"/>
          <c:order val="1"/>
          <c:tx>
            <c:strRef>
              <c:f>'Report Tables'!$A$8</c:f>
              <c:strCache>
                <c:ptCount val="1"/>
                <c:pt idx="0">
                  <c:v>Infrastructure</c:v>
                </c:pt>
              </c:strCache>
            </c:strRef>
          </c:tx>
          <c:invertIfNegative val="0"/>
          <c:cat>
            <c:numRef>
              <c:f>'Report Graphs'!$C$2:$E$2</c:f>
              <c:numCache>
                <c:formatCode>General</c:formatCode>
                <c:ptCount val="3"/>
                <c:pt idx="0">
                  <c:v>10</c:v>
                </c:pt>
                <c:pt idx="1">
                  <c:v>50</c:v>
                </c:pt>
                <c:pt idx="2">
                  <c:v>100</c:v>
                </c:pt>
              </c:numCache>
            </c:numRef>
          </c:cat>
          <c:val>
            <c:numRef>
              <c:f>('Report Tables'!$B$38,'Report Tables'!$D$38,'Report Tables'!$F$38)</c:f>
              <c:numCache>
                <c:formatCode>#,##0.0</c:formatCode>
                <c:ptCount val="3"/>
                <c:pt idx="0">
                  <c:v>7.807848098418134</c:v>
                </c:pt>
                <c:pt idx="1">
                  <c:v>2.4310361610136457</c:v>
                </c:pt>
                <c:pt idx="2" formatCode="0.0">
                  <c:v>2.7809434276464584</c:v>
                </c:pt>
              </c:numCache>
            </c:numRef>
          </c:val>
          <c:extLst>
            <c:ext xmlns:c16="http://schemas.microsoft.com/office/drawing/2014/chart" uri="{C3380CC4-5D6E-409C-BE32-E72D297353CC}">
              <c16:uniqueId val="{00000001-311B-4D5D-9EC6-09C9B757C463}"/>
            </c:ext>
          </c:extLst>
        </c:ser>
        <c:ser>
          <c:idx val="3"/>
          <c:order val="2"/>
          <c:tx>
            <c:strRef>
              <c:f>'Report Tables'!$A$9</c:f>
              <c:strCache>
                <c:ptCount val="1"/>
                <c:pt idx="0">
                  <c:v>Mooring/Foundation</c:v>
                </c:pt>
              </c:strCache>
            </c:strRef>
          </c:tx>
          <c:spPr>
            <a:solidFill>
              <a:srgbClr val="FFC000"/>
            </a:solidFill>
          </c:spPr>
          <c:invertIfNegative val="0"/>
          <c:cat>
            <c:numRef>
              <c:f>'Report Graphs'!$C$2:$E$2</c:f>
              <c:numCache>
                <c:formatCode>General</c:formatCode>
                <c:ptCount val="3"/>
                <c:pt idx="0">
                  <c:v>10</c:v>
                </c:pt>
                <c:pt idx="1">
                  <c:v>50</c:v>
                </c:pt>
                <c:pt idx="2">
                  <c:v>100</c:v>
                </c:pt>
              </c:numCache>
            </c:numRef>
          </c:cat>
          <c:val>
            <c:numRef>
              <c:f>('Report Tables'!$B$39,'Report Tables'!$D$39,'Report Tables'!$F$39)</c:f>
              <c:numCache>
                <c:formatCode>#,##0.0</c:formatCode>
                <c:ptCount val="3"/>
                <c:pt idx="0">
                  <c:v>7.5877101589766216</c:v>
                </c:pt>
                <c:pt idx="1">
                  <c:v>7.5877101589766198</c:v>
                </c:pt>
                <c:pt idx="2" formatCode="0.0">
                  <c:v>7.5877101589766198</c:v>
                </c:pt>
              </c:numCache>
            </c:numRef>
          </c:val>
          <c:extLst>
            <c:ext xmlns:c16="http://schemas.microsoft.com/office/drawing/2014/chart" uri="{C3380CC4-5D6E-409C-BE32-E72D297353CC}">
              <c16:uniqueId val="{00000002-311B-4D5D-9EC6-09C9B757C463}"/>
            </c:ext>
          </c:extLst>
        </c:ser>
        <c:ser>
          <c:idx val="4"/>
          <c:order val="3"/>
          <c:tx>
            <c:strRef>
              <c:f>'Report Tables'!$A$10</c:f>
              <c:strCache>
                <c:ptCount val="1"/>
                <c:pt idx="0">
                  <c:v>Device Structural Components</c:v>
                </c:pt>
              </c:strCache>
            </c:strRef>
          </c:tx>
          <c:spPr>
            <a:solidFill>
              <a:srgbClr val="00B050"/>
            </a:solidFill>
          </c:spPr>
          <c:invertIfNegative val="0"/>
          <c:cat>
            <c:numRef>
              <c:f>'Report Graphs'!$C$2:$E$2</c:f>
              <c:numCache>
                <c:formatCode>General</c:formatCode>
                <c:ptCount val="3"/>
                <c:pt idx="0">
                  <c:v>10</c:v>
                </c:pt>
                <c:pt idx="1">
                  <c:v>50</c:v>
                </c:pt>
                <c:pt idx="2">
                  <c:v>100</c:v>
                </c:pt>
              </c:numCache>
            </c:numRef>
          </c:cat>
          <c:val>
            <c:numRef>
              <c:f>('Report Tables'!$B$40,'Report Tables'!$D$40,'Report Tables'!$F$40)</c:f>
              <c:numCache>
                <c:formatCode>#,##0.0</c:formatCode>
                <c:ptCount val="3"/>
                <c:pt idx="0">
                  <c:v>33.214987764945512</c:v>
                </c:pt>
                <c:pt idx="1">
                  <c:v>29.415466550481995</c:v>
                </c:pt>
                <c:pt idx="2" formatCode="0.0">
                  <c:v>28.585935060472888</c:v>
                </c:pt>
              </c:numCache>
            </c:numRef>
          </c:val>
          <c:extLst>
            <c:ext xmlns:c16="http://schemas.microsoft.com/office/drawing/2014/chart" uri="{C3380CC4-5D6E-409C-BE32-E72D297353CC}">
              <c16:uniqueId val="{00000003-311B-4D5D-9EC6-09C9B757C463}"/>
            </c:ext>
          </c:extLst>
        </c:ser>
        <c:ser>
          <c:idx val="5"/>
          <c:order val="4"/>
          <c:tx>
            <c:strRef>
              <c:f>'Report Tables'!$A$11</c:f>
              <c:strCache>
                <c:ptCount val="1"/>
                <c:pt idx="0">
                  <c:v>Power Take Off</c:v>
                </c:pt>
              </c:strCache>
            </c:strRef>
          </c:tx>
          <c:invertIfNegative val="0"/>
          <c:cat>
            <c:numRef>
              <c:f>'Report Graphs'!$C$2:$E$2</c:f>
              <c:numCache>
                <c:formatCode>General</c:formatCode>
                <c:ptCount val="3"/>
                <c:pt idx="0">
                  <c:v>10</c:v>
                </c:pt>
                <c:pt idx="1">
                  <c:v>50</c:v>
                </c:pt>
                <c:pt idx="2">
                  <c:v>100</c:v>
                </c:pt>
              </c:numCache>
            </c:numRef>
          </c:cat>
          <c:val>
            <c:numRef>
              <c:f>('Report Tables'!$B$41,'Report Tables'!$D$41,'Report Tables'!$F$41)</c:f>
              <c:numCache>
                <c:formatCode>#,##0.0</c:formatCode>
                <c:ptCount val="3"/>
                <c:pt idx="0">
                  <c:v>7.9312851533045476</c:v>
                </c:pt>
                <c:pt idx="1">
                  <c:v>6.9674822573451678</c:v>
                </c:pt>
                <c:pt idx="2" formatCode="0.0">
                  <c:v>6.6324777800510972</c:v>
                </c:pt>
              </c:numCache>
            </c:numRef>
          </c:val>
          <c:extLst>
            <c:ext xmlns:c16="http://schemas.microsoft.com/office/drawing/2014/chart" uri="{C3380CC4-5D6E-409C-BE32-E72D297353CC}">
              <c16:uniqueId val="{00000004-311B-4D5D-9EC6-09C9B757C463}"/>
            </c:ext>
          </c:extLst>
        </c:ser>
        <c:ser>
          <c:idx val="2"/>
          <c:order val="5"/>
          <c:tx>
            <c:strRef>
              <c:f>'Report Tables'!$A$12</c:f>
              <c:strCache>
                <c:ptCount val="1"/>
                <c:pt idx="0">
                  <c:v>Subsystem Integration &amp; Profit Margin</c:v>
                </c:pt>
              </c:strCache>
            </c:strRef>
          </c:tx>
          <c:invertIfNegative val="0"/>
          <c:cat>
            <c:numRef>
              <c:f>'Report Graphs'!$C$2:$E$2</c:f>
              <c:numCache>
                <c:formatCode>General</c:formatCode>
                <c:ptCount val="3"/>
                <c:pt idx="0">
                  <c:v>10</c:v>
                </c:pt>
                <c:pt idx="1">
                  <c:v>50</c:v>
                </c:pt>
                <c:pt idx="2">
                  <c:v>100</c:v>
                </c:pt>
              </c:numCache>
            </c:numRef>
          </c:cat>
          <c:val>
            <c:numRef>
              <c:f>('Report Tables'!$B$42,'Report Tables'!$D$42,'Report Tables'!$F$42)</c:f>
              <c:numCache>
                <c:formatCode>#,##0.0</c:formatCode>
                <c:ptCount val="3"/>
                <c:pt idx="0">
                  <c:v>4.1146272918250064</c:v>
                </c:pt>
                <c:pt idx="1">
                  <c:v>3.6382948807827162</c:v>
                </c:pt>
                <c:pt idx="2" formatCode="0.0">
                  <c:v>3.5218412840523987</c:v>
                </c:pt>
              </c:numCache>
            </c:numRef>
          </c:val>
          <c:extLst>
            <c:ext xmlns:c16="http://schemas.microsoft.com/office/drawing/2014/chart" uri="{C3380CC4-5D6E-409C-BE32-E72D297353CC}">
              <c16:uniqueId val="{00000005-311B-4D5D-9EC6-09C9B757C463}"/>
            </c:ext>
          </c:extLst>
        </c:ser>
        <c:ser>
          <c:idx val="6"/>
          <c:order val="6"/>
          <c:tx>
            <c:strRef>
              <c:f>'Report Tables'!$A$13</c:f>
              <c:strCache>
                <c:ptCount val="1"/>
                <c:pt idx="0">
                  <c:v>Installation</c:v>
                </c:pt>
              </c:strCache>
            </c:strRef>
          </c:tx>
          <c:invertIfNegative val="0"/>
          <c:cat>
            <c:numRef>
              <c:f>'Report Graphs'!$C$2:$E$2</c:f>
              <c:numCache>
                <c:formatCode>General</c:formatCode>
                <c:ptCount val="3"/>
                <c:pt idx="0">
                  <c:v>10</c:v>
                </c:pt>
                <c:pt idx="1">
                  <c:v>50</c:v>
                </c:pt>
                <c:pt idx="2">
                  <c:v>100</c:v>
                </c:pt>
              </c:numCache>
            </c:numRef>
          </c:cat>
          <c:val>
            <c:numRef>
              <c:f>('Report Tables'!$B$43,'Report Tables'!$D$43,'Report Tables'!$F$43)</c:f>
              <c:numCache>
                <c:formatCode>#,##0.0</c:formatCode>
                <c:ptCount val="3"/>
                <c:pt idx="0">
                  <c:v>14.590672187754933</c:v>
                </c:pt>
                <c:pt idx="1">
                  <c:v>6.9182114042178782</c:v>
                </c:pt>
                <c:pt idx="2" formatCode="0.0">
                  <c:v>6.0823442984952329</c:v>
                </c:pt>
              </c:numCache>
            </c:numRef>
          </c:val>
          <c:extLst>
            <c:ext xmlns:c16="http://schemas.microsoft.com/office/drawing/2014/chart" uri="{C3380CC4-5D6E-409C-BE32-E72D297353CC}">
              <c16:uniqueId val="{00000006-311B-4D5D-9EC6-09C9B757C463}"/>
            </c:ext>
          </c:extLst>
        </c:ser>
        <c:ser>
          <c:idx val="7"/>
          <c:order val="7"/>
          <c:tx>
            <c:strRef>
              <c:f>'Report Tables'!$A$14</c:f>
              <c:strCache>
                <c:ptCount val="1"/>
                <c:pt idx="0">
                  <c:v>Contingency</c:v>
                </c:pt>
              </c:strCache>
            </c:strRef>
          </c:tx>
          <c:invertIfNegative val="0"/>
          <c:cat>
            <c:numRef>
              <c:f>'Report Graphs'!$C$2:$E$2</c:f>
              <c:numCache>
                <c:formatCode>General</c:formatCode>
                <c:ptCount val="3"/>
                <c:pt idx="0">
                  <c:v>10</c:v>
                </c:pt>
                <c:pt idx="1">
                  <c:v>50</c:v>
                </c:pt>
                <c:pt idx="2">
                  <c:v>100</c:v>
                </c:pt>
              </c:numCache>
            </c:numRef>
          </c:cat>
          <c:val>
            <c:numRef>
              <c:f>('Report Tables'!$B$44,'Report Tables'!$D$44,'Report Tables'!$F$44)</c:f>
              <c:numCache>
                <c:formatCode>#,##0.0</c:formatCode>
                <c:ptCount val="3"/>
                <c:pt idx="0">
                  <c:v>8.9342724867486805</c:v>
                </c:pt>
                <c:pt idx="1">
                  <c:v>6.0493633293063054</c:v>
                </c:pt>
                <c:pt idx="2" formatCode="0.0">
                  <c:v>5.692955204474683</c:v>
                </c:pt>
              </c:numCache>
            </c:numRef>
          </c:val>
          <c:extLst>
            <c:ext xmlns:c16="http://schemas.microsoft.com/office/drawing/2014/chart" uri="{C3380CC4-5D6E-409C-BE32-E72D297353CC}">
              <c16:uniqueId val="{00000007-311B-4D5D-9EC6-09C9B757C463}"/>
            </c:ext>
          </c:extLst>
        </c:ser>
        <c:dLbls>
          <c:showLegendKey val="0"/>
          <c:showVal val="0"/>
          <c:showCatName val="0"/>
          <c:showSerName val="0"/>
          <c:showPercent val="0"/>
          <c:showBubbleSize val="0"/>
        </c:dLbls>
        <c:gapWidth val="150"/>
        <c:overlap val="100"/>
        <c:axId val="175887488"/>
        <c:axId val="175889408"/>
      </c:barChart>
      <c:catAx>
        <c:axId val="175887488"/>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175889408"/>
        <c:crosses val="autoZero"/>
        <c:auto val="1"/>
        <c:lblAlgn val="ctr"/>
        <c:lblOffset val="100"/>
        <c:noMultiLvlLbl val="0"/>
      </c:catAx>
      <c:valAx>
        <c:axId val="175889408"/>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LCoE (cents/kWh)</a:t>
                </a:r>
              </a:p>
            </c:rich>
          </c:tx>
          <c:layout>
            <c:manualLayout>
              <c:xMode val="edge"/>
              <c:yMode val="edge"/>
              <c:x val="1.6838882510524303E-2"/>
              <c:y val="0.32321127075469908"/>
            </c:manualLayout>
          </c:layout>
          <c:overlay val="0"/>
        </c:title>
        <c:numFmt formatCode="#,##0.0" sourceLinked="1"/>
        <c:majorTickMark val="out"/>
        <c:minorTickMark val="none"/>
        <c:tickLblPos val="nextTo"/>
        <c:crossAx val="175887488"/>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Tables'!$A$52</c:f>
              <c:strCache>
                <c:ptCount val="1"/>
                <c:pt idx="0">
                  <c:v>Insurance</c:v>
                </c:pt>
              </c:strCache>
            </c:strRef>
          </c:tx>
          <c:invertIfNegative val="0"/>
          <c:cat>
            <c:numRef>
              <c:f>'Report Graphs'!$B$2:$E$2</c:f>
              <c:numCache>
                <c:formatCode>General</c:formatCode>
                <c:ptCount val="4"/>
                <c:pt idx="0">
                  <c:v>1</c:v>
                </c:pt>
                <c:pt idx="1">
                  <c:v>10</c:v>
                </c:pt>
                <c:pt idx="2">
                  <c:v>50</c:v>
                </c:pt>
                <c:pt idx="3">
                  <c:v>100</c:v>
                </c:pt>
              </c:numCache>
            </c:numRef>
          </c:cat>
          <c:val>
            <c:numRef>
              <c:f>'Report Tables'!$B$52:$E$52</c:f>
              <c:numCache>
                <c:formatCode>"$"#,##0</c:formatCode>
                <c:ptCount val="4"/>
                <c:pt idx="0">
                  <c:v>227</c:v>
                </c:pt>
                <c:pt idx="1">
                  <c:v>937</c:v>
                </c:pt>
                <c:pt idx="2">
                  <c:v>1773</c:v>
                </c:pt>
                <c:pt idx="3">
                  <c:v>1718</c:v>
                </c:pt>
              </c:numCache>
            </c:numRef>
          </c:val>
          <c:extLst>
            <c:ext xmlns:c16="http://schemas.microsoft.com/office/drawing/2014/chart" uri="{C3380CC4-5D6E-409C-BE32-E72D297353CC}">
              <c16:uniqueId val="{00000000-A2E2-4317-84D7-296FC711988C}"/>
            </c:ext>
          </c:extLst>
        </c:ser>
        <c:ser>
          <c:idx val="1"/>
          <c:order val="1"/>
          <c:tx>
            <c:strRef>
              <c:f>'Report Tables'!$A$53</c:f>
              <c:strCache>
                <c:ptCount val="1"/>
                <c:pt idx="0">
                  <c:v>Environmental Monitoring &amp; Regulatory Compliance</c:v>
                </c:pt>
              </c:strCache>
            </c:strRef>
          </c:tx>
          <c:invertIfNegative val="0"/>
          <c:cat>
            <c:numRef>
              <c:f>'Report Graphs'!$B$2:$E$2</c:f>
              <c:numCache>
                <c:formatCode>General</c:formatCode>
                <c:ptCount val="4"/>
                <c:pt idx="0">
                  <c:v>1</c:v>
                </c:pt>
                <c:pt idx="1">
                  <c:v>10</c:v>
                </c:pt>
                <c:pt idx="2">
                  <c:v>50</c:v>
                </c:pt>
                <c:pt idx="3">
                  <c:v>100</c:v>
                </c:pt>
              </c:numCache>
            </c:numRef>
          </c:cat>
          <c:val>
            <c:numRef>
              <c:f>'Report Tables'!$B$53:$E$53</c:f>
              <c:numCache>
                <c:formatCode>"$"#,##0</c:formatCode>
                <c:ptCount val="4"/>
                <c:pt idx="0">
                  <c:v>710</c:v>
                </c:pt>
                <c:pt idx="1">
                  <c:v>1121</c:v>
                </c:pt>
                <c:pt idx="2">
                  <c:v>1121</c:v>
                </c:pt>
                <c:pt idx="3">
                  <c:v>1121</c:v>
                </c:pt>
              </c:numCache>
            </c:numRef>
          </c:val>
          <c:extLst>
            <c:ext xmlns:c16="http://schemas.microsoft.com/office/drawing/2014/chart" uri="{C3380CC4-5D6E-409C-BE32-E72D297353CC}">
              <c16:uniqueId val="{00000001-A2E2-4317-84D7-296FC711988C}"/>
            </c:ext>
          </c:extLst>
        </c:ser>
        <c:ser>
          <c:idx val="3"/>
          <c:order val="2"/>
          <c:tx>
            <c:strRef>
              <c:f>'Report Tables'!$A$54</c:f>
              <c:strCache>
                <c:ptCount val="1"/>
                <c:pt idx="0">
                  <c:v>Marine Operations</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Tables'!$B$54:$E$54</c:f>
              <c:numCache>
                <c:formatCode>"$"#,##0</c:formatCode>
                <c:ptCount val="4"/>
                <c:pt idx="0">
                  <c:v>27</c:v>
                </c:pt>
                <c:pt idx="1">
                  <c:v>266</c:v>
                </c:pt>
                <c:pt idx="2">
                  <c:v>562</c:v>
                </c:pt>
                <c:pt idx="3">
                  <c:v>1125</c:v>
                </c:pt>
              </c:numCache>
            </c:numRef>
          </c:val>
          <c:extLst>
            <c:ext xmlns:c16="http://schemas.microsoft.com/office/drawing/2014/chart" uri="{C3380CC4-5D6E-409C-BE32-E72D297353CC}">
              <c16:uniqueId val="{00000002-A2E2-4317-84D7-296FC711988C}"/>
            </c:ext>
          </c:extLst>
        </c:ser>
        <c:ser>
          <c:idx val="4"/>
          <c:order val="3"/>
          <c:tx>
            <c:strRef>
              <c:f>'Report Tables'!$A$55</c:f>
              <c:strCache>
                <c:ptCount val="1"/>
                <c:pt idx="0">
                  <c:v>Shoreside Operations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Tables'!$B$55:$E$55</c:f>
              <c:numCache>
                <c:formatCode>"$"#,##0</c:formatCode>
                <c:ptCount val="4"/>
                <c:pt idx="0">
                  <c:v>142</c:v>
                </c:pt>
                <c:pt idx="1">
                  <c:v>400</c:v>
                </c:pt>
                <c:pt idx="2">
                  <c:v>455</c:v>
                </c:pt>
                <c:pt idx="3">
                  <c:v>675</c:v>
                </c:pt>
              </c:numCache>
            </c:numRef>
          </c:val>
          <c:extLst>
            <c:ext xmlns:c16="http://schemas.microsoft.com/office/drawing/2014/chart" uri="{C3380CC4-5D6E-409C-BE32-E72D297353CC}">
              <c16:uniqueId val="{00000003-A2E2-4317-84D7-296FC711988C}"/>
            </c:ext>
          </c:extLst>
        </c:ser>
        <c:ser>
          <c:idx val="5"/>
          <c:order val="4"/>
          <c:tx>
            <c:strRef>
              <c:f>'Report Tables'!$A$56</c:f>
              <c:strCache>
                <c:ptCount val="1"/>
                <c:pt idx="0">
                  <c:v>Replacement Parts</c:v>
                </c:pt>
              </c:strCache>
            </c:strRef>
          </c:tx>
          <c:invertIfNegative val="0"/>
          <c:cat>
            <c:numRef>
              <c:f>'Report Graphs'!$B$2:$E$2</c:f>
              <c:numCache>
                <c:formatCode>General</c:formatCode>
                <c:ptCount val="4"/>
                <c:pt idx="0">
                  <c:v>1</c:v>
                </c:pt>
                <c:pt idx="1">
                  <c:v>10</c:v>
                </c:pt>
                <c:pt idx="2">
                  <c:v>50</c:v>
                </c:pt>
                <c:pt idx="3">
                  <c:v>100</c:v>
                </c:pt>
              </c:numCache>
            </c:numRef>
          </c:cat>
          <c:val>
            <c:numRef>
              <c:f>'Report Tables'!$B$56:$E$56</c:f>
              <c:numCache>
                <c:formatCode>"$"#,##0</c:formatCode>
                <c:ptCount val="4"/>
                <c:pt idx="0">
                  <c:v>54</c:v>
                </c:pt>
                <c:pt idx="1">
                  <c:v>491</c:v>
                </c:pt>
                <c:pt idx="2">
                  <c:v>2305</c:v>
                </c:pt>
                <c:pt idx="3">
                  <c:v>3921</c:v>
                </c:pt>
              </c:numCache>
            </c:numRef>
          </c:val>
          <c:extLst>
            <c:ext xmlns:c16="http://schemas.microsoft.com/office/drawing/2014/chart" uri="{C3380CC4-5D6E-409C-BE32-E72D297353CC}">
              <c16:uniqueId val="{00000004-A2E2-4317-84D7-296FC711988C}"/>
            </c:ext>
          </c:extLst>
        </c:ser>
        <c:ser>
          <c:idx val="2"/>
          <c:order val="5"/>
          <c:tx>
            <c:strRef>
              <c:f>'Report Tables'!$A$57</c:f>
              <c:strCache>
                <c:ptCount val="1"/>
                <c:pt idx="0">
                  <c:v>Consumables</c:v>
                </c:pt>
              </c:strCache>
            </c:strRef>
          </c:tx>
          <c:invertIfNegative val="0"/>
          <c:cat>
            <c:numRef>
              <c:f>'Report Graphs'!$B$2:$E$2</c:f>
              <c:numCache>
                <c:formatCode>General</c:formatCode>
                <c:ptCount val="4"/>
                <c:pt idx="0">
                  <c:v>1</c:v>
                </c:pt>
                <c:pt idx="1">
                  <c:v>10</c:v>
                </c:pt>
                <c:pt idx="2">
                  <c:v>50</c:v>
                </c:pt>
                <c:pt idx="3">
                  <c:v>100</c:v>
                </c:pt>
              </c:numCache>
            </c:numRef>
          </c:cat>
          <c:val>
            <c:numRef>
              <c:f>'Report Tables'!$B$57:$E$57</c:f>
              <c:numCache>
                <c:formatCode>"$"#,##0</c:formatCode>
                <c:ptCount val="4"/>
                <c:pt idx="0">
                  <c:v>8</c:v>
                </c:pt>
                <c:pt idx="1">
                  <c:v>80</c:v>
                </c:pt>
                <c:pt idx="2">
                  <c:v>400</c:v>
                </c:pt>
                <c:pt idx="3">
                  <c:v>800</c:v>
                </c:pt>
              </c:numCache>
            </c:numRef>
          </c:val>
          <c:extLst>
            <c:ext xmlns:c16="http://schemas.microsoft.com/office/drawing/2014/chart" uri="{C3380CC4-5D6E-409C-BE32-E72D297353CC}">
              <c16:uniqueId val="{00000005-A2E2-4317-84D7-296FC711988C}"/>
            </c:ext>
          </c:extLst>
        </c:ser>
        <c:dLbls>
          <c:showLegendKey val="0"/>
          <c:showVal val="0"/>
          <c:showCatName val="0"/>
          <c:showSerName val="0"/>
          <c:showPercent val="0"/>
          <c:showBubbleSize val="0"/>
        </c:dLbls>
        <c:gapWidth val="150"/>
        <c:overlap val="100"/>
        <c:axId val="176184320"/>
        <c:axId val="176194688"/>
      </c:barChart>
      <c:catAx>
        <c:axId val="176184320"/>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176194688"/>
        <c:crosses val="autoZero"/>
        <c:auto val="1"/>
        <c:lblAlgn val="ctr"/>
        <c:lblOffset val="100"/>
        <c:noMultiLvlLbl val="0"/>
      </c:catAx>
      <c:valAx>
        <c:axId val="176194688"/>
        <c:scaling>
          <c:orientation val="minMax"/>
          <c:min val="0"/>
        </c:scaling>
        <c:delete val="0"/>
        <c:axPos val="l"/>
        <c:majorGridlines>
          <c:spPr>
            <a:ln>
              <a:solidFill>
                <a:schemeClr val="bg1">
                  <a:lumMod val="85000"/>
                </a:schemeClr>
              </a:solidFill>
            </a:ln>
          </c:spPr>
        </c:majorGridlines>
        <c:title>
          <c:tx>
            <c:strRef>
              <c:f>'Report Tables'!$A$49</c:f>
              <c:strCache>
                <c:ptCount val="1"/>
                <c:pt idx="0">
                  <c:v>Annual Cost in Thousands ($)</c:v>
                </c:pt>
              </c:strCache>
            </c:strRef>
          </c:tx>
          <c:overlay val="0"/>
          <c:txPr>
            <a:bodyPr rot="-5400000" vert="horz"/>
            <a:lstStyle/>
            <a:p>
              <a:pPr>
                <a:defRPr/>
              </a:pPr>
              <a:endParaRPr lang="en-US"/>
            </a:p>
          </c:txPr>
        </c:title>
        <c:numFmt formatCode="&quot;$&quot;#,##0" sourceLinked="1"/>
        <c:majorTickMark val="out"/>
        <c:minorTickMark val="none"/>
        <c:tickLblPos val="nextTo"/>
        <c:crossAx val="176184320"/>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Tables'!$A$52</c:f>
              <c:strCache>
                <c:ptCount val="1"/>
                <c:pt idx="0">
                  <c:v>Insurance</c:v>
                </c:pt>
              </c:strCache>
            </c:strRef>
          </c:tx>
          <c:invertIfNegative val="0"/>
          <c:cat>
            <c:numRef>
              <c:f>'Report Graphs'!$B$2:$E$2</c:f>
              <c:numCache>
                <c:formatCode>General</c:formatCode>
                <c:ptCount val="4"/>
                <c:pt idx="0">
                  <c:v>1</c:v>
                </c:pt>
                <c:pt idx="1">
                  <c:v>10</c:v>
                </c:pt>
                <c:pt idx="2">
                  <c:v>50</c:v>
                </c:pt>
                <c:pt idx="3">
                  <c:v>100</c:v>
                </c:pt>
              </c:numCache>
            </c:numRef>
          </c:cat>
          <c:val>
            <c:numRef>
              <c:f>'Report Tables'!$B$65:$E$65</c:f>
              <c:numCache>
                <c:formatCode>"$"#,##0</c:formatCode>
                <c:ptCount val="4"/>
                <c:pt idx="0">
                  <c:v>790</c:v>
                </c:pt>
                <c:pt idx="1">
                  <c:v>330</c:v>
                </c:pt>
                <c:pt idx="2">
                  <c:v>120</c:v>
                </c:pt>
                <c:pt idx="3">
                  <c:v>60</c:v>
                </c:pt>
              </c:numCache>
            </c:numRef>
          </c:val>
          <c:extLst>
            <c:ext xmlns:c16="http://schemas.microsoft.com/office/drawing/2014/chart" uri="{C3380CC4-5D6E-409C-BE32-E72D297353CC}">
              <c16:uniqueId val="{00000000-906B-4B14-9424-AA6E4B36B1B1}"/>
            </c:ext>
          </c:extLst>
        </c:ser>
        <c:ser>
          <c:idx val="1"/>
          <c:order val="1"/>
          <c:tx>
            <c:strRef>
              <c:f>'Report Tables'!$A$53</c:f>
              <c:strCache>
                <c:ptCount val="1"/>
                <c:pt idx="0">
                  <c:v>Environmental Monitoring &amp; Regulatory Compliance</c:v>
                </c:pt>
              </c:strCache>
            </c:strRef>
          </c:tx>
          <c:invertIfNegative val="0"/>
          <c:cat>
            <c:numRef>
              <c:f>'Report Graphs'!$B$2:$E$2</c:f>
              <c:numCache>
                <c:formatCode>General</c:formatCode>
                <c:ptCount val="4"/>
                <c:pt idx="0">
                  <c:v>1</c:v>
                </c:pt>
                <c:pt idx="1">
                  <c:v>10</c:v>
                </c:pt>
                <c:pt idx="2">
                  <c:v>50</c:v>
                </c:pt>
                <c:pt idx="3">
                  <c:v>100</c:v>
                </c:pt>
              </c:numCache>
            </c:numRef>
          </c:cat>
          <c:val>
            <c:numRef>
              <c:f>'Report Tables'!$B$66:$E$66</c:f>
              <c:numCache>
                <c:formatCode>"$"#,##0</c:formatCode>
                <c:ptCount val="4"/>
                <c:pt idx="0">
                  <c:v>2480</c:v>
                </c:pt>
                <c:pt idx="1">
                  <c:v>390</c:v>
                </c:pt>
                <c:pt idx="2">
                  <c:v>80</c:v>
                </c:pt>
                <c:pt idx="3">
                  <c:v>40</c:v>
                </c:pt>
              </c:numCache>
            </c:numRef>
          </c:val>
          <c:extLst>
            <c:ext xmlns:c16="http://schemas.microsoft.com/office/drawing/2014/chart" uri="{C3380CC4-5D6E-409C-BE32-E72D297353CC}">
              <c16:uniqueId val="{00000001-906B-4B14-9424-AA6E4B36B1B1}"/>
            </c:ext>
          </c:extLst>
        </c:ser>
        <c:ser>
          <c:idx val="3"/>
          <c:order val="2"/>
          <c:tx>
            <c:strRef>
              <c:f>'Report Tables'!$A$54</c:f>
              <c:strCache>
                <c:ptCount val="1"/>
                <c:pt idx="0">
                  <c:v>Marine Operations</c:v>
                </c:pt>
              </c:strCache>
            </c:strRef>
          </c:tx>
          <c:spPr>
            <a:solidFill>
              <a:srgbClr val="FFC000"/>
            </a:solidFill>
          </c:spPr>
          <c:invertIfNegative val="0"/>
          <c:cat>
            <c:numRef>
              <c:f>'Report Graphs'!$B$2:$E$2</c:f>
              <c:numCache>
                <c:formatCode>General</c:formatCode>
                <c:ptCount val="4"/>
                <c:pt idx="0">
                  <c:v>1</c:v>
                </c:pt>
                <c:pt idx="1">
                  <c:v>10</c:v>
                </c:pt>
                <c:pt idx="2">
                  <c:v>50</c:v>
                </c:pt>
                <c:pt idx="3">
                  <c:v>100</c:v>
                </c:pt>
              </c:numCache>
            </c:numRef>
          </c:cat>
          <c:val>
            <c:numRef>
              <c:f>'Report Tables'!$B$67:$E$67</c:f>
              <c:numCache>
                <c:formatCode>"$"#,##0</c:formatCode>
                <c:ptCount val="4"/>
                <c:pt idx="0">
                  <c:v>90</c:v>
                </c:pt>
                <c:pt idx="1">
                  <c:v>90</c:v>
                </c:pt>
                <c:pt idx="2">
                  <c:v>40</c:v>
                </c:pt>
                <c:pt idx="3">
                  <c:v>40</c:v>
                </c:pt>
              </c:numCache>
            </c:numRef>
          </c:val>
          <c:extLst>
            <c:ext xmlns:c16="http://schemas.microsoft.com/office/drawing/2014/chart" uri="{C3380CC4-5D6E-409C-BE32-E72D297353CC}">
              <c16:uniqueId val="{00000002-906B-4B14-9424-AA6E4B36B1B1}"/>
            </c:ext>
          </c:extLst>
        </c:ser>
        <c:ser>
          <c:idx val="4"/>
          <c:order val="3"/>
          <c:tx>
            <c:strRef>
              <c:f>'Report Tables'!$A$55</c:f>
              <c:strCache>
                <c:ptCount val="1"/>
                <c:pt idx="0">
                  <c:v>Shoreside Operations</c:v>
                </c:pt>
              </c:strCache>
            </c:strRef>
          </c:tx>
          <c:spPr>
            <a:solidFill>
              <a:srgbClr val="00B050"/>
            </a:solidFill>
          </c:spPr>
          <c:invertIfNegative val="0"/>
          <c:cat>
            <c:numRef>
              <c:f>'Report Graphs'!$B$2:$E$2</c:f>
              <c:numCache>
                <c:formatCode>General</c:formatCode>
                <c:ptCount val="4"/>
                <c:pt idx="0">
                  <c:v>1</c:v>
                </c:pt>
                <c:pt idx="1">
                  <c:v>10</c:v>
                </c:pt>
                <c:pt idx="2">
                  <c:v>50</c:v>
                </c:pt>
                <c:pt idx="3">
                  <c:v>100</c:v>
                </c:pt>
              </c:numCache>
            </c:numRef>
          </c:cat>
          <c:val>
            <c:numRef>
              <c:f>'Report Tables'!$B$68:$E$68</c:f>
              <c:numCache>
                <c:formatCode>"$"#,##0</c:formatCode>
                <c:ptCount val="4"/>
                <c:pt idx="0">
                  <c:v>490</c:v>
                </c:pt>
                <c:pt idx="1">
                  <c:v>140</c:v>
                </c:pt>
                <c:pt idx="2">
                  <c:v>30</c:v>
                </c:pt>
                <c:pt idx="3">
                  <c:v>20</c:v>
                </c:pt>
              </c:numCache>
            </c:numRef>
          </c:val>
          <c:extLst>
            <c:ext xmlns:c16="http://schemas.microsoft.com/office/drawing/2014/chart" uri="{C3380CC4-5D6E-409C-BE32-E72D297353CC}">
              <c16:uniqueId val="{00000003-906B-4B14-9424-AA6E4B36B1B1}"/>
            </c:ext>
          </c:extLst>
        </c:ser>
        <c:ser>
          <c:idx val="5"/>
          <c:order val="4"/>
          <c:tx>
            <c:strRef>
              <c:f>'Report Tables'!$A$56</c:f>
              <c:strCache>
                <c:ptCount val="1"/>
                <c:pt idx="0">
                  <c:v>Replacement Parts</c:v>
                </c:pt>
              </c:strCache>
            </c:strRef>
          </c:tx>
          <c:invertIfNegative val="0"/>
          <c:cat>
            <c:numRef>
              <c:f>'Report Graphs'!$B$2:$E$2</c:f>
              <c:numCache>
                <c:formatCode>General</c:formatCode>
                <c:ptCount val="4"/>
                <c:pt idx="0">
                  <c:v>1</c:v>
                </c:pt>
                <c:pt idx="1">
                  <c:v>10</c:v>
                </c:pt>
                <c:pt idx="2">
                  <c:v>50</c:v>
                </c:pt>
                <c:pt idx="3">
                  <c:v>100</c:v>
                </c:pt>
              </c:numCache>
            </c:numRef>
          </c:cat>
          <c:val>
            <c:numRef>
              <c:f>'Report Tables'!$B$69:$E$69</c:f>
              <c:numCache>
                <c:formatCode>"$"#,##0</c:formatCode>
                <c:ptCount val="4"/>
                <c:pt idx="0">
                  <c:v>190</c:v>
                </c:pt>
                <c:pt idx="1">
                  <c:v>170</c:v>
                </c:pt>
                <c:pt idx="2">
                  <c:v>160</c:v>
                </c:pt>
                <c:pt idx="3">
                  <c:v>140</c:v>
                </c:pt>
              </c:numCache>
            </c:numRef>
          </c:val>
          <c:extLst>
            <c:ext xmlns:c16="http://schemas.microsoft.com/office/drawing/2014/chart" uri="{C3380CC4-5D6E-409C-BE32-E72D297353CC}">
              <c16:uniqueId val="{00000004-906B-4B14-9424-AA6E4B36B1B1}"/>
            </c:ext>
          </c:extLst>
        </c:ser>
        <c:ser>
          <c:idx val="2"/>
          <c:order val="5"/>
          <c:tx>
            <c:strRef>
              <c:f>'Report Tables'!$A$57</c:f>
              <c:strCache>
                <c:ptCount val="1"/>
                <c:pt idx="0">
                  <c:v>Consumables</c:v>
                </c:pt>
              </c:strCache>
            </c:strRef>
          </c:tx>
          <c:invertIfNegative val="0"/>
          <c:cat>
            <c:numRef>
              <c:f>'Report Graphs'!$B$2:$E$2</c:f>
              <c:numCache>
                <c:formatCode>General</c:formatCode>
                <c:ptCount val="4"/>
                <c:pt idx="0">
                  <c:v>1</c:v>
                </c:pt>
                <c:pt idx="1">
                  <c:v>10</c:v>
                </c:pt>
                <c:pt idx="2">
                  <c:v>50</c:v>
                </c:pt>
                <c:pt idx="3">
                  <c:v>100</c:v>
                </c:pt>
              </c:numCache>
            </c:numRef>
          </c:cat>
          <c:val>
            <c:numRef>
              <c:f>'Report Tables'!$B$70:$E$70</c:f>
              <c:numCache>
                <c:formatCode>"$"#,##0</c:formatCode>
                <c:ptCount val="4"/>
                <c:pt idx="0">
                  <c:v>30</c:v>
                </c:pt>
                <c:pt idx="1">
                  <c:v>30</c:v>
                </c:pt>
                <c:pt idx="2">
                  <c:v>30</c:v>
                </c:pt>
                <c:pt idx="3">
                  <c:v>30</c:v>
                </c:pt>
              </c:numCache>
            </c:numRef>
          </c:val>
          <c:extLst>
            <c:ext xmlns:c16="http://schemas.microsoft.com/office/drawing/2014/chart" uri="{C3380CC4-5D6E-409C-BE32-E72D297353CC}">
              <c16:uniqueId val="{00000005-906B-4B14-9424-AA6E4B36B1B1}"/>
            </c:ext>
          </c:extLst>
        </c:ser>
        <c:dLbls>
          <c:showLegendKey val="0"/>
          <c:showVal val="0"/>
          <c:showCatName val="0"/>
          <c:showSerName val="0"/>
          <c:showPercent val="0"/>
          <c:showBubbleSize val="0"/>
        </c:dLbls>
        <c:gapWidth val="150"/>
        <c:overlap val="100"/>
        <c:axId val="176215168"/>
        <c:axId val="176217088"/>
      </c:barChart>
      <c:catAx>
        <c:axId val="176215168"/>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176217088"/>
        <c:crosses val="autoZero"/>
        <c:auto val="1"/>
        <c:lblAlgn val="ctr"/>
        <c:lblOffset val="100"/>
        <c:noMultiLvlLbl val="0"/>
      </c:catAx>
      <c:valAx>
        <c:axId val="176217088"/>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Opex ($ / kW-yr)</a:t>
                </a:r>
              </a:p>
            </c:rich>
          </c:tx>
          <c:layout>
            <c:manualLayout>
              <c:xMode val="edge"/>
              <c:yMode val="edge"/>
              <c:x val="9.1848450057405284E-3"/>
              <c:y val="0.31372635021380851"/>
            </c:manualLayout>
          </c:layout>
          <c:overlay val="0"/>
        </c:title>
        <c:numFmt formatCode="&quot;$&quot;#,##0" sourceLinked="1"/>
        <c:majorTickMark val="out"/>
        <c:minorTickMark val="none"/>
        <c:tickLblPos val="nextTo"/>
        <c:crossAx val="176215168"/>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Tables'!$A$52</c:f>
              <c:strCache>
                <c:ptCount val="1"/>
                <c:pt idx="0">
                  <c:v>Insurance</c:v>
                </c:pt>
              </c:strCache>
            </c:strRef>
          </c:tx>
          <c:invertIfNegative val="0"/>
          <c:cat>
            <c:numRef>
              <c:f>'Report Graphs'!$C$2:$E$2</c:f>
              <c:numCache>
                <c:formatCode>General</c:formatCode>
                <c:ptCount val="3"/>
                <c:pt idx="0">
                  <c:v>10</c:v>
                </c:pt>
                <c:pt idx="1">
                  <c:v>50</c:v>
                </c:pt>
                <c:pt idx="2">
                  <c:v>100</c:v>
                </c:pt>
              </c:numCache>
            </c:numRef>
          </c:cat>
          <c:val>
            <c:numRef>
              <c:f>('Report Tables'!$B$79,'Report Tables'!$D$79,'Report Tables'!$F$79)</c:f>
              <c:numCache>
                <c:formatCode>0.0</c:formatCode>
                <c:ptCount val="3"/>
                <c:pt idx="0">
                  <c:v>13.368137316315858</c:v>
                </c:pt>
                <c:pt idx="1">
                  <c:v>5.0594956322368301</c:v>
                </c:pt>
                <c:pt idx="2">
                  <c:v>2.4512703311756225</c:v>
                </c:pt>
              </c:numCache>
            </c:numRef>
          </c:val>
          <c:extLst>
            <c:ext xmlns:c16="http://schemas.microsoft.com/office/drawing/2014/chart" uri="{C3380CC4-5D6E-409C-BE32-E72D297353CC}">
              <c16:uniqueId val="{00000000-16C4-4C76-A9DB-61FC3ABC5339}"/>
            </c:ext>
          </c:extLst>
        </c:ser>
        <c:ser>
          <c:idx val="1"/>
          <c:order val="1"/>
          <c:tx>
            <c:strRef>
              <c:f>'Report Tables'!$A$53</c:f>
              <c:strCache>
                <c:ptCount val="1"/>
                <c:pt idx="0">
                  <c:v>Environmental Monitoring &amp; Regulatory Compliance</c:v>
                </c:pt>
              </c:strCache>
            </c:strRef>
          </c:tx>
          <c:invertIfNegative val="0"/>
          <c:cat>
            <c:numRef>
              <c:f>'Report Graphs'!$C$2:$E$2</c:f>
              <c:numCache>
                <c:formatCode>General</c:formatCode>
                <c:ptCount val="3"/>
                <c:pt idx="0">
                  <c:v>10</c:v>
                </c:pt>
                <c:pt idx="1">
                  <c:v>50</c:v>
                </c:pt>
                <c:pt idx="2">
                  <c:v>100</c:v>
                </c:pt>
              </c:numCache>
            </c:numRef>
          </c:cat>
          <c:val>
            <c:numRef>
              <c:f>('Report Tables'!$B$80,'Report Tables'!$D$80,'Report Tables'!$F$80)</c:f>
              <c:numCache>
                <c:formatCode>0.0</c:formatCode>
                <c:ptCount val="3"/>
                <c:pt idx="0">
                  <c:v>15.997482995784392</c:v>
                </c:pt>
                <c:pt idx="1">
                  <c:v>3.1994965991568778</c:v>
                </c:pt>
                <c:pt idx="2">
                  <c:v>1.5997482995784389</c:v>
                </c:pt>
              </c:numCache>
            </c:numRef>
          </c:val>
          <c:extLst>
            <c:ext xmlns:c16="http://schemas.microsoft.com/office/drawing/2014/chart" uri="{C3380CC4-5D6E-409C-BE32-E72D297353CC}">
              <c16:uniqueId val="{00000001-16C4-4C76-A9DB-61FC3ABC5339}"/>
            </c:ext>
          </c:extLst>
        </c:ser>
        <c:ser>
          <c:idx val="3"/>
          <c:order val="2"/>
          <c:tx>
            <c:strRef>
              <c:f>'Report Tables'!$A$54</c:f>
              <c:strCache>
                <c:ptCount val="1"/>
                <c:pt idx="0">
                  <c:v>Marine Operations</c:v>
                </c:pt>
              </c:strCache>
            </c:strRef>
          </c:tx>
          <c:spPr>
            <a:solidFill>
              <a:srgbClr val="FFC000"/>
            </a:solidFill>
          </c:spPr>
          <c:invertIfNegative val="0"/>
          <c:cat>
            <c:numRef>
              <c:f>'Report Graphs'!$C$2:$E$2</c:f>
              <c:numCache>
                <c:formatCode>General</c:formatCode>
                <c:ptCount val="3"/>
                <c:pt idx="0">
                  <c:v>10</c:v>
                </c:pt>
                <c:pt idx="1">
                  <c:v>50</c:v>
                </c:pt>
                <c:pt idx="2">
                  <c:v>100</c:v>
                </c:pt>
              </c:numCache>
            </c:numRef>
          </c:cat>
          <c:val>
            <c:numRef>
              <c:f>('Report Tables'!$B$81,'Report Tables'!$D$81,'Report Tables'!$F$81)</c:f>
              <c:numCache>
                <c:formatCode>0.0</c:formatCode>
                <c:ptCount val="3"/>
                <c:pt idx="0">
                  <c:v>3.7915889894290409</c:v>
                </c:pt>
                <c:pt idx="1">
                  <c:v>1.6049428435663653</c:v>
                </c:pt>
                <c:pt idx="2">
                  <c:v>1.6049428435663653</c:v>
                </c:pt>
              </c:numCache>
            </c:numRef>
          </c:val>
          <c:extLst>
            <c:ext xmlns:c16="http://schemas.microsoft.com/office/drawing/2014/chart" uri="{C3380CC4-5D6E-409C-BE32-E72D297353CC}">
              <c16:uniqueId val="{00000002-16C4-4C76-A9DB-61FC3ABC5339}"/>
            </c:ext>
          </c:extLst>
        </c:ser>
        <c:ser>
          <c:idx val="4"/>
          <c:order val="3"/>
          <c:tx>
            <c:strRef>
              <c:f>'Report Tables'!$A$55</c:f>
              <c:strCache>
                <c:ptCount val="1"/>
                <c:pt idx="0">
                  <c:v>Shoreside Operations</c:v>
                </c:pt>
              </c:strCache>
            </c:strRef>
          </c:tx>
          <c:spPr>
            <a:solidFill>
              <a:srgbClr val="00B050"/>
            </a:solidFill>
          </c:spPr>
          <c:invertIfNegative val="0"/>
          <c:cat>
            <c:numRef>
              <c:f>'Report Graphs'!$C$2:$E$2</c:f>
              <c:numCache>
                <c:formatCode>General</c:formatCode>
                <c:ptCount val="3"/>
                <c:pt idx="0">
                  <c:v>10</c:v>
                </c:pt>
                <c:pt idx="1">
                  <c:v>50</c:v>
                </c:pt>
                <c:pt idx="2">
                  <c:v>100</c:v>
                </c:pt>
              </c:numCache>
            </c:numRef>
          </c:cat>
          <c:val>
            <c:numRef>
              <c:f>('Report Tables'!$B$82,'Report Tables'!$D$82,'Report Tables'!$F$82)</c:f>
              <c:numCache>
                <c:formatCode>0.0</c:formatCode>
                <c:ptCount val="3"/>
                <c:pt idx="0">
                  <c:v>5.7073767702069818</c:v>
                </c:pt>
                <c:pt idx="1">
                  <c:v>1.2977569203067254</c:v>
                </c:pt>
                <c:pt idx="2">
                  <c:v>0.96275164526119583</c:v>
                </c:pt>
              </c:numCache>
            </c:numRef>
          </c:val>
          <c:extLst>
            <c:ext xmlns:c16="http://schemas.microsoft.com/office/drawing/2014/chart" uri="{C3380CC4-5D6E-409C-BE32-E72D297353CC}">
              <c16:uniqueId val="{00000003-16C4-4C76-A9DB-61FC3ABC5339}"/>
            </c:ext>
          </c:extLst>
        </c:ser>
        <c:ser>
          <c:idx val="5"/>
          <c:order val="4"/>
          <c:tx>
            <c:strRef>
              <c:f>'Report Tables'!$A$56</c:f>
              <c:strCache>
                <c:ptCount val="1"/>
                <c:pt idx="0">
                  <c:v>Replacement Parts</c:v>
                </c:pt>
              </c:strCache>
            </c:strRef>
          </c:tx>
          <c:invertIfNegative val="0"/>
          <c:cat>
            <c:numRef>
              <c:f>'Report Graphs'!$C$2:$E$2</c:f>
              <c:numCache>
                <c:formatCode>General</c:formatCode>
                <c:ptCount val="3"/>
                <c:pt idx="0">
                  <c:v>10</c:v>
                </c:pt>
                <c:pt idx="1">
                  <c:v>50</c:v>
                </c:pt>
                <c:pt idx="2">
                  <c:v>100</c:v>
                </c:pt>
              </c:numCache>
            </c:numRef>
          </c:cat>
          <c:val>
            <c:numRef>
              <c:f>('Report Tables'!$B$83,'Report Tables'!$D$83,'Report Tables'!$F$83)</c:f>
              <c:numCache>
                <c:formatCode>0.0</c:formatCode>
                <c:ptCount val="3"/>
                <c:pt idx="0">
                  <c:v>7.0114073021206185</c:v>
                </c:pt>
                <c:pt idx="1">
                  <c:v>6.5796693047091832</c:v>
                </c:pt>
                <c:pt idx="2">
                  <c:v>5.5953728404413763</c:v>
                </c:pt>
              </c:numCache>
            </c:numRef>
          </c:val>
          <c:extLst>
            <c:ext xmlns:c16="http://schemas.microsoft.com/office/drawing/2014/chart" uri="{C3380CC4-5D6E-409C-BE32-E72D297353CC}">
              <c16:uniqueId val="{00000004-16C4-4C76-A9DB-61FC3ABC5339}"/>
            </c:ext>
          </c:extLst>
        </c:ser>
        <c:ser>
          <c:idx val="2"/>
          <c:order val="5"/>
          <c:tx>
            <c:strRef>
              <c:f>'Report Tables'!$A$57</c:f>
              <c:strCache>
                <c:ptCount val="1"/>
                <c:pt idx="0">
                  <c:v>Consumables</c:v>
                </c:pt>
              </c:strCache>
            </c:strRef>
          </c:tx>
          <c:invertIfNegative val="0"/>
          <c:cat>
            <c:numRef>
              <c:f>'Report Graphs'!$C$2:$E$2</c:f>
              <c:numCache>
                <c:formatCode>General</c:formatCode>
                <c:ptCount val="3"/>
                <c:pt idx="0">
                  <c:v>10</c:v>
                </c:pt>
                <c:pt idx="1">
                  <c:v>50</c:v>
                </c:pt>
                <c:pt idx="2">
                  <c:v>100</c:v>
                </c:pt>
              </c:numCache>
            </c:numRef>
          </c:cat>
          <c:val>
            <c:numRef>
              <c:f>('Report Tables'!$B$84,'Report Tables'!$D$84,'Report Tables'!$F$84)</c:f>
              <c:numCache>
                <c:formatCode>0.0</c:formatCode>
                <c:ptCount val="3"/>
                <c:pt idx="0">
                  <c:v>1.1416580193244883</c:v>
                </c:pt>
                <c:pt idx="1">
                  <c:v>1.1416580193244881</c:v>
                </c:pt>
                <c:pt idx="2">
                  <c:v>1.1416580193244881</c:v>
                </c:pt>
              </c:numCache>
            </c:numRef>
          </c:val>
          <c:extLst>
            <c:ext xmlns:c16="http://schemas.microsoft.com/office/drawing/2014/chart" uri="{C3380CC4-5D6E-409C-BE32-E72D297353CC}">
              <c16:uniqueId val="{00000005-16C4-4C76-A9DB-61FC3ABC5339}"/>
            </c:ext>
          </c:extLst>
        </c:ser>
        <c:dLbls>
          <c:showLegendKey val="0"/>
          <c:showVal val="0"/>
          <c:showCatName val="0"/>
          <c:showSerName val="0"/>
          <c:showPercent val="0"/>
          <c:showBubbleSize val="0"/>
        </c:dLbls>
        <c:gapWidth val="150"/>
        <c:overlap val="100"/>
        <c:axId val="378676736"/>
        <c:axId val="378678656"/>
      </c:barChart>
      <c:catAx>
        <c:axId val="378676736"/>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overlay val="0"/>
        </c:title>
        <c:numFmt formatCode="0" sourceLinked="0"/>
        <c:majorTickMark val="out"/>
        <c:minorTickMark val="none"/>
        <c:tickLblPos val="nextTo"/>
        <c:crossAx val="378678656"/>
        <c:crosses val="autoZero"/>
        <c:auto val="1"/>
        <c:lblAlgn val="ctr"/>
        <c:lblOffset val="100"/>
        <c:noMultiLvlLbl val="0"/>
      </c:catAx>
      <c:valAx>
        <c:axId val="378678656"/>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LCoE (cents/kWh)</a:t>
                </a:r>
              </a:p>
            </c:rich>
          </c:tx>
          <c:layout>
            <c:manualLayout>
              <c:xMode val="edge"/>
              <c:yMode val="edge"/>
              <c:x val="9.1848450057405284E-3"/>
              <c:y val="0.31372635021380851"/>
            </c:manualLayout>
          </c:layout>
          <c:overlay val="0"/>
        </c:title>
        <c:numFmt formatCode="0.0" sourceLinked="1"/>
        <c:majorTickMark val="out"/>
        <c:minorTickMark val="none"/>
        <c:tickLblPos val="nextTo"/>
        <c:crossAx val="378676736"/>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006862006326881E-2"/>
          <c:y val="3.7855439125480686E-2"/>
          <c:w val="0.85855879665527246"/>
          <c:h val="0.81786333241008191"/>
        </c:manualLayout>
      </c:layout>
      <c:scatterChart>
        <c:scatterStyle val="smoothMarker"/>
        <c:varyColors val="0"/>
        <c:ser>
          <c:idx val="0"/>
          <c:order val="0"/>
          <c:spPr>
            <a:ln w="31750">
              <a:solidFill>
                <a:srgbClr val="0070C0"/>
              </a:solidFill>
              <a:prstDash val="solid"/>
            </a:ln>
          </c:spPr>
          <c:marker>
            <c:symbol val="none"/>
          </c:marker>
          <c:xVal>
            <c:numRef>
              <c:f>'Report Graphs'!$B$204:$U$204</c:f>
              <c:numCache>
                <c:formatCode>General</c:formatCode>
                <c:ptCount val="20"/>
                <c:pt idx="0" formatCode="#,##0.0">
                  <c:v>36.560460667048353</c:v>
                </c:pt>
                <c:pt idx="1">
                  <c:v>43.907130154404705</c:v>
                </c:pt>
                <c:pt idx="2">
                  <c:v>51.253799641761056</c:v>
                </c:pt>
                <c:pt idx="3">
                  <c:v>58.600469129117407</c:v>
                </c:pt>
                <c:pt idx="4">
                  <c:v>65.947138616473751</c:v>
                </c:pt>
                <c:pt idx="5">
                  <c:v>73.293808103830102</c:v>
                </c:pt>
                <c:pt idx="6">
                  <c:v>80.640477591186453</c:v>
                </c:pt>
                <c:pt idx="7">
                  <c:v>87.987147078542804</c:v>
                </c:pt>
                <c:pt idx="8">
                  <c:v>95.333816565899156</c:v>
                </c:pt>
                <c:pt idx="9">
                  <c:v>102.68048605325551</c:v>
                </c:pt>
                <c:pt idx="10">
                  <c:v>110.02715554061186</c:v>
                </c:pt>
                <c:pt idx="11">
                  <c:v>117.37382502796821</c:v>
                </c:pt>
                <c:pt idx="12">
                  <c:v>124.72049451532456</c:v>
                </c:pt>
                <c:pt idx="13">
                  <c:v>132.0671640026809</c:v>
                </c:pt>
                <c:pt idx="14">
                  <c:v>139.41383349003723</c:v>
                </c:pt>
                <c:pt idx="15">
                  <c:v>146.76050297739357</c:v>
                </c:pt>
                <c:pt idx="16">
                  <c:v>154.10717246474991</c:v>
                </c:pt>
                <c:pt idx="17">
                  <c:v>161.45384195210625</c:v>
                </c:pt>
                <c:pt idx="18">
                  <c:v>168.80051143946258</c:v>
                </c:pt>
                <c:pt idx="19">
                  <c:v>176.14718092681898</c:v>
                </c:pt>
              </c:numCache>
            </c:numRef>
          </c:xVal>
          <c:yVal>
            <c:numRef>
              <c:f>'Report Graphs'!$B$205:$U$205</c:f>
              <c:numCache>
                <c:formatCode>0%</c:formatCode>
                <c:ptCount val="20"/>
                <c:pt idx="0">
                  <c:v>0</c:v>
                </c:pt>
                <c:pt idx="1">
                  <c:v>0</c:v>
                </c:pt>
                <c:pt idx="2">
                  <c:v>3.5200000000000002E-2</c:v>
                </c:pt>
                <c:pt idx="3">
                  <c:v>0.16919999999999999</c:v>
                </c:pt>
                <c:pt idx="4">
                  <c:v>0.35659999999999997</c:v>
                </c:pt>
                <c:pt idx="5">
                  <c:v>0.55179999999999996</c:v>
                </c:pt>
                <c:pt idx="6">
                  <c:v>0.70179999999999998</c:v>
                </c:pt>
                <c:pt idx="7">
                  <c:v>0.80400000000000005</c:v>
                </c:pt>
                <c:pt idx="8">
                  <c:v>0.87539999999999996</c:v>
                </c:pt>
                <c:pt idx="9">
                  <c:v>0.92259999999999998</c:v>
                </c:pt>
                <c:pt idx="10">
                  <c:v>0.95299999999999996</c:v>
                </c:pt>
                <c:pt idx="11">
                  <c:v>0.97319999999999995</c:v>
                </c:pt>
                <c:pt idx="12">
                  <c:v>0.98540000000000005</c:v>
                </c:pt>
                <c:pt idx="13">
                  <c:v>0.99539999999999995</c:v>
                </c:pt>
                <c:pt idx="14">
                  <c:v>0.99860000000000004</c:v>
                </c:pt>
                <c:pt idx="15">
                  <c:v>1</c:v>
                </c:pt>
                <c:pt idx="16">
                  <c:v>1</c:v>
                </c:pt>
                <c:pt idx="17">
                  <c:v>1</c:v>
                </c:pt>
                <c:pt idx="18">
                  <c:v>1</c:v>
                </c:pt>
                <c:pt idx="19">
                  <c:v>1</c:v>
                </c:pt>
              </c:numCache>
            </c:numRef>
          </c:yVal>
          <c:smooth val="1"/>
          <c:extLst>
            <c:ext xmlns:c16="http://schemas.microsoft.com/office/drawing/2014/chart" uri="{C3380CC4-5D6E-409C-BE32-E72D297353CC}">
              <c16:uniqueId val="{00000000-7C78-4088-B019-3BDF4399E9CC}"/>
            </c:ext>
          </c:extLst>
        </c:ser>
        <c:ser>
          <c:idx val="1"/>
          <c:order val="1"/>
          <c:spPr>
            <a:ln>
              <a:prstDash val="dash"/>
            </a:ln>
          </c:spPr>
          <c:marker>
            <c:symbol val="none"/>
          </c:marker>
          <c:xVal>
            <c:numRef>
              <c:f>('Report Graphs'!$B$209,'Report Graphs'!$B$209)</c:f>
              <c:numCache>
                <c:formatCode>#,##0.00</c:formatCode>
                <c:ptCount val="2"/>
                <c:pt idx="0">
                  <c:v>54.806514739990234</c:v>
                </c:pt>
                <c:pt idx="1">
                  <c:v>54.806514739990234</c:v>
                </c:pt>
              </c:numCache>
            </c:numRef>
          </c:xVal>
          <c:yVal>
            <c:numRef>
              <c:f>('Report Graphs'!$B$205,'Report Graphs'!$U$205)</c:f>
              <c:numCache>
                <c:formatCode>0%</c:formatCode>
                <c:ptCount val="2"/>
                <c:pt idx="0">
                  <c:v>0</c:v>
                </c:pt>
                <c:pt idx="1">
                  <c:v>1</c:v>
                </c:pt>
              </c:numCache>
            </c:numRef>
          </c:yVal>
          <c:smooth val="1"/>
          <c:extLst>
            <c:ext xmlns:c16="http://schemas.microsoft.com/office/drawing/2014/chart" uri="{C3380CC4-5D6E-409C-BE32-E72D297353CC}">
              <c16:uniqueId val="{00000001-7C78-4088-B019-3BDF4399E9CC}"/>
            </c:ext>
          </c:extLst>
        </c:ser>
        <c:ser>
          <c:idx val="2"/>
          <c:order val="2"/>
          <c:spPr>
            <a:ln>
              <a:prstDash val="dash"/>
            </a:ln>
          </c:spPr>
          <c:marker>
            <c:symbol val="none"/>
          </c:marker>
          <c:xVal>
            <c:numRef>
              <c:f>('Report Graphs'!$B$211,'Report Graphs'!$B$211)</c:f>
              <c:numCache>
                <c:formatCode>#,##0.00</c:formatCode>
                <c:ptCount val="2"/>
                <c:pt idx="0">
                  <c:v>99.162803649902344</c:v>
                </c:pt>
                <c:pt idx="1">
                  <c:v>99.162803649902344</c:v>
                </c:pt>
              </c:numCache>
            </c:numRef>
          </c:xVal>
          <c:yVal>
            <c:numRef>
              <c:f>('Report Graphs'!$B$205,'Report Graphs'!$U$205)</c:f>
              <c:numCache>
                <c:formatCode>0%</c:formatCode>
                <c:ptCount val="2"/>
                <c:pt idx="0">
                  <c:v>0</c:v>
                </c:pt>
                <c:pt idx="1">
                  <c:v>1</c:v>
                </c:pt>
              </c:numCache>
            </c:numRef>
          </c:yVal>
          <c:smooth val="1"/>
          <c:extLst>
            <c:ext xmlns:c16="http://schemas.microsoft.com/office/drawing/2014/chart" uri="{C3380CC4-5D6E-409C-BE32-E72D297353CC}">
              <c16:uniqueId val="{00000002-7C78-4088-B019-3BDF4399E9CC}"/>
            </c:ext>
          </c:extLst>
        </c:ser>
        <c:dLbls>
          <c:showLegendKey val="0"/>
          <c:showVal val="0"/>
          <c:showCatName val="0"/>
          <c:showSerName val="0"/>
          <c:showPercent val="0"/>
          <c:showBubbleSize val="0"/>
        </c:dLbls>
        <c:axId val="149161472"/>
        <c:axId val="149163392"/>
      </c:scatterChart>
      <c:valAx>
        <c:axId val="149161472"/>
        <c:scaling>
          <c:orientation val="minMax"/>
          <c:min val="10"/>
        </c:scaling>
        <c:delete val="0"/>
        <c:axPos val="b"/>
        <c:majorGridlines>
          <c:spPr>
            <a:ln>
              <a:solidFill>
                <a:schemeClr val="bg1">
                  <a:lumMod val="85000"/>
                </a:schemeClr>
              </a:solidFill>
            </a:ln>
          </c:spPr>
        </c:majorGridlines>
        <c:title>
          <c:tx>
            <c:rich>
              <a:bodyPr/>
              <a:lstStyle/>
              <a:p>
                <a:pPr>
                  <a:defRPr/>
                </a:pPr>
                <a:r>
                  <a:rPr lang="en-US"/>
                  <a:t>Cost of Electricity (cents / kWh)</a:t>
                </a:r>
              </a:p>
            </c:rich>
          </c:tx>
          <c:overlay val="0"/>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9163392"/>
        <c:crosses val="autoZero"/>
        <c:crossBetween val="midCat"/>
      </c:valAx>
      <c:valAx>
        <c:axId val="149163392"/>
        <c:scaling>
          <c:orientation val="minMax"/>
          <c:max val="1"/>
          <c:min val="0"/>
        </c:scaling>
        <c:delete val="0"/>
        <c:axPos val="l"/>
        <c:majorGridlines>
          <c:spPr>
            <a:ln>
              <a:solidFill>
                <a:schemeClr val="bg1">
                  <a:lumMod val="85000"/>
                </a:schemeClr>
              </a:solidFill>
            </a:ln>
          </c:spPr>
        </c:majorGridlines>
        <c:title>
          <c:tx>
            <c:rich>
              <a:bodyPr rot="-5400000" vert="horz"/>
              <a:lstStyle/>
              <a:p>
                <a:pPr>
                  <a:defRPr/>
                </a:pPr>
                <a:r>
                  <a:rPr lang="en-US"/>
                  <a:t>Cumulative Probability</a:t>
                </a:r>
              </a:p>
            </c:rich>
          </c:tx>
          <c:layout>
            <c:manualLayout>
              <c:xMode val="edge"/>
              <c:yMode val="edge"/>
              <c:x val="1.4563033989683331E-2"/>
              <c:y val="0.26342025086060222"/>
            </c:manualLayout>
          </c:layout>
          <c:overlay val="0"/>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9161472"/>
        <c:crosses val="autoZero"/>
        <c:crossBetween val="midCat"/>
      </c:valAx>
      <c:spPr>
        <a:solidFill>
          <a:srgbClr val="FFFFFF"/>
        </a:solidFill>
        <a:ln w="3175">
          <a:solidFill>
            <a:srgbClr val="000000"/>
          </a:solidFill>
          <a:prstDash val="solid"/>
        </a:ln>
      </c:spPr>
    </c:plotArea>
    <c:plotVisOnly val="1"/>
    <c:dispBlanksAs val="gap"/>
    <c:showDLblsOverMax val="0"/>
  </c:chart>
  <c:spPr>
    <a:solidFill>
      <a:schemeClr val="bg1"/>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'Report Tables'!$A$92</c:f>
              <c:strCache>
                <c:ptCount val="1"/>
                <c:pt idx="0">
                  <c:v>Device</c:v>
                </c:pt>
              </c:strCache>
            </c:strRef>
          </c:tx>
          <c:invertIfNegative val="0"/>
          <c:cat>
            <c:numRef>
              <c:f>'Report Graphs'!$C$2:$E$2</c:f>
              <c:numCache>
                <c:formatCode>General</c:formatCode>
                <c:ptCount val="3"/>
                <c:pt idx="0">
                  <c:v>10</c:v>
                </c:pt>
                <c:pt idx="1">
                  <c:v>50</c:v>
                </c:pt>
                <c:pt idx="2">
                  <c:v>100</c:v>
                </c:pt>
              </c:numCache>
            </c:numRef>
          </c:cat>
          <c:val>
            <c:numRef>
              <c:f>('Report Tables'!$B$92,'Report Tables'!$D$92,'Report Tables'!$F$92)</c:f>
              <c:numCache>
                <c:formatCode>0.0</c:formatCode>
                <c:ptCount val="3"/>
                <c:pt idx="0">
                  <c:v>52.848610369051691</c:v>
                </c:pt>
                <c:pt idx="1">
                  <c:v>47.608953847586498</c:v>
                </c:pt>
                <c:pt idx="2">
                  <c:v>46.327964283553008</c:v>
                </c:pt>
              </c:numCache>
            </c:numRef>
          </c:val>
          <c:extLst>
            <c:ext xmlns:c16="http://schemas.microsoft.com/office/drawing/2014/chart" uri="{C3380CC4-5D6E-409C-BE32-E72D297353CC}">
              <c16:uniqueId val="{00000000-CF6A-4801-8BC3-72A27E2E14FD}"/>
            </c:ext>
          </c:extLst>
        </c:ser>
        <c:ser>
          <c:idx val="1"/>
          <c:order val="1"/>
          <c:tx>
            <c:strRef>
              <c:f>'Report Tables'!$A$93</c:f>
              <c:strCache>
                <c:ptCount val="1"/>
                <c:pt idx="0">
                  <c:v>Infrastructure</c:v>
                </c:pt>
              </c:strCache>
            </c:strRef>
          </c:tx>
          <c:invertIfNegative val="0"/>
          <c:cat>
            <c:numRef>
              <c:f>'Report Graphs'!$C$2:$E$2</c:f>
              <c:numCache>
                <c:formatCode>General</c:formatCode>
                <c:ptCount val="3"/>
                <c:pt idx="0">
                  <c:v>10</c:v>
                </c:pt>
                <c:pt idx="1">
                  <c:v>50</c:v>
                </c:pt>
                <c:pt idx="2">
                  <c:v>100</c:v>
                </c:pt>
              </c:numCache>
            </c:numRef>
          </c:cat>
          <c:val>
            <c:numRef>
              <c:f>('Report Tables'!$B$93,'Report Tables'!$D$93,'Report Tables'!$F$93)</c:f>
              <c:numCache>
                <c:formatCode>0.0</c:formatCode>
                <c:ptCount val="3"/>
                <c:pt idx="0">
                  <c:v>7.807848098418134</c:v>
                </c:pt>
                <c:pt idx="1">
                  <c:v>2.4310361610136457</c:v>
                </c:pt>
                <c:pt idx="2">
                  <c:v>2.7809434276464584</c:v>
                </c:pt>
              </c:numCache>
            </c:numRef>
          </c:val>
          <c:extLst>
            <c:ext xmlns:c16="http://schemas.microsoft.com/office/drawing/2014/chart" uri="{C3380CC4-5D6E-409C-BE32-E72D297353CC}">
              <c16:uniqueId val="{00000001-CF6A-4801-8BC3-72A27E2E14FD}"/>
            </c:ext>
          </c:extLst>
        </c:ser>
        <c:ser>
          <c:idx val="3"/>
          <c:order val="2"/>
          <c:tx>
            <c:strRef>
              <c:f>'Report Tables'!$A$94</c:f>
              <c:strCache>
                <c:ptCount val="1"/>
                <c:pt idx="0">
                  <c:v>Development</c:v>
                </c:pt>
              </c:strCache>
            </c:strRef>
          </c:tx>
          <c:spPr>
            <a:solidFill>
              <a:srgbClr val="FFC000"/>
            </a:solidFill>
          </c:spPr>
          <c:invertIfNegative val="0"/>
          <c:cat>
            <c:numRef>
              <c:f>'Report Graphs'!$C$2:$E$2</c:f>
              <c:numCache>
                <c:formatCode>General</c:formatCode>
                <c:ptCount val="3"/>
                <c:pt idx="0">
                  <c:v>10</c:v>
                </c:pt>
                <c:pt idx="1">
                  <c:v>50</c:v>
                </c:pt>
                <c:pt idx="2">
                  <c:v>100</c:v>
                </c:pt>
              </c:numCache>
            </c:numRef>
          </c:cat>
          <c:val>
            <c:numRef>
              <c:f>('Report Tables'!$B$94,'Report Tables'!$D$94,'Report Tables'!$F$94)</c:f>
              <c:numCache>
                <c:formatCode>0.0</c:formatCode>
                <c:ptCount val="3"/>
                <c:pt idx="0">
                  <c:v>14.095594212262061</c:v>
                </c:pt>
                <c:pt idx="1">
                  <c:v>3.5354318802450253</c:v>
                </c:pt>
                <c:pt idx="2">
                  <c:v>1.7383000350521189</c:v>
                </c:pt>
              </c:numCache>
            </c:numRef>
          </c:val>
          <c:extLst>
            <c:ext xmlns:c16="http://schemas.microsoft.com/office/drawing/2014/chart" uri="{C3380CC4-5D6E-409C-BE32-E72D297353CC}">
              <c16:uniqueId val="{00000002-CF6A-4801-8BC3-72A27E2E14FD}"/>
            </c:ext>
          </c:extLst>
        </c:ser>
        <c:ser>
          <c:idx val="4"/>
          <c:order val="3"/>
          <c:tx>
            <c:strRef>
              <c:f>'Report Tables'!$A$95</c:f>
              <c:strCache>
                <c:ptCount val="1"/>
                <c:pt idx="0">
                  <c:v>Installation</c:v>
                </c:pt>
              </c:strCache>
            </c:strRef>
          </c:tx>
          <c:spPr>
            <a:solidFill>
              <a:srgbClr val="00B050"/>
            </a:solidFill>
          </c:spPr>
          <c:invertIfNegative val="0"/>
          <c:cat>
            <c:numRef>
              <c:f>'Report Graphs'!$C$2:$E$2</c:f>
              <c:numCache>
                <c:formatCode>General</c:formatCode>
                <c:ptCount val="3"/>
                <c:pt idx="0">
                  <c:v>10</c:v>
                </c:pt>
                <c:pt idx="1">
                  <c:v>50</c:v>
                </c:pt>
                <c:pt idx="2">
                  <c:v>100</c:v>
                </c:pt>
              </c:numCache>
            </c:numRef>
          </c:cat>
          <c:val>
            <c:numRef>
              <c:f>('Report Tables'!$B$95,'Report Tables'!$D$95,'Report Tables'!$F$95)</c:f>
              <c:numCache>
                <c:formatCode>0.0</c:formatCode>
                <c:ptCount val="3"/>
                <c:pt idx="0">
                  <c:v>14.590672187754933</c:v>
                </c:pt>
                <c:pt idx="1">
                  <c:v>6.9182114042178782</c:v>
                </c:pt>
                <c:pt idx="2">
                  <c:v>6.0823442984952329</c:v>
                </c:pt>
              </c:numCache>
            </c:numRef>
          </c:val>
          <c:extLst>
            <c:ext xmlns:c16="http://schemas.microsoft.com/office/drawing/2014/chart" uri="{C3380CC4-5D6E-409C-BE32-E72D297353CC}">
              <c16:uniqueId val="{00000003-CF6A-4801-8BC3-72A27E2E14FD}"/>
            </c:ext>
          </c:extLst>
        </c:ser>
        <c:ser>
          <c:idx val="5"/>
          <c:order val="4"/>
          <c:tx>
            <c:strRef>
              <c:f>'Report Tables'!$A$96</c:f>
              <c:strCache>
                <c:ptCount val="1"/>
                <c:pt idx="0">
                  <c:v>Contingency</c:v>
                </c:pt>
              </c:strCache>
            </c:strRef>
          </c:tx>
          <c:invertIfNegative val="0"/>
          <c:cat>
            <c:numRef>
              <c:f>'Report Graphs'!$C$2:$E$2</c:f>
              <c:numCache>
                <c:formatCode>General</c:formatCode>
                <c:ptCount val="3"/>
                <c:pt idx="0">
                  <c:v>10</c:v>
                </c:pt>
                <c:pt idx="1">
                  <c:v>50</c:v>
                </c:pt>
                <c:pt idx="2">
                  <c:v>100</c:v>
                </c:pt>
              </c:numCache>
            </c:numRef>
          </c:cat>
          <c:val>
            <c:numRef>
              <c:f>('Report Tables'!$B$96,'Report Tables'!$D$96,'Report Tables'!$F$96)</c:f>
              <c:numCache>
                <c:formatCode>0.0</c:formatCode>
                <c:ptCount val="3"/>
                <c:pt idx="0">
                  <c:v>8.9342724867486805</c:v>
                </c:pt>
                <c:pt idx="1">
                  <c:v>6.0493633293063054</c:v>
                </c:pt>
                <c:pt idx="2">
                  <c:v>5.692955204474683</c:v>
                </c:pt>
              </c:numCache>
            </c:numRef>
          </c:val>
          <c:extLst>
            <c:ext xmlns:c16="http://schemas.microsoft.com/office/drawing/2014/chart" uri="{C3380CC4-5D6E-409C-BE32-E72D297353CC}">
              <c16:uniqueId val="{00000004-CF6A-4801-8BC3-72A27E2E14FD}"/>
            </c:ext>
          </c:extLst>
        </c:ser>
        <c:ser>
          <c:idx val="2"/>
          <c:order val="5"/>
          <c:tx>
            <c:strRef>
              <c:f>'Report Tables'!$A$97</c:f>
              <c:strCache>
                <c:ptCount val="1"/>
                <c:pt idx="0">
                  <c:v>Operation and Maintenance</c:v>
                </c:pt>
              </c:strCache>
            </c:strRef>
          </c:tx>
          <c:invertIfNegative val="0"/>
          <c:cat>
            <c:numRef>
              <c:f>'Report Graphs'!$C$2:$E$2</c:f>
              <c:numCache>
                <c:formatCode>General</c:formatCode>
                <c:ptCount val="3"/>
                <c:pt idx="0">
                  <c:v>10</c:v>
                </c:pt>
                <c:pt idx="1">
                  <c:v>50</c:v>
                </c:pt>
                <c:pt idx="2">
                  <c:v>100</c:v>
                </c:pt>
              </c:numCache>
            </c:numRef>
          </c:cat>
          <c:val>
            <c:numRef>
              <c:f>('Report Tables'!$B$97,'Report Tables'!$D$97,'Report Tables'!$F$97)</c:f>
              <c:numCache>
                <c:formatCode>0.0</c:formatCode>
                <c:ptCount val="3"/>
                <c:pt idx="0">
                  <c:v>47.017651393181382</c:v>
                </c:pt>
                <c:pt idx="1">
                  <c:v>18.88301931930047</c:v>
                </c:pt>
                <c:pt idx="2">
                  <c:v>13.355743979347487</c:v>
                </c:pt>
              </c:numCache>
            </c:numRef>
          </c:val>
          <c:extLst>
            <c:ext xmlns:c16="http://schemas.microsoft.com/office/drawing/2014/chart" uri="{C3380CC4-5D6E-409C-BE32-E72D297353CC}">
              <c16:uniqueId val="{00000005-CF6A-4801-8BC3-72A27E2E14FD}"/>
            </c:ext>
          </c:extLst>
        </c:ser>
        <c:dLbls>
          <c:showLegendKey val="0"/>
          <c:showVal val="0"/>
          <c:showCatName val="0"/>
          <c:showSerName val="0"/>
          <c:showPercent val="0"/>
          <c:showBubbleSize val="0"/>
        </c:dLbls>
        <c:gapWidth val="150"/>
        <c:overlap val="100"/>
        <c:axId val="149199488"/>
        <c:axId val="149209856"/>
      </c:barChart>
      <c:catAx>
        <c:axId val="149199488"/>
        <c:scaling>
          <c:orientation val="minMax"/>
        </c:scaling>
        <c:delete val="0"/>
        <c:axPos val="b"/>
        <c:majorGridlines>
          <c:spPr>
            <a:ln>
              <a:solidFill>
                <a:schemeClr val="bg1">
                  <a:lumMod val="85000"/>
                </a:schemeClr>
              </a:solidFill>
            </a:ln>
          </c:spPr>
        </c:majorGridlines>
        <c:title>
          <c:tx>
            <c:rich>
              <a:bodyPr/>
              <a:lstStyle/>
              <a:p>
                <a:pPr>
                  <a:defRPr/>
                </a:pPr>
                <a:r>
                  <a:rPr lang="en-US" baseline="0"/>
                  <a:t># of Units</a:t>
                </a:r>
              </a:p>
            </c:rich>
          </c:tx>
          <c:layout>
            <c:manualLayout>
              <c:xMode val="edge"/>
              <c:yMode val="edge"/>
              <c:x val="0.38175822733534709"/>
              <c:y val="0.9177864792344026"/>
            </c:manualLayout>
          </c:layout>
          <c:overlay val="0"/>
        </c:title>
        <c:numFmt formatCode="0" sourceLinked="0"/>
        <c:majorTickMark val="out"/>
        <c:minorTickMark val="none"/>
        <c:tickLblPos val="nextTo"/>
        <c:crossAx val="149209856"/>
        <c:crosses val="autoZero"/>
        <c:auto val="1"/>
        <c:lblAlgn val="ctr"/>
        <c:lblOffset val="100"/>
        <c:noMultiLvlLbl val="0"/>
      </c:catAx>
      <c:valAx>
        <c:axId val="149209856"/>
        <c:scaling>
          <c:orientation val="minMax"/>
          <c:min val="0"/>
        </c:scaling>
        <c:delete val="0"/>
        <c:axPos val="l"/>
        <c:majorGridlines>
          <c:spPr>
            <a:ln>
              <a:solidFill>
                <a:schemeClr val="bg1">
                  <a:lumMod val="85000"/>
                </a:schemeClr>
              </a:solidFill>
            </a:ln>
          </c:spPr>
        </c:majorGridlines>
        <c:title>
          <c:tx>
            <c:rich>
              <a:bodyPr rot="-5400000" vert="horz"/>
              <a:lstStyle/>
              <a:p>
                <a:pPr>
                  <a:defRPr/>
                </a:pPr>
                <a:r>
                  <a:rPr lang="en-US"/>
                  <a:t>LCoE (cents/kWh)</a:t>
                </a:r>
              </a:p>
            </c:rich>
          </c:tx>
          <c:layout>
            <c:manualLayout>
              <c:xMode val="edge"/>
              <c:yMode val="edge"/>
              <c:x val="9.1848450057405284E-3"/>
              <c:y val="0.31372635021380851"/>
            </c:manualLayout>
          </c:layout>
          <c:overlay val="0"/>
        </c:title>
        <c:numFmt formatCode="0.0" sourceLinked="1"/>
        <c:majorTickMark val="out"/>
        <c:minorTickMark val="none"/>
        <c:tickLblPos val="nextTo"/>
        <c:crossAx val="149199488"/>
        <c:crosses val="autoZero"/>
        <c:crossBetween val="between"/>
      </c:valAx>
    </c:plotArea>
    <c:legend>
      <c:legendPos val="r"/>
      <c:overlay val="0"/>
    </c:legend>
    <c:plotVisOnly val="1"/>
    <c:dispBlanksAs val="gap"/>
    <c:showDLblsOverMax val="0"/>
  </c:chart>
  <c:spPr>
    <a:solidFill>
      <a:sysClr val="window" lastClr="FFFFFF"/>
    </a:solid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numRef>
              <c:f>'[4]Report Graphs'!$A$159:$A$167</c:f>
              <c:numCache>
                <c:formatCode>General</c:formatCode>
                <c:ptCount val="9"/>
                <c:pt idx="0">
                  <c:v>1.5</c:v>
                </c:pt>
                <c:pt idx="1">
                  <c:v>1.7</c:v>
                </c:pt>
                <c:pt idx="2">
                  <c:v>1.9</c:v>
                </c:pt>
                <c:pt idx="3">
                  <c:v>2.1</c:v>
                </c:pt>
                <c:pt idx="4">
                  <c:v>2.2999999999999998</c:v>
                </c:pt>
                <c:pt idx="5">
                  <c:v>2.5</c:v>
                </c:pt>
                <c:pt idx="6">
                  <c:v>2.7</c:v>
                </c:pt>
                <c:pt idx="7">
                  <c:v>2.9</c:v>
                </c:pt>
                <c:pt idx="8">
                  <c:v>3.1</c:v>
                </c:pt>
              </c:numCache>
            </c:numRef>
          </c:xVal>
          <c:yVal>
            <c:numRef>
              <c:f>'[4]Report Graphs'!$C$159:$C$167</c:f>
              <c:numCache>
                <c:formatCode>General</c:formatCode>
                <c:ptCount val="9"/>
                <c:pt idx="0">
                  <c:v>160.88775532305041</c:v>
                </c:pt>
                <c:pt idx="1">
                  <c:v>126.74104631588072</c:v>
                </c:pt>
                <c:pt idx="2">
                  <c:v>102.5294361140466</c:v>
                </c:pt>
                <c:pt idx="3">
                  <c:v>84.723318178627878</c:v>
                </c:pt>
                <c:pt idx="4">
                  <c:v>71.236024866119209</c:v>
                </c:pt>
                <c:pt idx="5">
                  <c:v>60.768606249673731</c:v>
                </c:pt>
                <c:pt idx="6">
                  <c:v>52.477555643556613</c:v>
                </c:pt>
                <c:pt idx="7">
                  <c:v>45.795451835493438</c:v>
                </c:pt>
                <c:pt idx="8">
                  <c:v>40.329008402648689</c:v>
                </c:pt>
              </c:numCache>
            </c:numRef>
          </c:yVal>
          <c:smooth val="1"/>
          <c:extLst>
            <c:ext xmlns:c16="http://schemas.microsoft.com/office/drawing/2014/chart" uri="{C3380CC4-5D6E-409C-BE32-E72D297353CC}">
              <c16:uniqueId val="{00000000-3E6F-4F19-881C-573B91AA6B34}"/>
            </c:ext>
          </c:extLst>
        </c:ser>
        <c:dLbls>
          <c:showLegendKey val="0"/>
          <c:showVal val="0"/>
          <c:showCatName val="0"/>
          <c:showSerName val="0"/>
          <c:showPercent val="0"/>
          <c:showBubbleSize val="0"/>
        </c:dLbls>
        <c:axId val="175014656"/>
        <c:axId val="175016576"/>
      </c:scatterChart>
      <c:valAx>
        <c:axId val="175014656"/>
        <c:scaling>
          <c:orientation val="minMax"/>
          <c:min val="1"/>
        </c:scaling>
        <c:delete val="0"/>
        <c:axPos val="b"/>
        <c:majorGridlines>
          <c:spPr>
            <a:ln>
              <a:solidFill>
                <a:schemeClr val="bg1">
                  <a:lumMod val="85000"/>
                </a:schemeClr>
              </a:solidFill>
            </a:ln>
          </c:spPr>
        </c:majorGridlines>
        <c:title>
          <c:tx>
            <c:rich>
              <a:bodyPr/>
              <a:lstStyle/>
              <a:p>
                <a:pPr>
                  <a:defRPr/>
                </a:pPr>
                <a:r>
                  <a:rPr lang="en-US" baseline="0"/>
                  <a:t>Mean </a:t>
                </a:r>
                <a:r>
                  <a:rPr lang="en-US"/>
                  <a:t>Wave Height (m/s)</a:t>
                </a:r>
              </a:p>
            </c:rich>
          </c:tx>
          <c:overlay val="0"/>
        </c:title>
        <c:numFmt formatCode="General" sourceLinked="1"/>
        <c:majorTickMark val="out"/>
        <c:minorTickMark val="none"/>
        <c:tickLblPos val="nextTo"/>
        <c:crossAx val="175016576"/>
        <c:crosses val="autoZero"/>
        <c:crossBetween val="midCat"/>
      </c:valAx>
      <c:valAx>
        <c:axId val="175016576"/>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CoE (cents/kWh)</a:t>
                </a:r>
              </a:p>
            </c:rich>
          </c:tx>
          <c:overlay val="0"/>
        </c:title>
        <c:numFmt formatCode="General" sourceLinked="1"/>
        <c:majorTickMark val="out"/>
        <c:minorTickMark val="none"/>
        <c:tickLblPos val="nextTo"/>
        <c:crossAx val="175014656"/>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emf"/><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47625</xdr:colOff>
      <xdr:row>5</xdr:row>
      <xdr:rowOff>152401</xdr:rowOff>
    </xdr:from>
    <xdr:to>
      <xdr:col>10</xdr:col>
      <xdr:colOff>361950</xdr:colOff>
      <xdr:row>25</xdr:row>
      <xdr:rowOff>38100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57150</xdr:rowOff>
    </xdr:from>
    <xdr:to>
      <xdr:col>10</xdr:col>
      <xdr:colOff>476250</xdr:colOff>
      <xdr:row>46</xdr:row>
      <xdr:rowOff>176743</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38100</xdr:rowOff>
    </xdr:from>
    <xdr:to>
      <xdr:col>10</xdr:col>
      <xdr:colOff>533400</xdr:colOff>
      <xdr:row>67</xdr:row>
      <xdr:rowOff>157693</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69</xdr:row>
      <xdr:rowOff>85725</xdr:rowOff>
    </xdr:from>
    <xdr:to>
      <xdr:col>11</xdr:col>
      <xdr:colOff>295275</xdr:colOff>
      <xdr:row>89</xdr:row>
      <xdr:rowOff>14818</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89</xdr:row>
      <xdr:rowOff>57150</xdr:rowOff>
    </xdr:from>
    <xdr:to>
      <xdr:col>10</xdr:col>
      <xdr:colOff>476250</xdr:colOff>
      <xdr:row>108</xdr:row>
      <xdr:rowOff>176743</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109</xdr:row>
      <xdr:rowOff>133350</xdr:rowOff>
    </xdr:from>
    <xdr:to>
      <xdr:col>11</xdr:col>
      <xdr:colOff>295275</xdr:colOff>
      <xdr:row>129</xdr:row>
      <xdr:rowOff>62443</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absoluteAnchor>
    <xdr:pos x="0" y="42786301"/>
    <xdr:ext cx="6867525" cy="3790950"/>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absoluteAnchor>
  <xdr:twoCellAnchor>
    <xdr:from>
      <xdr:col>0</xdr:col>
      <xdr:colOff>0</xdr:colOff>
      <xdr:row>131</xdr:row>
      <xdr:rowOff>47625</xdr:rowOff>
    </xdr:from>
    <xdr:to>
      <xdr:col>11</xdr:col>
      <xdr:colOff>66675</xdr:colOff>
      <xdr:row>150</xdr:row>
      <xdr:rowOff>167218</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57151</xdr:colOff>
      <xdr:row>168</xdr:row>
      <xdr:rowOff>123825</xdr:rowOff>
    </xdr:from>
    <xdr:to>
      <xdr:col>5</xdr:col>
      <xdr:colOff>66676</xdr:colOff>
      <xdr:row>183</xdr:row>
      <xdr:rowOff>9525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200025</xdr:colOff>
      <xdr:row>185</xdr:row>
      <xdr:rowOff>85725</xdr:rowOff>
    </xdr:from>
    <xdr:to>
      <xdr:col>4</xdr:col>
      <xdr:colOff>288551</xdr:colOff>
      <xdr:row>199</xdr:row>
      <xdr:rowOff>161925</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47625</xdr:colOff>
      <xdr:row>209</xdr:row>
      <xdr:rowOff>104775</xdr:rowOff>
    </xdr:from>
    <xdr:to>
      <xdr:col>13</xdr:col>
      <xdr:colOff>193675</xdr:colOff>
      <xdr:row>224</xdr:row>
      <xdr:rowOff>114935</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239000" y="39919275"/>
          <a:ext cx="3803650" cy="28676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38100</xdr:colOff>
          <xdr:row>20</xdr:row>
          <xdr:rowOff>0</xdr:rowOff>
        </xdr:from>
        <xdr:to>
          <xdr:col>9</xdr:col>
          <xdr:colOff>495300</xdr:colOff>
          <xdr:row>20</xdr:row>
          <xdr:rowOff>0</xdr:rowOff>
        </xdr:to>
        <xdr:sp macro="" textlink="">
          <xdr:nvSpPr>
            <xdr:cNvPr id="29697" name="CommandButton1" hidden="1">
              <a:extLst>
                <a:ext uri="{63B3BB69-23CF-44E3-9099-C40C66FF867C}">
                  <a14:compatExt spid="_x0000_s29697"/>
                </a:ext>
                <a:ext uri="{FF2B5EF4-FFF2-40B4-BE49-F238E27FC236}">
                  <a16:creationId xmlns:a16="http://schemas.microsoft.com/office/drawing/2014/main" id="{00000000-0008-0000-0300-0000017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9</xdr:col>
      <xdr:colOff>585107</xdr:colOff>
      <xdr:row>0</xdr:row>
      <xdr:rowOff>149679</xdr:rowOff>
    </xdr:from>
    <xdr:to>
      <xdr:col>19</xdr:col>
      <xdr:colOff>446767</xdr:colOff>
      <xdr:row>12</xdr:row>
      <xdr:rowOff>126184</xdr:rowOff>
    </xdr:to>
    <xdr:pic>
      <xdr:nvPicPr>
        <xdr:cNvPr id="2" name="Picture 1">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89821" y="149679"/>
          <a:ext cx="5984875" cy="2262505"/>
        </a:xfrm>
        <a:prstGeom prst="rect">
          <a:avLst/>
        </a:prstGeom>
        <a:noFill/>
      </xdr:spPr>
    </xdr:pic>
    <xdr:clientData/>
  </xdr:twoCellAnchor>
  <xdr:twoCellAnchor editAs="oneCell">
    <xdr:from>
      <xdr:col>9</xdr:col>
      <xdr:colOff>527955</xdr:colOff>
      <xdr:row>13</xdr:row>
      <xdr:rowOff>0</xdr:rowOff>
    </xdr:from>
    <xdr:to>
      <xdr:col>23</xdr:col>
      <xdr:colOff>23130</xdr:colOff>
      <xdr:row>35</xdr:row>
      <xdr:rowOff>13674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32669" y="2476500"/>
          <a:ext cx="8067675" cy="42046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18</xdr:col>
      <xdr:colOff>585107</xdr:colOff>
      <xdr:row>30</xdr:row>
      <xdr:rowOff>70716</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8542" t="10025" r="33691" b="11778"/>
        <a:stretch>
          <a:fillRect/>
        </a:stretch>
      </xdr:blipFill>
      <xdr:spPr bwMode="auto">
        <a:xfrm>
          <a:off x="10042071" y="381000"/>
          <a:ext cx="6096000" cy="54047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nl\collaborative\Data\Tidal%20Energy%20Reference%20Model%201\Tidal%20Performanc%20&amp;%20Economic%20Model\3-31-2011%20Final%20Results\Previous%20Work\MCT%20Model%20Short%20MP%2004-29-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nl\collaborative\Data\Projects\SnoPUD\Resource%20Measurements\AI_AH_ADCP_new\AI_AH_1_20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nl\collaborative\Users\Mirko\AppData\Local\Microsoft\Windows\Temporary%20Internet%20Files\Content.Outlook\HQ0EO667\OCT%20Cost%20JE%206-10-2012v3%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Jeff%20Epler%2010-31-12\RM3\CBS\Reference%20Model%203%20CBS%20JE%2010-26-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Reporting"/>
      <sheetName val="Energy Model"/>
      <sheetName val="COE Model"/>
      <sheetName val="Cost Functions"/>
    </sheetNames>
    <sheetDataSet>
      <sheetData sheetId="0" refreshError="1">
        <row r="4">
          <cell r="K4">
            <v>55</v>
          </cell>
        </row>
        <row r="6">
          <cell r="K6">
            <v>0.95</v>
          </cell>
        </row>
        <row r="9">
          <cell r="K9">
            <v>9000</v>
          </cell>
        </row>
        <row r="10">
          <cell r="E10">
            <v>17</v>
          </cell>
        </row>
        <row r="11">
          <cell r="E11">
            <v>0.45</v>
          </cell>
          <cell r="K11">
            <v>22750</v>
          </cell>
        </row>
        <row r="12">
          <cell r="E12">
            <v>0.7</v>
          </cell>
        </row>
        <row r="13">
          <cell r="K13">
            <v>0</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AI_AH_ADCP_1_2007"/>
    </sheetNames>
    <sheetDataSet>
      <sheetData sheetId="0">
        <row r="2">
          <cell r="B2">
            <v>1024</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Graphs"/>
      <sheetName val="CAPEX_S-Curve"/>
      <sheetName val="Report"/>
      <sheetName val="DB"/>
      <sheetName val="Inupt Screen Database"/>
      <sheetName val="Tables"/>
      <sheetName val="CAPEX_MonteCarlo_simulation"/>
      <sheetName val="Econ IO"/>
      <sheetName val="Sensitivity"/>
      <sheetName val="Energy IO"/>
      <sheetName val="Energy Model"/>
      <sheetName val="Non-Utility Model"/>
      <sheetName val="Non-Utility Model no taxes"/>
      <sheetName val="Utility Model"/>
      <sheetName val="Sheet1"/>
    </sheetNames>
    <sheetDataSet>
      <sheetData sheetId="0" refreshError="1">
        <row r="10">
          <cell r="E10">
            <v>1</v>
          </cell>
        </row>
        <row r="11">
          <cell r="E11">
            <v>350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Report Tables"/>
      <sheetName val="Report Graphs"/>
      <sheetName val="Performance &amp; Economics"/>
      <sheetName val="CBS (CoE)"/>
      <sheetName val="CBS ($ per kW)"/>
      <sheetName val="CBS (Total)"/>
      <sheetName val="1.1"/>
      <sheetName val="1.2"/>
      <sheetName val="1.3"/>
      <sheetName val="1.4"/>
      <sheetName val="1.5"/>
      <sheetName val="1.6"/>
      <sheetName val="1.7"/>
      <sheetName val="1.8"/>
      <sheetName val="1.9"/>
      <sheetName val="2.1"/>
      <sheetName val="2.2"/>
      <sheetName val="2.3"/>
      <sheetName val="2.4"/>
      <sheetName val="2.5"/>
      <sheetName val="2.6"/>
    </sheetNames>
    <sheetDataSet>
      <sheetData sheetId="0"/>
      <sheetData sheetId="1"/>
      <sheetData sheetId="2">
        <row r="159">
          <cell r="A159">
            <v>1.5</v>
          </cell>
          <cell r="B159">
            <v>10.390967780483027</v>
          </cell>
          <cell r="C159">
            <v>160.88775532305041</v>
          </cell>
        </row>
        <row r="160">
          <cell r="A160">
            <v>1.7</v>
          </cell>
          <cell r="B160">
            <v>14.407267528007228</v>
          </cell>
          <cell r="C160">
            <v>126.74104631588072</v>
          </cell>
        </row>
        <row r="161">
          <cell r="A161">
            <v>1.9</v>
          </cell>
          <cell r="B161">
            <v>19.262078741899987</v>
          </cell>
          <cell r="C161">
            <v>102.5294361140466</v>
          </cell>
        </row>
        <row r="162">
          <cell r="A162">
            <v>2.1</v>
          </cell>
          <cell r="B162">
            <v>25.014411739257284</v>
          </cell>
          <cell r="C162">
            <v>84.723318178627878</v>
          </cell>
        </row>
        <row r="163">
          <cell r="A163">
            <v>2.2999999999999998</v>
          </cell>
          <cell r="B163">
            <v>31.720897876046362</v>
          </cell>
          <cell r="C163">
            <v>71.236024866119209</v>
          </cell>
        </row>
        <row r="164">
          <cell r="A164">
            <v>2.5</v>
          </cell>
          <cell r="B164">
            <v>39.436100650985487</v>
          </cell>
          <cell r="C164">
            <v>60.768606249673731</v>
          </cell>
        </row>
        <row r="165">
          <cell r="A165">
            <v>2.7</v>
          </cell>
          <cell r="B165">
            <v>48.212762713551648</v>
          </cell>
          <cell r="C165">
            <v>52.477555643556613</v>
          </cell>
        </row>
        <row r="166">
          <cell r="A166">
            <v>2.9</v>
          </cell>
          <cell r="B166">
            <v>58.10200605476895</v>
          </cell>
          <cell r="C166">
            <v>45.795451835493438</v>
          </cell>
        </row>
        <row r="167">
          <cell r="A167">
            <v>3.1</v>
          </cell>
          <cell r="B167">
            <v>69.153497062456466</v>
          </cell>
          <cell r="C167">
            <v>40.329008402648689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70" zoomScaleNormal="70" workbookViewId="0">
      <selection activeCell="B3" sqref="B3"/>
    </sheetView>
  </sheetViews>
  <sheetFormatPr defaultRowHeight="15" x14ac:dyDescent="0.25"/>
  <cols>
    <col min="1" max="1" width="3.7109375" customWidth="1"/>
    <col min="2" max="2" width="12.7109375" customWidth="1"/>
    <col min="3" max="3" width="11" customWidth="1"/>
  </cols>
  <sheetData>
    <row r="1" spans="1:4" x14ac:dyDescent="0.25">
      <c r="A1" s="61" t="s">
        <v>278</v>
      </c>
    </row>
    <row r="4" spans="1:4" x14ac:dyDescent="0.25">
      <c r="A4" t="s">
        <v>98</v>
      </c>
    </row>
    <row r="5" spans="1:4" x14ac:dyDescent="0.25">
      <c r="B5" t="s">
        <v>279</v>
      </c>
    </row>
    <row r="6" spans="1:4" x14ac:dyDescent="0.25">
      <c r="B6" t="s">
        <v>280</v>
      </c>
    </row>
    <row r="7" spans="1:4" x14ac:dyDescent="0.25">
      <c r="B7" t="s">
        <v>162</v>
      </c>
    </row>
    <row r="8" spans="1:4" s="211" customFormat="1" x14ac:dyDescent="0.25">
      <c r="B8" s="217"/>
      <c r="C8" s="216"/>
      <c r="D8" s="21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U57"/>
  <sheetViews>
    <sheetView zoomScale="70" zoomScaleNormal="70" workbookViewId="0">
      <selection activeCell="G56" sqref="G56"/>
    </sheetView>
  </sheetViews>
  <sheetFormatPr defaultRowHeight="15" x14ac:dyDescent="0.25"/>
  <cols>
    <col min="1" max="1" width="5.85546875" customWidth="1"/>
    <col min="2" max="2" width="5.7109375" customWidth="1"/>
    <col min="3" max="3" width="53.5703125" customWidth="1"/>
    <col min="4" max="4" width="11.42578125" customWidth="1"/>
    <col min="5" max="5" width="15" bestFit="1" customWidth="1"/>
    <col min="6" max="7" width="16.140625" bestFit="1" customWidth="1"/>
    <col min="8" max="8" width="17.28515625" bestFit="1" customWidth="1"/>
  </cols>
  <sheetData>
    <row r="1" spans="1:21" x14ac:dyDescent="0.25">
      <c r="A1" s="488" t="s">
        <v>404</v>
      </c>
      <c r="B1" s="68"/>
      <c r="C1" s="68"/>
      <c r="D1" s="68"/>
      <c r="E1" s="68"/>
      <c r="F1" s="68"/>
      <c r="G1" s="68"/>
      <c r="H1" s="68"/>
      <c r="I1" s="68"/>
      <c r="J1" s="68"/>
    </row>
    <row r="2" spans="1:21" x14ac:dyDescent="0.25">
      <c r="A2" s="68"/>
      <c r="B2" s="68"/>
      <c r="C2" s="68"/>
      <c r="D2" s="68"/>
      <c r="E2" s="68"/>
      <c r="F2" s="68"/>
      <c r="G2" s="68"/>
      <c r="H2" s="68"/>
      <c r="I2" s="68"/>
      <c r="J2" s="68"/>
    </row>
    <row r="3" spans="1:21" x14ac:dyDescent="0.25">
      <c r="A3" s="61" t="s">
        <v>111</v>
      </c>
      <c r="B3" s="68"/>
      <c r="C3" s="68"/>
      <c r="D3" s="68" t="s">
        <v>66</v>
      </c>
      <c r="E3" s="68">
        <v>1</v>
      </c>
      <c r="F3" s="68">
        <v>10</v>
      </c>
      <c r="G3" s="68">
        <v>50</v>
      </c>
      <c r="H3" s="68">
        <v>100</v>
      </c>
      <c r="I3" s="68"/>
      <c r="J3" s="68"/>
    </row>
    <row r="4" spans="1:21" x14ac:dyDescent="0.25">
      <c r="A4" s="61"/>
      <c r="B4" s="68" t="s">
        <v>19</v>
      </c>
      <c r="C4" s="68" t="s">
        <v>20</v>
      </c>
      <c r="D4" s="68"/>
      <c r="E4" s="43">
        <f>E20</f>
        <v>182475</v>
      </c>
      <c r="F4" s="43">
        <f t="shared" ref="F4:H4" si="0">F20</f>
        <v>1642275</v>
      </c>
      <c r="G4" s="43">
        <f t="shared" si="0"/>
        <v>8211375</v>
      </c>
      <c r="H4" s="43">
        <f t="shared" si="0"/>
        <v>16422750</v>
      </c>
      <c r="I4" s="68"/>
      <c r="J4" s="68"/>
      <c r="U4" s="547"/>
    </row>
    <row r="5" spans="1:21" x14ac:dyDescent="0.25">
      <c r="A5" s="61"/>
      <c r="B5" s="68" t="s">
        <v>21</v>
      </c>
      <c r="C5" s="68" t="s">
        <v>22</v>
      </c>
      <c r="D5" s="68"/>
      <c r="E5" s="43">
        <f>E27</f>
        <v>180000</v>
      </c>
      <c r="F5" s="43">
        <f t="shared" ref="F5:H5" si="1">F27</f>
        <v>1620000</v>
      </c>
      <c r="G5" s="43">
        <f t="shared" si="1"/>
        <v>8100000</v>
      </c>
      <c r="H5" s="43">
        <f t="shared" si="1"/>
        <v>16200000</v>
      </c>
      <c r="I5" s="68"/>
      <c r="J5" s="68"/>
      <c r="U5" s="547"/>
    </row>
    <row r="6" spans="1:21" s="547" customFormat="1" x14ac:dyDescent="0.25">
      <c r="A6" s="488"/>
      <c r="B6" s="547" t="s">
        <v>23</v>
      </c>
      <c r="C6" s="547" t="s">
        <v>401</v>
      </c>
      <c r="E6" s="525">
        <f>E32</f>
        <v>60000</v>
      </c>
      <c r="F6" s="525">
        <f t="shared" ref="F6:H6" si="2">F32</f>
        <v>540000</v>
      </c>
      <c r="G6" s="525">
        <f t="shared" si="2"/>
        <v>2700000</v>
      </c>
      <c r="H6" s="525">
        <f t="shared" si="2"/>
        <v>5400000</v>
      </c>
    </row>
    <row r="7" spans="1:21" x14ac:dyDescent="0.25">
      <c r="A7" s="61"/>
      <c r="B7" s="68" t="s">
        <v>23</v>
      </c>
      <c r="C7" s="486" t="s">
        <v>25</v>
      </c>
      <c r="D7" s="68"/>
      <c r="E7" s="333">
        <f>E44</f>
        <v>102300</v>
      </c>
      <c r="F7" s="525">
        <f t="shared" ref="F7:H7" si="3">F44</f>
        <v>920700</v>
      </c>
      <c r="G7" s="525">
        <f t="shared" si="3"/>
        <v>4603500</v>
      </c>
      <c r="H7" s="525">
        <f t="shared" si="3"/>
        <v>9207000</v>
      </c>
      <c r="I7" s="68"/>
      <c r="J7" s="68"/>
      <c r="U7" s="547"/>
    </row>
    <row r="8" spans="1:21" s="547" customFormat="1" x14ac:dyDescent="0.25">
      <c r="A8" s="488"/>
      <c r="B8" s="547" t="s">
        <v>24</v>
      </c>
      <c r="C8" s="547" t="s">
        <v>17</v>
      </c>
      <c r="E8" s="525"/>
      <c r="F8" s="525"/>
      <c r="G8" s="525"/>
      <c r="H8" s="525"/>
    </row>
    <row r="9" spans="1:21" x14ac:dyDescent="0.25">
      <c r="A9" s="61"/>
      <c r="B9" s="68"/>
      <c r="C9" s="68"/>
      <c r="D9" s="43"/>
      <c r="E9" s="43"/>
      <c r="F9" s="43"/>
      <c r="G9" s="43"/>
      <c r="H9" s="68"/>
      <c r="I9" s="68"/>
      <c r="J9" s="68"/>
      <c r="U9" s="547"/>
    </row>
    <row r="10" spans="1:21" x14ac:dyDescent="0.25">
      <c r="A10" s="61"/>
      <c r="B10" s="20" t="s">
        <v>81</v>
      </c>
      <c r="C10" s="20"/>
      <c r="D10" s="21"/>
      <c r="E10" s="334">
        <f>SUM(E4:E7)</f>
        <v>524775</v>
      </c>
      <c r="F10" s="334">
        <f>SUM(F4:F7)</f>
        <v>4722975</v>
      </c>
      <c r="G10" s="334">
        <f>SUM(G4:G7)</f>
        <v>23614875</v>
      </c>
      <c r="H10" s="334">
        <f>SUM(H4:H7)</f>
        <v>47229750</v>
      </c>
      <c r="I10" s="68"/>
      <c r="J10" s="68"/>
      <c r="U10" s="547"/>
    </row>
    <row r="11" spans="1:21" x14ac:dyDescent="0.25">
      <c r="A11" s="61"/>
      <c r="B11" s="68"/>
      <c r="C11" s="68"/>
      <c r="D11" s="43"/>
      <c r="E11" s="43"/>
      <c r="F11" s="43"/>
      <c r="G11" s="43"/>
      <c r="H11" s="68"/>
      <c r="I11" s="68"/>
      <c r="J11" s="68"/>
    </row>
    <row r="12" spans="1:21" s="486" customFormat="1" x14ac:dyDescent="0.25">
      <c r="A12" s="488"/>
      <c r="D12" s="498"/>
      <c r="E12" s="498"/>
      <c r="F12" s="498"/>
      <c r="G12" s="498"/>
    </row>
    <row r="13" spans="1:21" s="486" customFormat="1" x14ac:dyDescent="0.25">
      <c r="A13" s="488"/>
      <c r="D13" s="498"/>
      <c r="E13" s="498"/>
      <c r="F13" s="86" t="s">
        <v>298</v>
      </c>
      <c r="G13" s="498" t="s">
        <v>66</v>
      </c>
    </row>
    <row r="14" spans="1:21" x14ac:dyDescent="0.25">
      <c r="A14" s="61" t="s">
        <v>137</v>
      </c>
      <c r="E14" s="593">
        <v>1</v>
      </c>
      <c r="F14" s="593">
        <v>10</v>
      </c>
      <c r="G14" s="593">
        <v>50</v>
      </c>
      <c r="H14" s="593">
        <v>100</v>
      </c>
    </row>
    <row r="15" spans="1:21" s="547" customFormat="1" x14ac:dyDescent="0.25">
      <c r="A15" s="488"/>
      <c r="E15" s="86"/>
      <c r="F15" s="106"/>
      <c r="G15" s="464"/>
      <c r="H15" s="464"/>
    </row>
    <row r="16" spans="1:21" s="547" customFormat="1" x14ac:dyDescent="0.25">
      <c r="A16" s="488"/>
      <c r="B16" s="547" t="s">
        <v>313</v>
      </c>
      <c r="E16" s="86">
        <v>27000</v>
      </c>
      <c r="F16" s="106">
        <f>0.9*E16*$F$14</f>
        <v>243000</v>
      </c>
      <c r="G16" s="106">
        <f>F16*5</f>
        <v>1215000</v>
      </c>
      <c r="H16" s="106">
        <f>G16*2</f>
        <v>2430000</v>
      </c>
    </row>
    <row r="17" spans="1:9" s="547" customFormat="1" x14ac:dyDescent="0.25">
      <c r="A17" s="488"/>
      <c r="B17" s="547" t="s">
        <v>315</v>
      </c>
      <c r="E17" s="86">
        <v>43875</v>
      </c>
      <c r="F17" s="106">
        <f t="shared" ref="F17:F18" si="4">0.9*E17*$F$14</f>
        <v>394875</v>
      </c>
      <c r="G17" s="106">
        <f t="shared" ref="G17:G18" si="5">F17*5</f>
        <v>1974375</v>
      </c>
      <c r="H17" s="106">
        <f t="shared" ref="H17:H18" si="6">G17*2</f>
        <v>3948750</v>
      </c>
    </row>
    <row r="18" spans="1:9" s="547" customFormat="1" x14ac:dyDescent="0.25">
      <c r="A18" s="488"/>
      <c r="B18" s="547" t="s">
        <v>316</v>
      </c>
      <c r="E18" s="86">
        <v>111600</v>
      </c>
      <c r="F18" s="106">
        <f t="shared" si="4"/>
        <v>1004400</v>
      </c>
      <c r="G18" s="106">
        <f t="shared" si="5"/>
        <v>5022000</v>
      </c>
      <c r="H18" s="106">
        <f t="shared" si="6"/>
        <v>10044000</v>
      </c>
    </row>
    <row r="20" spans="1:9" s="73" customFormat="1" x14ac:dyDescent="0.25">
      <c r="B20" s="20" t="s">
        <v>81</v>
      </c>
      <c r="C20" s="20"/>
      <c r="D20" s="20"/>
      <c r="E20" s="21">
        <f>SUM(E16:E18)</f>
        <v>182475</v>
      </c>
      <c r="F20" s="334">
        <f>SUM(F16:F18)</f>
        <v>1642275</v>
      </c>
      <c r="G20" s="334">
        <f>SUM(G16:G18)</f>
        <v>8211375</v>
      </c>
      <c r="H20" s="334">
        <f>SUM(H16:H18)</f>
        <v>16422750</v>
      </c>
    </row>
    <row r="21" spans="1:9" s="486" customFormat="1" x14ac:dyDescent="0.25">
      <c r="B21" s="487"/>
      <c r="C21" s="487"/>
      <c r="D21" s="487"/>
      <c r="E21" s="495"/>
      <c r="F21" s="495"/>
      <c r="G21" s="495"/>
      <c r="H21" s="495"/>
    </row>
    <row r="22" spans="1:9" x14ac:dyDescent="0.25">
      <c r="F22" s="464" t="s">
        <v>298</v>
      </c>
      <c r="G22" t="s">
        <v>66</v>
      </c>
    </row>
    <row r="23" spans="1:9" x14ac:dyDescent="0.25">
      <c r="A23" s="61" t="s">
        <v>138</v>
      </c>
      <c r="E23" s="593">
        <v>1</v>
      </c>
      <c r="F23" s="593">
        <v>10</v>
      </c>
      <c r="G23" s="593">
        <v>50</v>
      </c>
      <c r="H23" s="593">
        <v>100</v>
      </c>
    </row>
    <row r="24" spans="1:9" s="547" customFormat="1" x14ac:dyDescent="0.25">
      <c r="A24" s="488"/>
      <c r="E24" s="86"/>
      <c r="F24" s="106"/>
      <c r="G24" s="464"/>
      <c r="H24" s="464"/>
    </row>
    <row r="25" spans="1:9" s="547" customFormat="1" x14ac:dyDescent="0.25">
      <c r="A25" s="488"/>
      <c r="B25" s="547" t="s">
        <v>321</v>
      </c>
      <c r="E25" s="86">
        <v>180000</v>
      </c>
      <c r="F25" s="106">
        <f>0.9*E25*$F$14</f>
        <v>1620000</v>
      </c>
      <c r="G25" s="106">
        <f>F25*5</f>
        <v>8100000</v>
      </c>
      <c r="H25" s="106">
        <f>G25*2</f>
        <v>16200000</v>
      </c>
    </row>
    <row r="26" spans="1:9" s="73" customFormat="1" x14ac:dyDescent="0.25">
      <c r="E26" s="43"/>
      <c r="F26" s="43"/>
      <c r="G26" s="43"/>
      <c r="H26" s="43"/>
    </row>
    <row r="27" spans="1:9" s="73" customFormat="1" x14ac:dyDescent="0.25">
      <c r="B27" s="20" t="s">
        <v>81</v>
      </c>
      <c r="C27" s="20"/>
      <c r="D27" s="20"/>
      <c r="E27" s="21">
        <f>SUM(E24:E25)</f>
        <v>180000</v>
      </c>
      <c r="F27" s="334">
        <f t="shared" ref="F27:H27" si="7">SUM(F24:F25)</f>
        <v>1620000</v>
      </c>
      <c r="G27" s="334">
        <f t="shared" si="7"/>
        <v>8100000</v>
      </c>
      <c r="H27" s="334">
        <f t="shared" si="7"/>
        <v>16200000</v>
      </c>
      <c r="I27" s="495"/>
    </row>
    <row r="28" spans="1:9" s="547" customFormat="1" x14ac:dyDescent="0.25">
      <c r="B28" s="548"/>
      <c r="C28" s="548"/>
      <c r="D28" s="548"/>
      <c r="E28" s="495"/>
      <c r="F28" s="495"/>
      <c r="G28" s="495"/>
      <c r="H28" s="495"/>
      <c r="I28" s="495"/>
    </row>
    <row r="29" spans="1:9" s="547" customFormat="1" x14ac:dyDescent="0.25">
      <c r="F29" s="464" t="s">
        <v>298</v>
      </c>
      <c r="G29" s="547" t="s">
        <v>66</v>
      </c>
      <c r="I29" s="495"/>
    </row>
    <row r="30" spans="1:9" s="547" customFormat="1" x14ac:dyDescent="0.25">
      <c r="A30" s="488" t="s">
        <v>501</v>
      </c>
      <c r="E30" s="593">
        <v>1</v>
      </c>
      <c r="F30" s="593">
        <v>10</v>
      </c>
      <c r="G30" s="593">
        <v>50</v>
      </c>
      <c r="H30" s="593">
        <v>100</v>
      </c>
      <c r="I30" s="495"/>
    </row>
    <row r="31" spans="1:9" s="547" customFormat="1" x14ac:dyDescent="0.25">
      <c r="A31" s="488"/>
      <c r="E31" s="86"/>
      <c r="F31" s="106"/>
      <c r="G31" s="464"/>
      <c r="H31" s="464"/>
      <c r="I31" s="495"/>
    </row>
    <row r="32" spans="1:9" s="547" customFormat="1" x14ac:dyDescent="0.25">
      <c r="A32" s="488"/>
      <c r="B32" s="547" t="s">
        <v>314</v>
      </c>
      <c r="E32" s="86">
        <v>60000</v>
      </c>
      <c r="F32" s="106">
        <f>0.9*E32*$F$14</f>
        <v>540000</v>
      </c>
      <c r="G32" s="106">
        <f>F32*5</f>
        <v>2700000</v>
      </c>
      <c r="H32" s="106">
        <f>G32*2</f>
        <v>5400000</v>
      </c>
    </row>
    <row r="33" spans="1:9" s="547" customFormat="1" x14ac:dyDescent="0.25">
      <c r="E33" s="525"/>
      <c r="F33" s="525"/>
      <c r="G33" s="525"/>
      <c r="H33" s="525"/>
      <c r="I33" s="495"/>
    </row>
    <row r="34" spans="1:9" s="547" customFormat="1" x14ac:dyDescent="0.25">
      <c r="B34" s="331" t="s">
        <v>81</v>
      </c>
      <c r="C34" s="331"/>
      <c r="D34" s="331"/>
      <c r="E34" s="334">
        <f>SUM(E31:E32)</f>
        <v>60000</v>
      </c>
      <c r="F34" s="334">
        <f>SUM(F31:F32)</f>
        <v>540000</v>
      </c>
      <c r="G34" s="334">
        <f>SUM(G31:G32)</f>
        <v>2700000</v>
      </c>
      <c r="H34" s="334">
        <f>SUM(H31:H32)</f>
        <v>5400000</v>
      </c>
      <c r="I34" s="495"/>
    </row>
    <row r="35" spans="1:9" s="547" customFormat="1" x14ac:dyDescent="0.25">
      <c r="B35" s="548"/>
      <c r="C35" s="548"/>
      <c r="D35" s="548"/>
      <c r="E35" s="495"/>
      <c r="F35" s="495"/>
      <c r="G35" s="495"/>
      <c r="H35" s="495"/>
      <c r="I35" s="495"/>
    </row>
    <row r="36" spans="1:9" x14ac:dyDescent="0.25">
      <c r="F36" s="464" t="s">
        <v>298</v>
      </c>
      <c r="G36" t="s">
        <v>66</v>
      </c>
    </row>
    <row r="37" spans="1:9" x14ac:dyDescent="0.25">
      <c r="A37" s="61" t="s">
        <v>500</v>
      </c>
      <c r="E37" s="593">
        <v>1</v>
      </c>
      <c r="F37" s="593">
        <v>10</v>
      </c>
      <c r="G37" s="464">
        <v>50</v>
      </c>
      <c r="H37" s="464">
        <v>100</v>
      </c>
    </row>
    <row r="38" spans="1:9" s="547" customFormat="1" x14ac:dyDescent="0.25">
      <c r="A38" s="488"/>
      <c r="E38" s="86"/>
      <c r="F38" s="106"/>
      <c r="G38" s="464"/>
      <c r="H38" s="464"/>
    </row>
    <row r="39" spans="1:9" s="547" customFormat="1" x14ac:dyDescent="0.25">
      <c r="A39" s="488"/>
      <c r="B39" s="547" t="s">
        <v>317</v>
      </c>
      <c r="E39" s="86">
        <v>14100</v>
      </c>
      <c r="F39" s="106">
        <f>0.9*E39*$F$14</f>
        <v>126900</v>
      </c>
      <c r="G39" s="106">
        <f>F39*5</f>
        <v>634500</v>
      </c>
      <c r="H39" s="106">
        <f>G39*2</f>
        <v>1269000</v>
      </c>
    </row>
    <row r="40" spans="1:9" s="547" customFormat="1" x14ac:dyDescent="0.25">
      <c r="A40" s="488"/>
      <c r="B40" s="547" t="s">
        <v>318</v>
      </c>
      <c r="E40" s="86">
        <v>14400</v>
      </c>
      <c r="F40" s="106">
        <f>0.9*E40*$F$14</f>
        <v>129600</v>
      </c>
      <c r="G40" s="106">
        <f>F40*5</f>
        <v>648000</v>
      </c>
      <c r="H40" s="106">
        <f>G40*2</f>
        <v>1296000</v>
      </c>
    </row>
    <row r="41" spans="1:9" s="547" customFormat="1" x14ac:dyDescent="0.25">
      <c r="A41" s="488"/>
      <c r="B41" s="547" t="s">
        <v>319</v>
      </c>
      <c r="E41" s="86">
        <v>27000</v>
      </c>
      <c r="F41" s="106">
        <f>0.9*E41*$F$14</f>
        <v>243000</v>
      </c>
      <c r="G41" s="106">
        <f>F41*5</f>
        <v>1215000</v>
      </c>
      <c r="H41" s="106">
        <f>G41*2</f>
        <v>2430000</v>
      </c>
    </row>
    <row r="42" spans="1:9" s="547" customFormat="1" x14ac:dyDescent="0.25">
      <c r="A42" s="488"/>
      <c r="B42" s="547" t="s">
        <v>320</v>
      </c>
      <c r="E42" s="86">
        <v>46800</v>
      </c>
      <c r="F42" s="106">
        <f>0.9*E42*$F$14</f>
        <v>421200</v>
      </c>
      <c r="G42" s="106">
        <f>F42*5</f>
        <v>2106000</v>
      </c>
      <c r="H42" s="106">
        <f>G42*2</f>
        <v>4212000</v>
      </c>
    </row>
    <row r="44" spans="1:9" x14ac:dyDescent="0.25">
      <c r="B44" s="20" t="s">
        <v>81</v>
      </c>
      <c r="C44" s="20"/>
      <c r="D44" s="20"/>
      <c r="E44" s="21">
        <f>SUM(E39:E42)</f>
        <v>102300</v>
      </c>
      <c r="F44" s="334">
        <f t="shared" ref="F44:H44" si="8">SUM(F39:F42)</f>
        <v>920700</v>
      </c>
      <c r="G44" s="334">
        <f t="shared" si="8"/>
        <v>4603500</v>
      </c>
      <c r="H44" s="334">
        <f t="shared" si="8"/>
        <v>9207000</v>
      </c>
    </row>
    <row r="45" spans="1:9" s="486" customFormat="1" x14ac:dyDescent="0.25">
      <c r="B45" s="487"/>
      <c r="C45" s="487"/>
      <c r="D45" s="487"/>
      <c r="E45" s="495"/>
      <c r="F45" s="495"/>
      <c r="G45" s="495"/>
      <c r="H45" s="495"/>
    </row>
    <row r="47" spans="1:9" s="295" customFormat="1" x14ac:dyDescent="0.25">
      <c r="A47" s="213" t="s">
        <v>150</v>
      </c>
    </row>
    <row r="48" spans="1:9" s="295" customFormat="1" x14ac:dyDescent="0.25">
      <c r="A48" s="295" t="s">
        <v>19</v>
      </c>
      <c r="B48" s="295" t="s">
        <v>322</v>
      </c>
    </row>
    <row r="49" spans="1:14" s="295" customFormat="1" x14ac:dyDescent="0.25">
      <c r="A49" s="295" t="s">
        <v>21</v>
      </c>
      <c r="B49" s="547" t="s">
        <v>322</v>
      </c>
    </row>
    <row r="50" spans="1:14" s="295" customFormat="1" x14ac:dyDescent="0.25">
      <c r="A50" s="295" t="s">
        <v>23</v>
      </c>
      <c r="B50" s="547" t="s">
        <v>322</v>
      </c>
    </row>
    <row r="51" spans="1:14" s="695" customFormat="1" x14ac:dyDescent="0.25">
      <c r="A51" s="695" t="s">
        <v>24</v>
      </c>
      <c r="B51" s="695" t="s">
        <v>322</v>
      </c>
    </row>
    <row r="52" spans="1:14" s="295" customFormat="1" x14ac:dyDescent="0.25"/>
    <row r="53" spans="1:14" s="295" customFormat="1" x14ac:dyDescent="0.25">
      <c r="A53" s="213" t="s">
        <v>235</v>
      </c>
    </row>
    <row r="54" spans="1:14" s="295" customFormat="1" x14ac:dyDescent="0.25">
      <c r="A54" s="547" t="s">
        <v>19</v>
      </c>
      <c r="B54" s="295" t="s">
        <v>323</v>
      </c>
      <c r="N54" s="214"/>
    </row>
    <row r="55" spans="1:14" s="295" customFormat="1" x14ac:dyDescent="0.25">
      <c r="A55" s="547" t="s">
        <v>21</v>
      </c>
      <c r="B55" s="547" t="s">
        <v>323</v>
      </c>
    </row>
    <row r="56" spans="1:14" s="295" customFormat="1" x14ac:dyDescent="0.25">
      <c r="A56" s="547" t="s">
        <v>23</v>
      </c>
      <c r="B56" s="547" t="s">
        <v>323</v>
      </c>
    </row>
    <row r="57" spans="1:14" x14ac:dyDescent="0.25">
      <c r="A57" t="s">
        <v>24</v>
      </c>
      <c r="B57" t="s">
        <v>323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V82"/>
  <sheetViews>
    <sheetView topLeftCell="A22" zoomScale="70" zoomScaleNormal="70" workbookViewId="0">
      <selection activeCell="G77" sqref="G77"/>
    </sheetView>
  </sheetViews>
  <sheetFormatPr defaultColWidth="9.140625" defaultRowHeight="15" x14ac:dyDescent="0.25"/>
  <cols>
    <col min="1" max="1" width="7.140625" style="12" customWidth="1"/>
    <col min="2" max="2" width="3.5703125" style="12" customWidth="1"/>
    <col min="3" max="3" width="7.140625" style="12" customWidth="1"/>
    <col min="4" max="4" width="40.7109375" style="12" bestFit="1" customWidth="1"/>
    <col min="5" max="5" width="15.140625" style="12" bestFit="1" customWidth="1"/>
    <col min="6" max="6" width="17.85546875" style="12" customWidth="1"/>
    <col min="7" max="7" width="18.5703125" style="12" customWidth="1"/>
    <col min="8" max="8" width="16.28515625" style="12" bestFit="1" customWidth="1"/>
    <col min="9" max="9" width="17.140625" style="12" bestFit="1" customWidth="1"/>
    <col min="10" max="10" width="12" style="12" customWidth="1"/>
    <col min="11" max="11" width="11.85546875" style="12" customWidth="1"/>
    <col min="12" max="12" width="16.28515625" style="12" bestFit="1" customWidth="1"/>
    <col min="13" max="13" width="10.5703125" style="12" customWidth="1"/>
    <col min="14" max="15" width="9.140625" style="12"/>
    <col min="16" max="17" width="8.85546875" customWidth="1"/>
    <col min="18" max="16384" width="9.140625" style="12"/>
  </cols>
  <sheetData>
    <row r="1" spans="1:22" x14ac:dyDescent="0.25">
      <c r="A1" s="488" t="s">
        <v>405</v>
      </c>
      <c r="P1" s="12"/>
      <c r="Q1" s="12"/>
    </row>
    <row r="2" spans="1:22" x14ac:dyDescent="0.25">
      <c r="A2" s="15"/>
      <c r="P2" s="12"/>
      <c r="Q2" s="12"/>
    </row>
    <row r="3" spans="1:22" x14ac:dyDescent="0.25">
      <c r="A3" s="13" t="s">
        <v>111</v>
      </c>
      <c r="E3" s="12">
        <v>1</v>
      </c>
      <c r="F3" s="12">
        <v>10</v>
      </c>
      <c r="G3" s="12">
        <v>50</v>
      </c>
      <c r="H3" s="12">
        <v>100</v>
      </c>
      <c r="I3" s="215" t="s">
        <v>112</v>
      </c>
      <c r="P3" s="12"/>
      <c r="Q3" s="12"/>
    </row>
    <row r="4" spans="1:22" x14ac:dyDescent="0.25">
      <c r="A4" s="15"/>
      <c r="B4" s="12" t="s">
        <v>28</v>
      </c>
      <c r="D4" s="12" t="str">
        <f>B13</f>
        <v>Surface Float</v>
      </c>
      <c r="E4" s="109">
        <f>F20</f>
        <v>894241.14540025499</v>
      </c>
      <c r="F4" s="109">
        <f>G20*10</f>
        <v>6220786.6200600797</v>
      </c>
      <c r="G4" s="109">
        <f>H20*50</f>
        <v>27374083.799353056</v>
      </c>
      <c r="H4" s="109">
        <f>I20*100</f>
        <v>53048701.14896699</v>
      </c>
      <c r="I4" s="59">
        <f>E22</f>
        <v>205.44</v>
      </c>
      <c r="P4" s="12"/>
      <c r="Q4" s="12"/>
    </row>
    <row r="5" spans="1:22" x14ac:dyDescent="0.25">
      <c r="A5" s="15"/>
      <c r="B5" s="12" t="s">
        <v>29</v>
      </c>
      <c r="D5" s="68" t="str">
        <f>B26</f>
        <v>Vertical Column</v>
      </c>
      <c r="E5" s="109">
        <f>F33</f>
        <v>921357.27921035211</v>
      </c>
      <c r="F5" s="109">
        <f>G33*10</f>
        <v>6544935.4409701042</v>
      </c>
      <c r="G5" s="109">
        <f>H33*50</f>
        <v>29155570.072405908</v>
      </c>
      <c r="H5" s="109">
        <f>I33*100</f>
        <v>56827841.047422305</v>
      </c>
      <c r="I5" s="59">
        <f>E35</f>
        <v>223.64</v>
      </c>
      <c r="P5" s="12"/>
      <c r="Q5" s="12"/>
    </row>
    <row r="6" spans="1:22" x14ac:dyDescent="0.25">
      <c r="A6" s="15"/>
      <c r="B6" s="12" t="s">
        <v>30</v>
      </c>
      <c r="D6" s="68" t="str">
        <f>B38</f>
        <v>Reaction Plate</v>
      </c>
      <c r="E6" s="109">
        <f>F45</f>
        <v>1065825.467495176</v>
      </c>
      <c r="F6" s="109">
        <f>G45*10</f>
        <v>7503582.0533749359</v>
      </c>
      <c r="G6" s="109">
        <f>H45*50</f>
        <v>33223658.909539465</v>
      </c>
      <c r="H6" s="109">
        <f>I45*100</f>
        <v>64567902.954623803</v>
      </c>
      <c r="I6" s="59">
        <f>E47</f>
        <v>244.73</v>
      </c>
      <c r="P6" s="12"/>
      <c r="Q6" s="12"/>
    </row>
    <row r="7" spans="1:22" x14ac:dyDescent="0.25">
      <c r="A7" s="15"/>
      <c r="B7" s="12" t="s">
        <v>31</v>
      </c>
      <c r="D7" s="68" t="str">
        <f>B50</f>
        <v>Device Access (Railings, Ladders, etc)</v>
      </c>
      <c r="E7" s="114">
        <f>F55</f>
        <v>57628.477842115666</v>
      </c>
      <c r="F7" s="109">
        <f>G55*10</f>
        <v>405386.08228810242</v>
      </c>
      <c r="G7" s="109">
        <f>H55*50</f>
        <v>1795066.2556259686</v>
      </c>
      <c r="H7" s="109">
        <f>I55*100</f>
        <v>3488888.9030202618</v>
      </c>
      <c r="I7" s="59">
        <f>E57</f>
        <v>13.476199999999999</v>
      </c>
      <c r="P7" s="12"/>
      <c r="Q7" s="12"/>
    </row>
    <row r="8" spans="1:22" x14ac:dyDescent="0.25">
      <c r="A8" s="15"/>
      <c r="E8" s="109"/>
      <c r="F8" s="109"/>
      <c r="G8" s="109"/>
      <c r="H8" s="109"/>
      <c r="P8" s="12"/>
      <c r="Q8" s="12"/>
    </row>
    <row r="9" spans="1:22" x14ac:dyDescent="0.25">
      <c r="A9" s="15"/>
      <c r="C9" s="20" t="s">
        <v>81</v>
      </c>
      <c r="D9" s="20"/>
      <c r="E9" s="111">
        <f>SUM(E4:E7)</f>
        <v>2939052.3699478991</v>
      </c>
      <c r="F9" s="111">
        <f>SUM(F4:F7)</f>
        <v>20674690.196693219</v>
      </c>
      <c r="G9" s="111">
        <f>SUM(G4:G7)</f>
        <v>91548379.036924392</v>
      </c>
      <c r="H9" s="111">
        <f>SUM(H4:H7)</f>
        <v>177933334.05403334</v>
      </c>
      <c r="I9" s="22">
        <f>SUM(I4:I7)</f>
        <v>687.28619999999989</v>
      </c>
      <c r="K9" s="487"/>
      <c r="L9" s="487"/>
      <c r="M9" s="487"/>
      <c r="N9" s="487"/>
      <c r="O9" s="487"/>
      <c r="P9" s="487"/>
      <c r="Q9" s="487"/>
      <c r="R9" s="487"/>
      <c r="S9" s="487"/>
      <c r="T9" s="487"/>
      <c r="U9" s="487"/>
      <c r="V9" s="487"/>
    </row>
    <row r="10" spans="1:22" x14ac:dyDescent="0.25">
      <c r="B10" s="15"/>
      <c r="E10" s="66"/>
      <c r="F10" s="66"/>
      <c r="G10" s="66"/>
      <c r="H10" s="66"/>
      <c r="K10" s="548"/>
      <c r="L10" s="548"/>
      <c r="M10" s="548"/>
      <c r="N10" s="548"/>
      <c r="O10" s="548"/>
      <c r="P10" s="548"/>
      <c r="Q10" s="548"/>
      <c r="R10" s="548"/>
      <c r="S10" s="548"/>
      <c r="T10" s="548"/>
      <c r="U10" s="548"/>
      <c r="V10" s="487"/>
    </row>
    <row r="11" spans="1:22" x14ac:dyDescent="0.25">
      <c r="F11" s="67"/>
      <c r="G11" s="67"/>
      <c r="K11" s="548"/>
      <c r="L11" s="548"/>
      <c r="M11" s="548"/>
      <c r="N11" s="548"/>
      <c r="O11" s="548"/>
      <c r="P11" s="548"/>
      <c r="Q11" s="548"/>
      <c r="R11" s="548"/>
      <c r="S11" s="548"/>
      <c r="T11" s="548"/>
      <c r="U11" s="548"/>
      <c r="V11" s="487"/>
    </row>
    <row r="12" spans="1:22" s="16" customFormat="1" x14ac:dyDescent="0.25">
      <c r="C12" s="31"/>
      <c r="F12" s="28"/>
      <c r="G12" s="28"/>
      <c r="H12" s="28"/>
      <c r="I12" s="30"/>
      <c r="J12" s="28"/>
      <c r="K12" s="543"/>
      <c r="L12" s="29"/>
      <c r="M12" s="30"/>
      <c r="N12" s="548"/>
      <c r="O12" s="548"/>
      <c r="P12" s="548"/>
      <c r="Q12" s="548"/>
      <c r="R12" s="548"/>
      <c r="S12" s="548"/>
      <c r="T12" s="548"/>
      <c r="U12" s="548"/>
      <c r="V12" s="487"/>
    </row>
    <row r="13" spans="1:22" s="16" customFormat="1" x14ac:dyDescent="0.25">
      <c r="A13" s="33" t="s">
        <v>28</v>
      </c>
      <c r="B13" s="33" t="s">
        <v>274</v>
      </c>
      <c r="K13" s="548"/>
      <c r="L13" s="552"/>
      <c r="M13" s="552"/>
      <c r="N13" s="552"/>
      <c r="O13" s="548"/>
      <c r="P13" s="552"/>
      <c r="Q13" s="548"/>
      <c r="R13" s="548"/>
      <c r="S13" s="548"/>
      <c r="T13" s="548"/>
      <c r="U13" s="548"/>
      <c r="V13" s="487"/>
    </row>
    <row r="14" spans="1:22" x14ac:dyDescent="0.25">
      <c r="F14" s="84" t="s">
        <v>85</v>
      </c>
      <c r="G14" s="84" t="s">
        <v>108</v>
      </c>
      <c r="H14" s="84" t="s">
        <v>110</v>
      </c>
      <c r="I14" s="84" t="s">
        <v>109</v>
      </c>
      <c r="K14" s="548"/>
      <c r="L14" s="552"/>
      <c r="M14" s="527"/>
      <c r="N14" s="527"/>
      <c r="O14" s="528"/>
      <c r="P14" s="527"/>
      <c r="Q14" s="548"/>
      <c r="R14" s="548"/>
      <c r="S14" s="548"/>
      <c r="T14" s="548"/>
      <c r="U14" s="548"/>
      <c r="V14" s="487"/>
    </row>
    <row r="15" spans="1:22" x14ac:dyDescent="0.25">
      <c r="C15" s="12" t="s">
        <v>131</v>
      </c>
      <c r="F15" s="694">
        <v>440328.23313186696</v>
      </c>
      <c r="G15" s="721">
        <v>371343.60666105297</v>
      </c>
      <c r="H15" s="721">
        <v>352262.58650549361</v>
      </c>
      <c r="I15" s="721">
        <v>352262.58650549361</v>
      </c>
      <c r="J15" s="18"/>
      <c r="K15" s="484"/>
      <c r="L15" s="552"/>
      <c r="M15" s="473"/>
      <c r="N15" s="473"/>
      <c r="O15" s="473"/>
      <c r="P15" s="473"/>
      <c r="Q15" s="548"/>
      <c r="R15" s="548"/>
      <c r="S15" s="548"/>
      <c r="T15" s="548"/>
      <c r="U15" s="548"/>
      <c r="V15" s="487"/>
    </row>
    <row r="16" spans="1:22" x14ac:dyDescent="0.25">
      <c r="C16" s="12" t="s">
        <v>132</v>
      </c>
      <c r="F16" s="694">
        <v>259506.7383354773</v>
      </c>
      <c r="G16" s="721">
        <v>182871.29727293825</v>
      </c>
      <c r="H16" s="721">
        <v>143185.79754117693</v>
      </c>
      <c r="I16" s="721">
        <v>128867.21778705923</v>
      </c>
      <c r="J16" s="18"/>
      <c r="K16" s="484"/>
      <c r="L16" s="552"/>
      <c r="M16" s="473"/>
      <c r="N16" s="473"/>
      <c r="O16" s="473"/>
      <c r="P16" s="473"/>
      <c r="Q16" s="548"/>
      <c r="R16" s="548"/>
      <c r="S16" s="548"/>
      <c r="T16" s="548"/>
      <c r="U16" s="548"/>
      <c r="V16" s="487"/>
    </row>
    <row r="17" spans="1:22" s="73" customFormat="1" x14ac:dyDescent="0.25">
      <c r="C17" s="73" t="s">
        <v>155</v>
      </c>
      <c r="F17" s="694">
        <v>113111.52435106934</v>
      </c>
      <c r="G17" s="694">
        <v>11311.152435106933</v>
      </c>
      <c r="H17" s="694">
        <v>2262.2304870213866</v>
      </c>
      <c r="I17" s="694">
        <v>1131.1152435106933</v>
      </c>
      <c r="J17" s="43"/>
      <c r="K17" s="484"/>
      <c r="L17" s="552"/>
      <c r="M17" s="473"/>
      <c r="N17" s="473"/>
      <c r="O17" s="473"/>
      <c r="P17" s="473"/>
      <c r="Q17" s="483"/>
      <c r="R17" s="483"/>
      <c r="S17" s="483"/>
      <c r="T17" s="483"/>
      <c r="U17" s="548"/>
      <c r="V17" s="487"/>
    </row>
    <row r="18" spans="1:22" x14ac:dyDescent="0.25">
      <c r="C18" s="17" t="s">
        <v>113</v>
      </c>
      <c r="D18" s="16"/>
      <c r="E18" s="16"/>
      <c r="F18" s="694">
        <v>81294.649581841368</v>
      </c>
      <c r="G18" s="694">
        <v>56552.605636909815</v>
      </c>
      <c r="H18" s="694">
        <v>49771.061453369191</v>
      </c>
      <c r="I18" s="694">
        <v>48226.091953606359</v>
      </c>
      <c r="J18" s="18"/>
      <c r="K18" s="484"/>
      <c r="L18" s="552"/>
      <c r="M18" s="473"/>
      <c r="N18" s="473"/>
      <c r="O18" s="473"/>
      <c r="P18" s="473"/>
      <c r="Q18" s="548"/>
      <c r="R18" s="548"/>
      <c r="S18" s="548"/>
      <c r="T18" s="548"/>
      <c r="U18" s="548"/>
      <c r="V18" s="487"/>
    </row>
    <row r="19" spans="1:22" s="73" customFormat="1" x14ac:dyDescent="0.25">
      <c r="C19" s="64"/>
      <c r="D19" s="69"/>
      <c r="E19" s="69"/>
      <c r="F19" s="338"/>
      <c r="G19" s="338"/>
      <c r="H19" s="338"/>
      <c r="I19" s="338"/>
      <c r="J19" s="43"/>
      <c r="K19" s="548"/>
      <c r="L19" s="552"/>
      <c r="M19" s="473"/>
      <c r="N19" s="473"/>
      <c r="O19" s="473"/>
      <c r="P19" s="473"/>
      <c r="Q19" s="548"/>
      <c r="R19" s="548"/>
      <c r="S19" s="548"/>
      <c r="T19" s="548"/>
      <c r="U19" s="548"/>
      <c r="V19" s="487"/>
    </row>
    <row r="20" spans="1:22" s="62" customFormat="1" x14ac:dyDescent="0.25">
      <c r="C20" s="113" t="s">
        <v>81</v>
      </c>
      <c r="D20" s="26"/>
      <c r="E20" s="26"/>
      <c r="F20" s="324">
        <f>SUM(F15:F18)</f>
        <v>894241.14540025499</v>
      </c>
      <c r="G20" s="324">
        <f>SUM(G15:G18)</f>
        <v>622078.66200600797</v>
      </c>
      <c r="H20" s="324">
        <f>SUM(H15:H18)</f>
        <v>547481.67598706111</v>
      </c>
      <c r="I20" s="324">
        <f>SUM(I15:I18)</f>
        <v>530487.01148966991</v>
      </c>
      <c r="J20" s="112"/>
      <c r="K20" s="551"/>
      <c r="L20" s="551"/>
      <c r="M20" s="551"/>
      <c r="N20" s="551"/>
      <c r="O20" s="551"/>
      <c r="P20" s="551"/>
      <c r="Q20" s="551"/>
      <c r="R20" s="551"/>
      <c r="S20" s="551"/>
      <c r="T20" s="551"/>
      <c r="U20" s="551"/>
      <c r="V20" s="463"/>
    </row>
    <row r="21" spans="1:22" x14ac:dyDescent="0.25">
      <c r="C21" s="458" t="s">
        <v>212</v>
      </c>
      <c r="D21" s="16"/>
      <c r="E21" s="16"/>
      <c r="F21" s="27">
        <f>F20/$E$22</f>
        <v>4352.8093136694652</v>
      </c>
      <c r="G21" s="27">
        <f t="shared" ref="G21:I21" si="0">G20/$E$22</f>
        <v>3028.0308703563474</v>
      </c>
      <c r="H21" s="27">
        <f t="shared" si="0"/>
        <v>2664.9224882547755</v>
      </c>
      <c r="I21" s="27">
        <f t="shared" si="0"/>
        <v>2582.199238170122</v>
      </c>
      <c r="J21" s="18"/>
      <c r="K21" s="548"/>
      <c r="L21" s="548"/>
      <c r="M21" s="548"/>
      <c r="N21" s="548"/>
      <c r="O21" s="548"/>
      <c r="P21" s="548"/>
      <c r="Q21" s="548"/>
      <c r="R21" s="548"/>
      <c r="S21" s="548"/>
      <c r="T21" s="548"/>
      <c r="U21" s="548"/>
      <c r="V21" s="487"/>
    </row>
    <row r="22" spans="1:22" x14ac:dyDescent="0.25">
      <c r="C22" s="17" t="s">
        <v>114</v>
      </c>
      <c r="D22" s="16"/>
      <c r="E22" s="27">
        <v>205.44</v>
      </c>
      <c r="F22" s="34" t="s">
        <v>154</v>
      </c>
      <c r="G22" s="29"/>
      <c r="H22" s="29"/>
      <c r="I22" s="29"/>
      <c r="J22" s="18"/>
      <c r="K22" s="548"/>
      <c r="L22" s="548"/>
      <c r="M22" s="548"/>
      <c r="N22" s="548"/>
      <c r="O22" s="548"/>
      <c r="P22" s="548"/>
      <c r="Q22" s="548"/>
      <c r="R22" s="548"/>
      <c r="S22" s="548"/>
      <c r="T22" s="548"/>
      <c r="U22" s="548"/>
      <c r="V22" s="487"/>
    </row>
    <row r="23" spans="1:22" x14ac:dyDescent="0.25">
      <c r="C23" s="17"/>
      <c r="F23" s="36"/>
      <c r="K23" s="548"/>
      <c r="L23" s="548"/>
      <c r="M23" s="548"/>
      <c r="N23" s="548"/>
      <c r="O23" s="548"/>
      <c r="P23" s="548"/>
      <c r="Q23" s="548"/>
      <c r="R23" s="548"/>
      <c r="S23" s="548"/>
      <c r="T23" s="548"/>
      <c r="U23" s="548"/>
      <c r="V23" s="487"/>
    </row>
    <row r="24" spans="1:22" x14ac:dyDescent="0.25">
      <c r="C24" s="17"/>
      <c r="K24" s="548"/>
      <c r="L24" s="548"/>
      <c r="M24" s="548"/>
      <c r="N24" s="548"/>
      <c r="O24" s="548"/>
      <c r="P24" s="548"/>
      <c r="Q24" s="548"/>
      <c r="R24" s="548"/>
      <c r="S24" s="548"/>
      <c r="T24" s="548"/>
      <c r="U24" s="548"/>
      <c r="V24" s="487"/>
    </row>
    <row r="25" spans="1:22" x14ac:dyDescent="0.25">
      <c r="K25" s="548"/>
      <c r="L25" s="548"/>
      <c r="M25" s="548"/>
      <c r="N25" s="548"/>
      <c r="O25" s="548"/>
      <c r="P25" s="548"/>
      <c r="Q25" s="548"/>
      <c r="R25" s="548"/>
      <c r="S25" s="548"/>
      <c r="T25" s="548"/>
      <c r="U25" s="548"/>
      <c r="V25" s="487"/>
    </row>
    <row r="26" spans="1:22" x14ac:dyDescent="0.25">
      <c r="A26" s="13" t="s">
        <v>29</v>
      </c>
      <c r="B26" s="33" t="s">
        <v>275</v>
      </c>
      <c r="K26" s="548"/>
      <c r="L26" s="548"/>
      <c r="M26" s="548"/>
      <c r="N26" s="548"/>
      <c r="O26" s="548"/>
      <c r="P26" s="548"/>
      <c r="Q26" s="548"/>
      <c r="R26" s="548"/>
      <c r="S26" s="548"/>
      <c r="T26" s="548"/>
      <c r="U26" s="548"/>
      <c r="V26" s="487"/>
    </row>
    <row r="27" spans="1:22" x14ac:dyDescent="0.25">
      <c r="F27" s="84" t="s">
        <v>85</v>
      </c>
      <c r="G27" s="84" t="s">
        <v>108</v>
      </c>
      <c r="H27" s="84" t="s">
        <v>110</v>
      </c>
      <c r="I27" s="84" t="s">
        <v>109</v>
      </c>
      <c r="K27" s="548"/>
      <c r="L27" s="552"/>
      <c r="M27" s="527"/>
      <c r="N27" s="527"/>
      <c r="O27" s="528"/>
      <c r="P27" s="527"/>
      <c r="Q27" s="548"/>
      <c r="R27" s="548"/>
      <c r="S27" s="548"/>
      <c r="T27" s="548"/>
      <c r="U27" s="548"/>
      <c r="V27" s="487"/>
    </row>
    <row r="28" spans="1:22" x14ac:dyDescent="0.25">
      <c r="C28" s="12" t="s">
        <v>133</v>
      </c>
      <c r="F28" s="694">
        <v>504860.14534152613</v>
      </c>
      <c r="G28" s="721">
        <v>425765.53835102671</v>
      </c>
      <c r="H28" s="721">
        <v>403888.11627322092</v>
      </c>
      <c r="I28" s="721">
        <v>403888.11627322092</v>
      </c>
      <c r="J28" s="18"/>
      <c r="K28" s="484"/>
      <c r="L28" s="552"/>
      <c r="M28" s="473"/>
      <c r="N28" s="473"/>
      <c r="O28" s="473"/>
      <c r="P28" s="473"/>
      <c r="Q28" s="548"/>
      <c r="R28" s="548"/>
      <c r="S28" s="548"/>
      <c r="T28" s="548"/>
      <c r="U28" s="548"/>
      <c r="V28" s="487"/>
    </row>
    <row r="29" spans="1:22" ht="15.75" customHeight="1" x14ac:dyDescent="0.25">
      <c r="C29" s="12" t="s">
        <v>132</v>
      </c>
      <c r="F29" s="694">
        <v>224834.69722043158</v>
      </c>
      <c r="G29" s="721">
        <v>158438.3242469648</v>
      </c>
      <c r="H29" s="721">
        <v>124055.10409066474</v>
      </c>
      <c r="I29" s="721">
        <v>111649.59368159824</v>
      </c>
      <c r="J29" s="18"/>
      <c r="K29" s="484"/>
      <c r="L29" s="552"/>
      <c r="M29" s="473"/>
      <c r="N29" s="473"/>
      <c r="O29" s="473"/>
      <c r="P29" s="473"/>
      <c r="Q29" s="483"/>
      <c r="R29" s="483"/>
      <c r="S29" s="483"/>
      <c r="T29" s="483"/>
      <c r="U29" s="548"/>
      <c r="V29" s="487"/>
    </row>
    <row r="30" spans="1:22" s="73" customFormat="1" ht="15.75" customHeight="1" x14ac:dyDescent="0.25">
      <c r="C30" s="73" t="s">
        <v>156</v>
      </c>
      <c r="F30" s="694">
        <v>107902.68399290793</v>
      </c>
      <c r="G30" s="694">
        <v>10790.268399290793</v>
      </c>
      <c r="H30" s="694">
        <v>2158.0536798581588</v>
      </c>
      <c r="I30" s="694">
        <v>1079.0268399290794</v>
      </c>
      <c r="J30" s="43"/>
      <c r="K30" s="484"/>
      <c r="L30" s="552"/>
      <c r="M30" s="473"/>
      <c r="N30" s="473"/>
      <c r="O30" s="473"/>
      <c r="P30" s="473"/>
      <c r="Q30" s="483"/>
      <c r="R30" s="483"/>
      <c r="S30" s="483"/>
      <c r="T30" s="483"/>
      <c r="U30" s="548"/>
      <c r="V30" s="487"/>
    </row>
    <row r="31" spans="1:22" x14ac:dyDescent="0.25">
      <c r="C31" s="12" t="s">
        <v>113</v>
      </c>
      <c r="F31" s="694">
        <v>83759.752655486562</v>
      </c>
      <c r="G31" s="694">
        <v>59499.413099728226</v>
      </c>
      <c r="H31" s="694">
        <v>53010.127404374376</v>
      </c>
      <c r="I31" s="694">
        <v>51661.673679474829</v>
      </c>
      <c r="J31" s="18"/>
      <c r="K31" s="484"/>
      <c r="L31" s="552"/>
      <c r="M31" s="473"/>
      <c r="N31" s="473"/>
      <c r="O31" s="473"/>
      <c r="P31" s="473"/>
      <c r="Q31" s="548"/>
      <c r="R31" s="548"/>
      <c r="S31" s="548"/>
      <c r="T31" s="548"/>
      <c r="U31" s="548"/>
      <c r="V31" s="487"/>
    </row>
    <row r="32" spans="1:22" s="73" customFormat="1" x14ac:dyDescent="0.25">
      <c r="F32" s="236"/>
      <c r="G32" s="236"/>
      <c r="H32" s="236"/>
      <c r="I32" s="236"/>
      <c r="J32" s="43"/>
      <c r="K32" s="548"/>
      <c r="L32" s="552"/>
      <c r="M32" s="473"/>
      <c r="N32" s="473"/>
      <c r="O32" s="473"/>
      <c r="P32" s="473"/>
      <c r="Q32" s="548"/>
      <c r="R32" s="548"/>
      <c r="S32" s="548"/>
      <c r="T32" s="548"/>
      <c r="U32" s="548"/>
      <c r="V32" s="487"/>
    </row>
    <row r="33" spans="1:22" s="62" customFormat="1" x14ac:dyDescent="0.25">
      <c r="C33" s="26" t="s">
        <v>81</v>
      </c>
      <c r="D33" s="26"/>
      <c r="E33" s="26"/>
      <c r="F33" s="115">
        <f>SUM(F28:F31)</f>
        <v>921357.27921035211</v>
      </c>
      <c r="G33" s="115">
        <f t="shared" ref="G33:I33" si="1">SUM(G28:G31)</f>
        <v>654493.5440970104</v>
      </c>
      <c r="H33" s="115">
        <f t="shared" si="1"/>
        <v>583111.40144811815</v>
      </c>
      <c r="I33" s="115">
        <f t="shared" si="1"/>
        <v>568278.41047422308</v>
      </c>
      <c r="J33" s="112"/>
      <c r="K33" s="551"/>
      <c r="L33" s="551"/>
      <c r="M33" s="551"/>
      <c r="N33" s="551"/>
      <c r="O33" s="551"/>
      <c r="P33" s="551"/>
      <c r="Q33" s="551"/>
      <c r="R33" s="551"/>
      <c r="S33" s="551"/>
      <c r="T33" s="551"/>
      <c r="U33" s="551"/>
      <c r="V33" s="463"/>
    </row>
    <row r="34" spans="1:22" s="73" customFormat="1" x14ac:dyDescent="0.25">
      <c r="C34" s="31" t="s">
        <v>212</v>
      </c>
      <c r="F34" s="212">
        <f>F33/$E$35</f>
        <v>4119.8232838953327</v>
      </c>
      <c r="G34" s="212">
        <f>G33/$E$35</f>
        <v>2926.5495622295225</v>
      </c>
      <c r="H34" s="525">
        <f t="shared" ref="H34:I34" si="2">H33/$E$35</f>
        <v>2607.3663094621634</v>
      </c>
      <c r="I34" s="525">
        <f t="shared" si="2"/>
        <v>2541.041005518794</v>
      </c>
      <c r="J34" s="43"/>
      <c r="K34" s="548"/>
      <c r="L34" s="548"/>
      <c r="M34" s="548"/>
      <c r="N34" s="548"/>
      <c r="O34" s="548"/>
      <c r="P34" s="548"/>
      <c r="Q34" s="548"/>
      <c r="R34" s="548"/>
      <c r="S34" s="548"/>
      <c r="T34" s="548"/>
      <c r="U34" s="548"/>
      <c r="V34" s="487"/>
    </row>
    <row r="35" spans="1:22" x14ac:dyDescent="0.25">
      <c r="C35" s="17" t="s">
        <v>114</v>
      </c>
      <c r="D35" s="16"/>
      <c r="E35" s="75">
        <v>223.64</v>
      </c>
      <c r="F35" s="28" t="s">
        <v>154</v>
      </c>
      <c r="G35" s="28"/>
      <c r="H35" s="28"/>
      <c r="I35" s="30"/>
      <c r="J35" s="18"/>
      <c r="K35" s="548"/>
      <c r="L35" s="548"/>
      <c r="M35" s="548"/>
      <c r="N35" s="548"/>
      <c r="O35" s="548"/>
      <c r="P35" s="548"/>
      <c r="Q35" s="548"/>
      <c r="R35" s="548"/>
      <c r="S35" s="548"/>
      <c r="T35" s="548"/>
      <c r="U35" s="548"/>
      <c r="V35" s="487"/>
    </row>
    <row r="36" spans="1:22" x14ac:dyDescent="0.25">
      <c r="C36" s="17"/>
      <c r="D36" s="16"/>
      <c r="E36" s="16"/>
      <c r="F36" s="35"/>
      <c r="G36" s="28"/>
      <c r="H36" s="28"/>
      <c r="I36" s="28"/>
      <c r="J36" s="18"/>
      <c r="K36" s="548"/>
      <c r="L36" s="548"/>
      <c r="M36" s="548"/>
      <c r="N36" s="548"/>
      <c r="O36" s="548"/>
      <c r="P36" s="548"/>
      <c r="Q36" s="548"/>
      <c r="R36" s="548"/>
      <c r="S36" s="548"/>
      <c r="T36" s="548"/>
      <c r="U36" s="548"/>
      <c r="V36" s="487"/>
    </row>
    <row r="37" spans="1:22" x14ac:dyDescent="0.25">
      <c r="K37" s="548"/>
      <c r="L37" s="548"/>
      <c r="M37" s="548"/>
      <c r="N37" s="548"/>
      <c r="O37" s="548"/>
      <c r="P37" s="548"/>
      <c r="Q37" s="548"/>
      <c r="R37" s="548"/>
      <c r="S37" s="548"/>
      <c r="T37" s="548"/>
      <c r="U37" s="548"/>
      <c r="V37" s="487"/>
    </row>
    <row r="38" spans="1:22" x14ac:dyDescent="0.25">
      <c r="A38" s="13" t="s">
        <v>30</v>
      </c>
      <c r="B38" s="33" t="s">
        <v>276</v>
      </c>
      <c r="K38" s="548"/>
      <c r="L38" s="548"/>
      <c r="M38" s="548"/>
      <c r="N38" s="548"/>
      <c r="O38" s="548"/>
      <c r="P38" s="548"/>
      <c r="Q38" s="548"/>
      <c r="R38" s="548"/>
      <c r="S38" s="548"/>
      <c r="T38" s="548"/>
      <c r="U38" s="548"/>
      <c r="V38" s="487"/>
    </row>
    <row r="39" spans="1:22" x14ac:dyDescent="0.25">
      <c r="F39" s="84" t="s">
        <v>85</v>
      </c>
      <c r="G39" s="84" t="s">
        <v>108</v>
      </c>
      <c r="H39" s="84" t="s">
        <v>110</v>
      </c>
      <c r="I39" s="84" t="s">
        <v>109</v>
      </c>
      <c r="K39" s="548"/>
      <c r="L39" s="552"/>
      <c r="M39" s="527"/>
      <c r="N39" s="527"/>
      <c r="O39" s="528"/>
      <c r="P39" s="527"/>
      <c r="Q39" s="548"/>
      <c r="R39" s="548"/>
      <c r="S39" s="548"/>
      <c r="T39" s="548"/>
      <c r="U39" s="548"/>
      <c r="V39" s="487"/>
    </row>
    <row r="40" spans="1:22" x14ac:dyDescent="0.25">
      <c r="C40" s="12" t="s">
        <v>131</v>
      </c>
      <c r="F40" s="694">
        <v>554330.91668245511</v>
      </c>
      <c r="G40" s="721">
        <v>467485.90345998685</v>
      </c>
      <c r="H40" s="721">
        <v>443464.73334596411</v>
      </c>
      <c r="I40" s="721">
        <v>443464.73334596411</v>
      </c>
      <c r="K40" s="484"/>
      <c r="L40" s="552"/>
      <c r="M40" s="473"/>
      <c r="N40" s="473"/>
      <c r="O40" s="473"/>
      <c r="P40" s="473"/>
      <c r="Q40" s="548"/>
      <c r="R40" s="548"/>
      <c r="S40" s="548"/>
      <c r="T40" s="548"/>
      <c r="U40" s="548"/>
      <c r="V40" s="487"/>
    </row>
    <row r="41" spans="1:22" x14ac:dyDescent="0.25">
      <c r="C41" s="12" t="s">
        <v>132</v>
      </c>
      <c r="F41" s="694">
        <v>286425.02041222213</v>
      </c>
      <c r="G41" s="721">
        <v>201840.28896582269</v>
      </c>
      <c r="H41" s="721">
        <v>158038.26616037099</v>
      </c>
      <c r="I41" s="721">
        <v>142234.43954433387</v>
      </c>
      <c r="K41" s="484"/>
      <c r="L41" s="552"/>
      <c r="M41" s="473"/>
      <c r="N41" s="473"/>
      <c r="O41" s="473"/>
      <c r="P41" s="473"/>
      <c r="Q41" s="483"/>
      <c r="R41" s="483"/>
      <c r="S41" s="483"/>
      <c r="T41" s="483"/>
      <c r="U41" s="548"/>
      <c r="V41" s="487"/>
    </row>
    <row r="42" spans="1:22" s="73" customFormat="1" x14ac:dyDescent="0.25">
      <c r="C42" s="73" t="s">
        <v>157</v>
      </c>
      <c r="F42" s="694">
        <v>128176.30608275552</v>
      </c>
      <c r="G42" s="694">
        <v>12817.630608275551</v>
      </c>
      <c r="H42" s="694">
        <v>2563.5261216551107</v>
      </c>
      <c r="I42" s="694">
        <v>1281.7630608275554</v>
      </c>
      <c r="K42" s="484"/>
      <c r="L42" s="552"/>
      <c r="M42" s="473"/>
      <c r="N42" s="473"/>
      <c r="O42" s="473"/>
      <c r="P42" s="473"/>
      <c r="Q42" s="483"/>
      <c r="R42" s="483"/>
      <c r="S42" s="483"/>
      <c r="T42" s="483"/>
      <c r="U42" s="548"/>
      <c r="V42" s="487"/>
    </row>
    <row r="43" spans="1:22" x14ac:dyDescent="0.25">
      <c r="C43" s="16" t="s">
        <v>113</v>
      </c>
      <c r="D43" s="16"/>
      <c r="E43" s="16"/>
      <c r="F43" s="694">
        <v>96893.224317743283</v>
      </c>
      <c r="G43" s="694">
        <v>68214.382303408507</v>
      </c>
      <c r="H43" s="694">
        <v>60406.652562799027</v>
      </c>
      <c r="I43" s="694">
        <v>58698.093595112558</v>
      </c>
      <c r="K43" s="484"/>
      <c r="L43" s="552"/>
      <c r="M43" s="473"/>
      <c r="N43" s="473"/>
      <c r="O43" s="473"/>
      <c r="P43" s="473"/>
      <c r="Q43" s="548"/>
      <c r="R43" s="548"/>
      <c r="S43" s="548"/>
      <c r="T43" s="548"/>
      <c r="U43" s="548"/>
      <c r="V43" s="487"/>
    </row>
    <row r="44" spans="1:22" s="73" customFormat="1" x14ac:dyDescent="0.25">
      <c r="C44" s="69"/>
      <c r="D44" s="69"/>
      <c r="E44" s="69"/>
      <c r="F44" s="204"/>
      <c r="G44" s="204"/>
      <c r="H44" s="204"/>
      <c r="I44" s="204"/>
      <c r="K44" s="548"/>
      <c r="L44" s="552"/>
      <c r="M44" s="473"/>
      <c r="N44" s="473"/>
      <c r="O44" s="473"/>
      <c r="P44" s="473"/>
      <c r="Q44" s="548"/>
      <c r="R44" s="548"/>
      <c r="S44" s="548"/>
      <c r="T44" s="548"/>
      <c r="U44" s="548"/>
      <c r="V44" s="487"/>
    </row>
    <row r="45" spans="1:22" s="62" customFormat="1" x14ac:dyDescent="0.25">
      <c r="C45" s="113" t="s">
        <v>81</v>
      </c>
      <c r="D45" s="26"/>
      <c r="E45" s="26"/>
      <c r="F45" s="115">
        <f>SUM(F40:F43)</f>
        <v>1065825.467495176</v>
      </c>
      <c r="G45" s="115">
        <f t="shared" ref="G45:I45" si="3">SUM(G40:G43)</f>
        <v>750358.20533749356</v>
      </c>
      <c r="H45" s="115">
        <f t="shared" si="3"/>
        <v>664473.1781907893</v>
      </c>
      <c r="I45" s="115">
        <f t="shared" si="3"/>
        <v>645679.02954623802</v>
      </c>
      <c r="K45" s="551"/>
      <c r="L45" s="551"/>
      <c r="M45" s="551"/>
      <c r="N45" s="551"/>
      <c r="O45" s="551"/>
      <c r="P45" s="551"/>
      <c r="Q45" s="551"/>
      <c r="R45" s="551"/>
      <c r="S45" s="551"/>
      <c r="T45" s="551"/>
      <c r="U45" s="551"/>
      <c r="V45" s="463"/>
    </row>
    <row r="46" spans="1:22" x14ac:dyDescent="0.25">
      <c r="C46" s="31" t="s">
        <v>212</v>
      </c>
      <c r="D46" s="16"/>
      <c r="E46" s="16"/>
      <c r="F46" s="28">
        <f>F45/$E$47</f>
        <v>4355.1075368576639</v>
      </c>
      <c r="G46" s="495">
        <f t="shared" ref="G46:I46" si="4">G45/$E$47</f>
        <v>3066.065481704301</v>
      </c>
      <c r="H46" s="495">
        <f t="shared" si="4"/>
        <v>2715.1276026265245</v>
      </c>
      <c r="I46" s="495">
        <f t="shared" si="4"/>
        <v>2638.3321601202879</v>
      </c>
      <c r="K46" s="548"/>
      <c r="L46" s="548"/>
      <c r="M46" s="548"/>
      <c r="N46" s="548"/>
      <c r="O46" s="548"/>
      <c r="P46" s="548"/>
      <c r="Q46" s="548"/>
      <c r="R46" s="548"/>
      <c r="S46" s="548"/>
      <c r="T46" s="548"/>
      <c r="U46" s="548"/>
      <c r="V46" s="487"/>
    </row>
    <row r="47" spans="1:22" x14ac:dyDescent="0.25">
      <c r="C47" s="17" t="s">
        <v>114</v>
      </c>
      <c r="D47" s="16"/>
      <c r="E47" s="75">
        <v>244.73</v>
      </c>
      <c r="F47" s="27" t="s">
        <v>154</v>
      </c>
      <c r="G47" s="28"/>
      <c r="H47" s="28"/>
      <c r="I47" s="28"/>
      <c r="K47" s="548"/>
      <c r="L47" s="548"/>
      <c r="M47" s="548"/>
      <c r="N47" s="548"/>
      <c r="O47" s="548"/>
      <c r="P47" s="548"/>
      <c r="Q47" s="548"/>
      <c r="R47" s="548"/>
      <c r="S47" s="548"/>
      <c r="T47" s="548"/>
      <c r="U47" s="548"/>
      <c r="V47" s="487"/>
    </row>
    <row r="48" spans="1:22" x14ac:dyDescent="0.25">
      <c r="K48" s="548"/>
      <c r="L48" s="548"/>
      <c r="M48" s="548"/>
      <c r="N48" s="548"/>
      <c r="O48" s="548"/>
      <c r="P48" s="548"/>
      <c r="Q48" s="548"/>
      <c r="R48" s="548"/>
      <c r="S48" s="548"/>
      <c r="T48" s="548"/>
      <c r="U48" s="548"/>
      <c r="V48" s="487"/>
    </row>
    <row r="49" spans="1:22" x14ac:dyDescent="0.25">
      <c r="F49" s="14"/>
      <c r="G49" s="14"/>
      <c r="H49" s="14"/>
      <c r="I49" s="14"/>
      <c r="J49" s="14"/>
      <c r="K49" s="548"/>
      <c r="L49" s="548"/>
      <c r="M49" s="548"/>
      <c r="N49" s="548"/>
      <c r="O49" s="548"/>
      <c r="P49" s="548"/>
      <c r="Q49" s="548"/>
      <c r="R49" s="548"/>
      <c r="S49" s="548"/>
      <c r="T49" s="548"/>
      <c r="U49" s="548"/>
      <c r="V49" s="487"/>
    </row>
    <row r="50" spans="1:22" x14ac:dyDescent="0.25">
      <c r="A50" s="61" t="s">
        <v>31</v>
      </c>
      <c r="B50" s="61" t="s">
        <v>63</v>
      </c>
      <c r="C50" s="68"/>
      <c r="D50" s="68"/>
      <c r="E50" s="68"/>
      <c r="F50" s="68"/>
      <c r="G50" s="68"/>
      <c r="H50" s="68"/>
      <c r="I50" s="68"/>
      <c r="J50" s="18"/>
      <c r="K50" s="548"/>
      <c r="L50" s="548"/>
      <c r="M50" s="548"/>
      <c r="N50" s="548"/>
      <c r="O50" s="548"/>
      <c r="P50" s="548"/>
      <c r="Q50" s="548"/>
      <c r="R50" s="548"/>
      <c r="S50" s="548"/>
      <c r="T50" s="548"/>
      <c r="U50" s="548"/>
      <c r="V50" s="487"/>
    </row>
    <row r="51" spans="1:22" x14ac:dyDescent="0.25">
      <c r="A51" s="68"/>
      <c r="B51" s="68"/>
      <c r="C51" s="68"/>
      <c r="D51" s="68"/>
      <c r="E51" s="68"/>
      <c r="F51" s="65" t="s">
        <v>85</v>
      </c>
      <c r="G51" s="65" t="s">
        <v>108</v>
      </c>
      <c r="H51" s="65" t="s">
        <v>110</v>
      </c>
      <c r="I51" s="65" t="s">
        <v>109</v>
      </c>
      <c r="K51" s="548"/>
      <c r="L51" s="548"/>
      <c r="M51" s="548"/>
      <c r="N51" s="548"/>
      <c r="O51" s="548"/>
      <c r="P51" s="548"/>
      <c r="Q51" s="548"/>
      <c r="R51" s="548"/>
      <c r="S51" s="548"/>
      <c r="T51" s="548"/>
      <c r="U51" s="548"/>
      <c r="V51" s="487"/>
    </row>
    <row r="52" spans="1:22" s="73" customFormat="1" x14ac:dyDescent="0.25">
      <c r="C52" s="73" t="s">
        <v>153</v>
      </c>
      <c r="F52" s="114">
        <f>F45+F33+F20</f>
        <v>2881423.8921057833</v>
      </c>
      <c r="G52" s="457">
        <f t="shared" ref="G52:I52" si="5">G45+G33+G20</f>
        <v>2026930.4114405119</v>
      </c>
      <c r="H52" s="457">
        <f t="shared" si="5"/>
        <v>1795066.2556259686</v>
      </c>
      <c r="I52" s="457">
        <f t="shared" si="5"/>
        <v>1744444.4515101309</v>
      </c>
      <c r="K52" s="484"/>
      <c r="L52" s="484"/>
      <c r="M52" s="484"/>
      <c r="N52" s="487"/>
      <c r="O52" s="487"/>
      <c r="P52" s="487"/>
      <c r="Q52" s="487"/>
      <c r="R52" s="487"/>
      <c r="S52" s="487"/>
      <c r="T52" s="487"/>
      <c r="U52" s="487"/>
      <c r="V52" s="487"/>
    </row>
    <row r="53" spans="1:22" x14ac:dyDescent="0.25">
      <c r="A53" s="68"/>
      <c r="B53" s="68"/>
      <c r="C53" s="68" t="s">
        <v>139</v>
      </c>
      <c r="D53" s="68"/>
      <c r="E53" s="68"/>
      <c r="F53" s="205">
        <v>0.02</v>
      </c>
      <c r="G53" s="205">
        <v>0.02</v>
      </c>
      <c r="H53" s="205">
        <v>0.02</v>
      </c>
      <c r="I53" s="205">
        <v>0.02</v>
      </c>
      <c r="K53" s="487"/>
      <c r="L53" s="487"/>
      <c r="M53" s="487"/>
      <c r="N53" s="487"/>
      <c r="O53" s="487"/>
      <c r="P53" s="487"/>
      <c r="Q53" s="487"/>
      <c r="R53" s="487"/>
      <c r="S53" s="487"/>
      <c r="T53" s="487"/>
      <c r="U53" s="487"/>
      <c r="V53" s="487"/>
    </row>
    <row r="54" spans="1:22" s="73" customFormat="1" x14ac:dyDescent="0.25">
      <c r="F54" s="110"/>
      <c r="G54" s="110"/>
      <c r="H54" s="110"/>
      <c r="I54" s="110"/>
      <c r="K54" s="487"/>
      <c r="L54" s="487"/>
      <c r="M54" s="487"/>
      <c r="N54" s="487"/>
      <c r="O54" s="487"/>
      <c r="P54" s="487"/>
      <c r="Q54" s="487"/>
      <c r="R54" s="487"/>
      <c r="S54" s="487"/>
      <c r="T54" s="487"/>
      <c r="U54" s="487"/>
      <c r="V54" s="487"/>
    </row>
    <row r="55" spans="1:22" s="62" customFormat="1" x14ac:dyDescent="0.25">
      <c r="C55" s="113" t="s">
        <v>81</v>
      </c>
      <c r="D55" s="26"/>
      <c r="E55" s="26"/>
      <c r="F55" s="115">
        <f>F53*F52</f>
        <v>57628.477842115666</v>
      </c>
      <c r="G55" s="115">
        <f t="shared" ref="G55:I55" si="6">G53*G52</f>
        <v>40538.608228810241</v>
      </c>
      <c r="H55" s="115">
        <f t="shared" si="6"/>
        <v>35901.325112519371</v>
      </c>
      <c r="I55" s="115">
        <f t="shared" si="6"/>
        <v>34888.889030202619</v>
      </c>
    </row>
    <row r="56" spans="1:22" x14ac:dyDescent="0.25">
      <c r="A56" s="68"/>
      <c r="B56" s="68"/>
      <c r="C56" s="458" t="s">
        <v>212</v>
      </c>
      <c r="D56" s="69"/>
      <c r="E56" s="69"/>
      <c r="F56" s="51">
        <f>F55/$E$57</f>
        <v>4276.3151216304059</v>
      </c>
      <c r="G56" s="495">
        <f t="shared" ref="G56:I56" si="7">G55/$E$57</f>
        <v>3008.1631490190293</v>
      </c>
      <c r="H56" s="495">
        <f t="shared" si="7"/>
        <v>2664.0540443537034</v>
      </c>
      <c r="I56" s="495">
        <f t="shared" si="7"/>
        <v>2588.9263316218685</v>
      </c>
    </row>
    <row r="57" spans="1:22" x14ac:dyDescent="0.25">
      <c r="A57" s="68"/>
      <c r="B57" s="68"/>
      <c r="C57" s="64" t="s">
        <v>213</v>
      </c>
      <c r="D57" s="69"/>
      <c r="E57" s="75">
        <f>F53*(E47+E35+E22)</f>
        <v>13.476199999999999</v>
      </c>
      <c r="F57" s="27" t="s">
        <v>154</v>
      </c>
      <c r="G57" s="51"/>
      <c r="H57" s="51"/>
      <c r="I57" s="51"/>
    </row>
    <row r="60" spans="1:22" x14ac:dyDescent="0.25">
      <c r="A60" s="61"/>
      <c r="B60" s="61"/>
      <c r="C60" s="68"/>
      <c r="D60" s="68"/>
      <c r="E60" s="68"/>
      <c r="F60" s="68"/>
      <c r="G60" s="68"/>
      <c r="H60" s="68"/>
      <c r="I60" s="68"/>
    </row>
    <row r="61" spans="1:22" x14ac:dyDescent="0.25">
      <c r="A61" s="68"/>
      <c r="B61" s="68"/>
      <c r="C61" s="68"/>
      <c r="D61" s="68"/>
      <c r="E61" s="68"/>
      <c r="F61" s="84"/>
      <c r="G61" s="84"/>
      <c r="H61" s="84"/>
      <c r="I61" s="84"/>
    </row>
    <row r="62" spans="1:22" x14ac:dyDescent="0.25">
      <c r="A62" s="68"/>
      <c r="B62" s="68"/>
      <c r="C62" s="68"/>
      <c r="D62" s="68"/>
      <c r="E62" s="68"/>
      <c r="F62" s="209"/>
      <c r="G62" s="209"/>
      <c r="H62" s="209"/>
      <c r="I62" s="209"/>
      <c r="K62" s="67"/>
      <c r="L62" s="67"/>
      <c r="M62" s="67"/>
    </row>
    <row r="63" spans="1:22" x14ac:dyDescent="0.25">
      <c r="A63" s="68"/>
      <c r="B63" s="68"/>
      <c r="C63" s="68"/>
      <c r="D63" s="68"/>
      <c r="E63" s="68"/>
      <c r="F63" s="209"/>
      <c r="G63" s="209"/>
      <c r="H63" s="209"/>
      <c r="I63" s="209"/>
      <c r="K63" s="67"/>
      <c r="L63" s="67"/>
      <c r="M63" s="67"/>
    </row>
    <row r="64" spans="1:22" s="73" customFormat="1" x14ac:dyDescent="0.25">
      <c r="F64" s="209"/>
      <c r="G64" s="209"/>
      <c r="H64" s="209"/>
      <c r="I64" s="209"/>
      <c r="K64" s="67"/>
      <c r="L64" s="67"/>
      <c r="M64" s="67"/>
    </row>
    <row r="65" spans="1:13" x14ac:dyDescent="0.25">
      <c r="A65" s="68"/>
      <c r="B65" s="68"/>
      <c r="C65" s="69"/>
      <c r="D65" s="69"/>
      <c r="E65" s="69"/>
      <c r="F65" s="203"/>
      <c r="G65" s="203"/>
      <c r="H65" s="203"/>
      <c r="I65" s="203"/>
      <c r="K65" s="67"/>
      <c r="L65" s="67"/>
      <c r="M65" s="67"/>
    </row>
    <row r="66" spans="1:13" s="73" customFormat="1" x14ac:dyDescent="0.25">
      <c r="C66" s="69"/>
      <c r="D66" s="69"/>
      <c r="E66" s="69"/>
      <c r="F66" s="210"/>
      <c r="G66" s="210"/>
      <c r="H66" s="210"/>
      <c r="I66" s="210"/>
    </row>
    <row r="67" spans="1:13" s="62" customFormat="1" x14ac:dyDescent="0.25">
      <c r="C67" s="113"/>
      <c r="D67" s="26"/>
      <c r="E67" s="26"/>
      <c r="F67" s="111"/>
      <c r="G67" s="111"/>
      <c r="H67" s="111"/>
      <c r="I67" s="111"/>
    </row>
    <row r="68" spans="1:13" x14ac:dyDescent="0.25">
      <c r="A68" s="68"/>
      <c r="B68" s="68"/>
      <c r="C68" s="31"/>
      <c r="D68" s="69"/>
      <c r="E68" s="69"/>
      <c r="F68" s="326"/>
      <c r="G68" s="223"/>
      <c r="H68" s="223"/>
      <c r="I68" s="223"/>
    </row>
    <row r="69" spans="1:13" x14ac:dyDescent="0.25">
      <c r="A69" s="68"/>
      <c r="B69" s="68"/>
      <c r="C69" s="64"/>
      <c r="D69" s="69"/>
      <c r="E69" s="75"/>
      <c r="F69" s="27"/>
      <c r="G69" s="51"/>
      <c r="H69" s="51"/>
      <c r="I69" s="51"/>
    </row>
    <row r="71" spans="1:13" s="295" customFormat="1" x14ac:dyDescent="0.25">
      <c r="A71" s="213" t="s">
        <v>150</v>
      </c>
    </row>
    <row r="72" spans="1:13" s="295" customFormat="1" x14ac:dyDescent="0.25">
      <c r="A72" s="295" t="s">
        <v>28</v>
      </c>
      <c r="B72" s="295" t="s">
        <v>503</v>
      </c>
    </row>
    <row r="73" spans="1:13" s="723" customFormat="1" x14ac:dyDescent="0.25">
      <c r="A73" s="723" t="s">
        <v>29</v>
      </c>
      <c r="B73" s="723" t="s">
        <v>503</v>
      </c>
    </row>
    <row r="74" spans="1:13" s="337" customFormat="1" x14ac:dyDescent="0.25">
      <c r="A74" s="337" t="s">
        <v>30</v>
      </c>
      <c r="B74" s="723" t="s">
        <v>503</v>
      </c>
    </row>
    <row r="75" spans="1:13" s="295" customFormat="1" x14ac:dyDescent="0.25">
      <c r="A75" s="295" t="s">
        <v>31</v>
      </c>
      <c r="B75" s="295" t="s">
        <v>504</v>
      </c>
    </row>
    <row r="76" spans="1:13" s="295" customFormat="1" x14ac:dyDescent="0.25"/>
    <row r="77" spans="1:13" s="295" customFormat="1" x14ac:dyDescent="0.25">
      <c r="A77" s="213" t="s">
        <v>235</v>
      </c>
    </row>
    <row r="78" spans="1:13" s="295" customFormat="1" x14ac:dyDescent="0.25">
      <c r="A78" s="295" t="s">
        <v>28</v>
      </c>
      <c r="B78" s="295" t="s">
        <v>507</v>
      </c>
    </row>
    <row r="79" spans="1:13" s="295" customFormat="1" x14ac:dyDescent="0.25">
      <c r="A79" s="295" t="s">
        <v>29</v>
      </c>
      <c r="B79" s="730" t="s">
        <v>507</v>
      </c>
    </row>
    <row r="80" spans="1:13" s="295" customFormat="1" x14ac:dyDescent="0.25">
      <c r="A80" s="295" t="s">
        <v>30</v>
      </c>
      <c r="B80" s="730" t="s">
        <v>507</v>
      </c>
    </row>
    <row r="81" spans="1:2" s="295" customFormat="1" x14ac:dyDescent="0.25">
      <c r="A81" s="295" t="s">
        <v>31</v>
      </c>
      <c r="B81" s="295" t="s">
        <v>237</v>
      </c>
    </row>
    <row r="82" spans="1:2" s="295" customFormat="1" x14ac:dyDescent="0.25"/>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34"/>
  <sheetViews>
    <sheetView zoomScale="70" zoomScaleNormal="70" workbookViewId="0">
      <selection activeCell="L53" sqref="L53"/>
    </sheetView>
  </sheetViews>
  <sheetFormatPr defaultColWidth="9.140625" defaultRowHeight="15" x14ac:dyDescent="0.25"/>
  <cols>
    <col min="1" max="3" width="4.140625" style="73" customWidth="1"/>
    <col min="4" max="4" width="4.5703125" style="73" customWidth="1"/>
    <col min="5" max="5" width="65.85546875" style="73" customWidth="1"/>
    <col min="6" max="6" width="31.28515625" style="73" customWidth="1"/>
    <col min="7" max="7" width="17.85546875" style="73" customWidth="1"/>
    <col min="8" max="8" width="18.7109375" style="73" customWidth="1"/>
    <col min="9" max="9" width="19.7109375" style="73" customWidth="1"/>
    <col min="10" max="10" width="24.85546875" style="73" customWidth="1"/>
    <col min="11" max="11" width="24.140625" style="73" bestFit="1" customWidth="1"/>
    <col min="12" max="12" width="21.42578125" style="73" customWidth="1"/>
    <col min="13" max="13" width="16.7109375" style="73" customWidth="1"/>
    <col min="14" max="17" width="9.140625" style="73"/>
    <col min="18" max="19" width="9" style="73" customWidth="1"/>
    <col min="20" max="20" width="9.140625" style="73"/>
    <col min="21" max="21" width="9.7109375" style="73" customWidth="1"/>
    <col min="22" max="22" width="12.5703125" style="73" customWidth="1"/>
    <col min="23" max="23" width="8.28515625" style="73" customWidth="1"/>
    <col min="24" max="24" width="9.140625" style="73"/>
    <col min="25" max="25" width="17.28515625" style="73" customWidth="1"/>
    <col min="26" max="27" width="9.140625" style="73"/>
    <col min="28" max="28" width="11.7109375" style="73" customWidth="1"/>
    <col min="29" max="16384" width="9.140625" style="73"/>
  </cols>
  <sheetData>
    <row r="1" spans="1:14" x14ac:dyDescent="0.25">
      <c r="A1" s="488" t="s">
        <v>406</v>
      </c>
    </row>
    <row r="3" spans="1:14" x14ac:dyDescent="0.25">
      <c r="A3" s="61" t="s">
        <v>111</v>
      </c>
      <c r="F3" s="215" t="s">
        <v>252</v>
      </c>
      <c r="G3" s="73">
        <v>1</v>
      </c>
      <c r="H3" s="73">
        <v>10</v>
      </c>
      <c r="I3" s="73">
        <v>50</v>
      </c>
      <c r="J3" s="73">
        <v>100</v>
      </c>
      <c r="K3" s="73" t="s">
        <v>116</v>
      </c>
      <c r="L3" s="73" t="s">
        <v>142</v>
      </c>
    </row>
    <row r="4" spans="1:14" x14ac:dyDescent="0.25">
      <c r="A4" s="61"/>
      <c r="B4" s="750" t="s">
        <v>33</v>
      </c>
      <c r="C4" s="750"/>
      <c r="D4" s="234"/>
      <c r="E4" s="599" t="s">
        <v>34</v>
      </c>
      <c r="F4" s="231">
        <f>SUMIF($F$55:$F$76,"="&amp;E4,$H$55:$H$76)</f>
        <v>20037.16</v>
      </c>
      <c r="G4" s="300">
        <f>SUMIF($F$27:$F$48,"="&amp;E4,$H$27:$H$48)</f>
        <v>25740</v>
      </c>
      <c r="H4" s="300">
        <f>$G4*H$3^(LOG10($K4)/LOG10(2))*H$3</f>
        <v>227101.82297815234</v>
      </c>
      <c r="I4" s="300">
        <f t="shared" ref="H4:J16" si="0">$G4*I$3^(LOG10($K4)/LOG10(2))*I$3</f>
        <v>1040339.5245428892</v>
      </c>
      <c r="J4" s="300">
        <f>$G4*J$3^(LOG10($K4)/LOG10(2))*J$3</f>
        <v>2003700.0000000014</v>
      </c>
      <c r="K4" s="301">
        <v>0.96300292007092581</v>
      </c>
      <c r="L4" s="302">
        <f>SUMIF($F$27:$F$44,"="&amp;E4,$K$27:$K$44)</f>
        <v>2073.5</v>
      </c>
    </row>
    <row r="5" spans="1:14" x14ac:dyDescent="0.25">
      <c r="B5" s="750" t="s">
        <v>35</v>
      </c>
      <c r="C5" s="750"/>
      <c r="D5" s="234"/>
      <c r="E5" s="599" t="s">
        <v>344</v>
      </c>
      <c r="F5" s="406">
        <f t="shared" ref="F5:F16" si="1">SUMIF($F$55:$F$76,"="&amp;E5,$H$55:$H$76)</f>
        <v>95755.66</v>
      </c>
      <c r="G5" s="300">
        <f t="shared" ref="G5:G16" si="2">SUMIF($F$27:$F$48,"="&amp;E5,$H$27:$H$48)</f>
        <v>115140.73999999999</v>
      </c>
      <c r="H5" s="300">
        <f t="shared" si="0"/>
        <v>1050019.8426429844</v>
      </c>
      <c r="I5" s="300">
        <f t="shared" si="0"/>
        <v>4922510.8913911395</v>
      </c>
      <c r="J5" s="300">
        <f>$G5*J$3^(LOG10($K5)/LOG10(2))*J$3</f>
        <v>9575599.9999999814</v>
      </c>
      <c r="K5" s="301">
        <v>0.97263370374116587</v>
      </c>
      <c r="L5" s="302">
        <f t="shared" ref="L5:L16" si="3">SUMIF($F$27:$F$44,"="&amp;E5,$K$27:$K$44)</f>
        <v>7955.460308390022</v>
      </c>
    </row>
    <row r="6" spans="1:14" x14ac:dyDescent="0.25">
      <c r="B6" s="216" t="s">
        <v>36</v>
      </c>
      <c r="C6" s="216"/>
      <c r="D6" s="216"/>
      <c r="E6" s="600" t="s">
        <v>343</v>
      </c>
      <c r="F6" s="406">
        <f t="shared" si="1"/>
        <v>23452</v>
      </c>
      <c r="G6" s="300">
        <f t="shared" si="2"/>
        <v>56628</v>
      </c>
      <c r="H6" s="300">
        <f t="shared" si="0"/>
        <v>364422.81158022245</v>
      </c>
      <c r="I6" s="300">
        <f t="shared" si="0"/>
        <v>1338982.0595969318</v>
      </c>
      <c r="J6" s="300">
        <f t="shared" si="0"/>
        <v>2345200.0000006063</v>
      </c>
      <c r="K6" s="301">
        <v>0.87573988881769349</v>
      </c>
      <c r="L6" s="302">
        <f t="shared" si="3"/>
        <v>1292.72</v>
      </c>
    </row>
    <row r="7" spans="1:14" x14ac:dyDescent="0.25">
      <c r="B7" s="216" t="s">
        <v>37</v>
      </c>
      <c r="C7" s="216"/>
      <c r="D7" s="216"/>
      <c r="E7" s="600" t="s">
        <v>39</v>
      </c>
      <c r="F7" s="406">
        <f>SUMIF($F$55:$F$76,"="&amp;E7,$H$55:$H$76)</f>
        <v>19305</v>
      </c>
      <c r="G7" s="300">
        <f t="shared" si="2"/>
        <v>85800</v>
      </c>
      <c r="H7" s="231">
        <f t="shared" si="0"/>
        <v>406985.13486406015</v>
      </c>
      <c r="I7" s="231">
        <f t="shared" si="0"/>
        <v>1208220.1021814416</v>
      </c>
      <c r="J7" s="231">
        <f t="shared" si="0"/>
        <v>1930500.0000036976</v>
      </c>
      <c r="K7" s="301">
        <v>0.79890245019023443</v>
      </c>
      <c r="L7" s="302">
        <f t="shared" si="3"/>
        <v>1141.1399999999999</v>
      </c>
    </row>
    <row r="8" spans="1:14" x14ac:dyDescent="0.25">
      <c r="B8" s="216" t="s">
        <v>40</v>
      </c>
      <c r="C8" s="216"/>
      <c r="D8" s="216"/>
      <c r="E8" s="600" t="s">
        <v>41</v>
      </c>
      <c r="F8" s="406">
        <f t="shared" si="1"/>
        <v>42900</v>
      </c>
      <c r="G8" s="300">
        <f t="shared" si="2"/>
        <v>57200</v>
      </c>
      <c r="H8" s="231">
        <f t="shared" si="0"/>
        <v>495366.53096441738</v>
      </c>
      <c r="I8" s="231">
        <f t="shared" si="0"/>
        <v>2239919.7042117147</v>
      </c>
      <c r="J8" s="231">
        <f t="shared" si="0"/>
        <v>4289999.9999951245</v>
      </c>
      <c r="K8" s="301">
        <v>0.95762361300912935</v>
      </c>
      <c r="L8" s="302">
        <f t="shared" si="3"/>
        <v>0</v>
      </c>
    </row>
    <row r="9" spans="1:14" x14ac:dyDescent="0.25">
      <c r="B9" s="216" t="s">
        <v>42</v>
      </c>
      <c r="C9" s="216"/>
      <c r="D9" s="216"/>
      <c r="E9" s="600" t="s">
        <v>43</v>
      </c>
      <c r="F9" s="406">
        <f t="shared" si="1"/>
        <v>88000</v>
      </c>
      <c r="G9" s="300">
        <f t="shared" si="2"/>
        <v>88000</v>
      </c>
      <c r="H9" s="231">
        <f t="shared" si="0"/>
        <v>880000</v>
      </c>
      <c r="I9" s="231">
        <f t="shared" si="0"/>
        <v>4400000</v>
      </c>
      <c r="J9" s="231">
        <f t="shared" si="0"/>
        <v>8800000</v>
      </c>
      <c r="K9" s="301">
        <v>1</v>
      </c>
      <c r="L9" s="302">
        <f t="shared" si="3"/>
        <v>0</v>
      </c>
    </row>
    <row r="10" spans="1:14" x14ac:dyDescent="0.25">
      <c r="A10" s="25"/>
      <c r="B10" s="221" t="s">
        <v>44</v>
      </c>
      <c r="C10" s="221"/>
      <c r="D10" s="221"/>
      <c r="E10" s="601" t="s">
        <v>45</v>
      </c>
      <c r="F10" s="406">
        <f t="shared" si="1"/>
        <v>0</v>
      </c>
      <c r="G10" s="300">
        <f t="shared" si="2"/>
        <v>0</v>
      </c>
      <c r="H10" s="231">
        <f t="shared" si="0"/>
        <v>0</v>
      </c>
      <c r="I10" s="231">
        <f t="shared" si="0"/>
        <v>0</v>
      </c>
      <c r="J10" s="231">
        <f t="shared" si="0"/>
        <v>0</v>
      </c>
      <c r="K10" s="301">
        <v>0.96699999999999997</v>
      </c>
      <c r="L10" s="302">
        <f t="shared" si="3"/>
        <v>0</v>
      </c>
    </row>
    <row r="11" spans="1:14" x14ac:dyDescent="0.25">
      <c r="B11" s="216" t="s">
        <v>46</v>
      </c>
      <c r="C11" s="216"/>
      <c r="D11" s="216"/>
      <c r="E11" s="600" t="s">
        <v>60</v>
      </c>
      <c r="F11" s="406">
        <f t="shared" si="1"/>
        <v>0</v>
      </c>
      <c r="G11" s="300">
        <f t="shared" si="2"/>
        <v>0</v>
      </c>
      <c r="H11" s="231">
        <f t="shared" si="0"/>
        <v>0</v>
      </c>
      <c r="I11" s="231">
        <f t="shared" si="0"/>
        <v>0</v>
      </c>
      <c r="J11" s="231">
        <f t="shared" si="0"/>
        <v>0</v>
      </c>
      <c r="K11" s="301">
        <v>0.96699999999999997</v>
      </c>
      <c r="L11" s="302">
        <f t="shared" si="3"/>
        <v>0</v>
      </c>
    </row>
    <row r="12" spans="1:14" x14ac:dyDescent="0.25">
      <c r="B12" s="216" t="s">
        <v>61</v>
      </c>
      <c r="C12" s="216"/>
      <c r="D12" s="216"/>
      <c r="E12" s="600" t="s">
        <v>62</v>
      </c>
      <c r="F12" s="406">
        <f t="shared" si="1"/>
        <v>5000</v>
      </c>
      <c r="G12" s="300">
        <f t="shared" si="2"/>
        <v>5643.5</v>
      </c>
      <c r="H12" s="231">
        <f>$G12*H$3^(LOG10($K12)/LOG10(2))*H$3</f>
        <v>53120.14683715078</v>
      </c>
      <c r="I12" s="231">
        <f t="shared" si="0"/>
        <v>254597.34197343577</v>
      </c>
      <c r="J12" s="231">
        <f>$G12*J$3^(LOG10($K12)/LOG10(2))*J$3</f>
        <v>500000.00000008137</v>
      </c>
      <c r="K12" s="301">
        <v>0.98194269453969885</v>
      </c>
      <c r="L12" s="302">
        <f t="shared" si="3"/>
        <v>0</v>
      </c>
    </row>
    <row r="13" spans="1:14" x14ac:dyDescent="0.25">
      <c r="B13" s="216" t="s">
        <v>67</v>
      </c>
      <c r="C13" s="216"/>
      <c r="D13" s="216"/>
      <c r="E13" s="600" t="s">
        <v>64</v>
      </c>
      <c r="F13" s="406">
        <f t="shared" si="1"/>
        <v>66307.956000000006</v>
      </c>
      <c r="G13" s="300">
        <f t="shared" si="2"/>
        <v>88410.608000000007</v>
      </c>
      <c r="H13" s="231">
        <f t="shared" si="0"/>
        <v>765658.57895391807</v>
      </c>
      <c r="I13" s="231">
        <f t="shared" si="0"/>
        <v>3462111.4431850729</v>
      </c>
      <c r="J13" s="231">
        <f t="shared" si="0"/>
        <v>6630799.9999924563</v>
      </c>
      <c r="K13" s="301">
        <v>0.95762370865396729</v>
      </c>
      <c r="L13" s="302">
        <f t="shared" si="3"/>
        <v>0</v>
      </c>
    </row>
    <row r="14" spans="1:14" x14ac:dyDescent="0.25">
      <c r="B14" s="221" t="s">
        <v>68</v>
      </c>
      <c r="C14" s="221"/>
      <c r="D14" s="221"/>
      <c r="E14" s="601" t="s">
        <v>65</v>
      </c>
      <c r="F14" s="406">
        <f t="shared" si="1"/>
        <v>43500.6</v>
      </c>
      <c r="G14" s="300">
        <f t="shared" si="2"/>
        <v>58000.799999999996</v>
      </c>
      <c r="H14" s="231">
        <f t="shared" si="0"/>
        <v>502303.97179368313</v>
      </c>
      <c r="I14" s="231">
        <f t="shared" si="0"/>
        <v>2271296.3215799998</v>
      </c>
      <c r="J14" s="231">
        <f t="shared" si="0"/>
        <v>4350099.9999949867</v>
      </c>
      <c r="K14" s="301">
        <v>0.95762493838075957</v>
      </c>
      <c r="L14" s="302">
        <f t="shared" si="3"/>
        <v>0</v>
      </c>
    </row>
    <row r="15" spans="1:14" x14ac:dyDescent="0.25">
      <c r="B15" s="216" t="s">
        <v>69</v>
      </c>
      <c r="C15" s="216"/>
      <c r="D15" s="216"/>
      <c r="E15" s="600" t="s">
        <v>140</v>
      </c>
      <c r="F15" s="406">
        <f t="shared" si="1"/>
        <v>5720</v>
      </c>
      <c r="G15" s="300">
        <f t="shared" si="2"/>
        <v>28600</v>
      </c>
      <c r="H15" s="231">
        <f t="shared" si="0"/>
        <v>127903.08831586117</v>
      </c>
      <c r="I15" s="231">
        <f t="shared" si="0"/>
        <v>364394.23865305091</v>
      </c>
      <c r="J15" s="231">
        <f t="shared" si="0"/>
        <v>572000.00002569868</v>
      </c>
      <c r="K15" s="301">
        <v>0.78486422032911807</v>
      </c>
      <c r="L15" s="302">
        <f t="shared" si="3"/>
        <v>0</v>
      </c>
    </row>
    <row r="16" spans="1:14" x14ac:dyDescent="0.25">
      <c r="B16" s="216" t="s">
        <v>70</v>
      </c>
      <c r="C16" s="216"/>
      <c r="D16" s="216"/>
      <c r="E16" s="600" t="s">
        <v>17</v>
      </c>
      <c r="F16" s="406">
        <f t="shared" si="1"/>
        <v>2860</v>
      </c>
      <c r="G16" s="300">
        <f t="shared" si="2"/>
        <v>14300</v>
      </c>
      <c r="H16" s="231">
        <f t="shared" si="0"/>
        <v>63951.544157930584</v>
      </c>
      <c r="I16" s="231">
        <f>$G16*I$3^(LOG10($K16)/LOG10(2))*I$3</f>
        <v>182197.11932652546</v>
      </c>
      <c r="J16" s="231">
        <f t="shared" si="0"/>
        <v>286000.00001284934</v>
      </c>
      <c r="K16" s="301">
        <v>0.78486422032911807</v>
      </c>
      <c r="L16" s="302">
        <f t="shared" si="3"/>
        <v>0</v>
      </c>
      <c r="N16" s="295"/>
    </row>
    <row r="17" spans="2:25" x14ac:dyDescent="0.25">
      <c r="B17" s="216"/>
      <c r="C17" s="216"/>
      <c r="D17" s="216"/>
      <c r="E17" s="216"/>
      <c r="F17" s="236"/>
      <c r="G17" s="236"/>
      <c r="H17" s="236"/>
      <c r="I17" s="236"/>
      <c r="J17" s="236"/>
      <c r="K17" s="216"/>
    </row>
    <row r="18" spans="2:25" x14ac:dyDescent="0.25">
      <c r="B18" s="216"/>
      <c r="C18" s="216"/>
      <c r="D18" s="216"/>
      <c r="E18" s="235" t="s">
        <v>80</v>
      </c>
      <c r="F18" s="236"/>
      <c r="G18" s="236">
        <f>SUM(G4:G16)</f>
        <v>623463.64800000004</v>
      </c>
      <c r="H18" s="236">
        <f t="shared" ref="H18:I18" si="4">SUM(H4:H16)</f>
        <v>4936833.4730883809</v>
      </c>
      <c r="I18" s="236">
        <f t="shared" si="4"/>
        <v>21684568.746642202</v>
      </c>
      <c r="J18" s="236">
        <f>SUM(J4:J16)</f>
        <v>41283900.000025488</v>
      </c>
      <c r="K18" s="219"/>
      <c r="L18" s="319">
        <f>SUM(L4:L16)</f>
        <v>12462.820308390021</v>
      </c>
    </row>
    <row r="19" spans="2:25" x14ac:dyDescent="0.25">
      <c r="B19" s="76"/>
      <c r="C19" s="76"/>
      <c r="D19" s="76"/>
      <c r="E19" s="77" t="s">
        <v>117</v>
      </c>
      <c r="F19" s="237">
        <f>SUM(F4:F16)</f>
        <v>412838.37599999999</v>
      </c>
      <c r="G19" s="237">
        <f>G18/G3</f>
        <v>623463.64800000004</v>
      </c>
      <c r="H19" s="237">
        <f>H18/H3</f>
        <v>493683.3473088381</v>
      </c>
      <c r="I19" s="237">
        <f>I18/I3</f>
        <v>433691.37493284402</v>
      </c>
      <c r="J19" s="237">
        <f>J18/J3</f>
        <v>412839.00000025489</v>
      </c>
      <c r="K19" s="216"/>
    </row>
    <row r="20" spans="2:25" x14ac:dyDescent="0.25">
      <c r="F20" s="43"/>
      <c r="I20" s="47"/>
      <c r="J20" s="43"/>
      <c r="O20" s="64"/>
      <c r="P20" s="64"/>
      <c r="Q20" s="64"/>
      <c r="R20" s="64"/>
      <c r="S20" s="64"/>
      <c r="T20" s="64"/>
      <c r="U20" s="64"/>
      <c r="V20" s="64"/>
      <c r="W20" s="64"/>
      <c r="X20" s="64"/>
      <c r="Y20" s="64"/>
    </row>
    <row r="21" spans="2:25" x14ac:dyDescent="0.25">
      <c r="J21" s="52"/>
      <c r="O21" s="64"/>
      <c r="P21" s="64"/>
      <c r="Q21" s="64"/>
      <c r="R21" s="64"/>
      <c r="S21" s="64"/>
      <c r="T21" s="64"/>
      <c r="U21" s="64"/>
      <c r="V21" s="64"/>
      <c r="W21" s="64"/>
      <c r="X21" s="64"/>
      <c r="Y21" s="64"/>
    </row>
    <row r="22" spans="2:25" x14ac:dyDescent="0.25">
      <c r="O22" s="64"/>
      <c r="P22" s="64"/>
      <c r="Q22" s="64"/>
      <c r="R22" s="64"/>
      <c r="S22" s="64"/>
      <c r="T22" s="64"/>
      <c r="U22" s="64"/>
      <c r="V22" s="64"/>
      <c r="W22" s="64"/>
      <c r="X22" s="64"/>
      <c r="Y22" s="64"/>
    </row>
    <row r="23" spans="2:25" x14ac:dyDescent="0.25">
      <c r="O23" s="64"/>
      <c r="P23" s="64"/>
      <c r="Q23" s="64"/>
      <c r="R23" s="64"/>
      <c r="S23" s="64"/>
      <c r="T23" s="64"/>
      <c r="U23" s="64"/>
      <c r="V23" s="64"/>
      <c r="W23" s="64"/>
      <c r="X23" s="64"/>
      <c r="Y23" s="64"/>
    </row>
    <row r="24" spans="2:25" x14ac:dyDescent="0.25">
      <c r="B24" s="61" t="s">
        <v>324</v>
      </c>
      <c r="C24" s="61"/>
      <c r="H24" s="464"/>
      <c r="O24" s="64"/>
      <c r="P24" s="64"/>
      <c r="Q24" s="64"/>
      <c r="R24" s="64"/>
      <c r="S24" s="64"/>
      <c r="T24" s="64"/>
      <c r="U24" s="64"/>
      <c r="V24" s="64"/>
      <c r="W24" s="64"/>
      <c r="X24" s="64"/>
      <c r="Y24" s="64"/>
    </row>
    <row r="25" spans="2:25" x14ac:dyDescent="0.25">
      <c r="O25" s="64"/>
      <c r="P25" s="64"/>
      <c r="Q25" s="64"/>
      <c r="R25" s="64"/>
      <c r="S25" s="64"/>
      <c r="T25" s="64"/>
      <c r="U25" s="64"/>
      <c r="V25" s="64"/>
      <c r="W25" s="64"/>
      <c r="X25" s="64"/>
      <c r="Y25" s="64"/>
    </row>
    <row r="26" spans="2:25" x14ac:dyDescent="0.25">
      <c r="E26" s="61" t="s">
        <v>83</v>
      </c>
      <c r="F26" s="61" t="s">
        <v>115</v>
      </c>
      <c r="G26" s="61" t="s">
        <v>345</v>
      </c>
      <c r="H26" s="61" t="s">
        <v>347</v>
      </c>
      <c r="I26" s="61"/>
      <c r="J26" s="61" t="s">
        <v>505</v>
      </c>
      <c r="K26" s="488" t="s">
        <v>506</v>
      </c>
      <c r="L26" s="61"/>
      <c r="M26" s="61"/>
      <c r="O26" s="64"/>
      <c r="P26" s="64"/>
      <c r="Q26" s="64"/>
      <c r="R26" s="64"/>
      <c r="S26" s="64"/>
      <c r="T26" s="64"/>
      <c r="U26" s="64"/>
      <c r="V26" s="64"/>
      <c r="W26" s="64"/>
      <c r="X26" s="64"/>
      <c r="Y26" s="64"/>
    </row>
    <row r="27" spans="2:25" x14ac:dyDescent="0.25">
      <c r="D27" s="73">
        <v>1</v>
      </c>
      <c r="E27" s="462" t="s">
        <v>325</v>
      </c>
      <c r="F27" s="73" t="s">
        <v>344</v>
      </c>
      <c r="G27" s="66">
        <v>9350</v>
      </c>
      <c r="H27" s="597">
        <f>G27*2.86</f>
        <v>26741</v>
      </c>
      <c r="I27" s="446"/>
      <c r="J27" s="59">
        <f>2000/2.205</f>
        <v>907.02947845804988</v>
      </c>
      <c r="K27" s="59">
        <f>J27*2.86</f>
        <v>2594.1043083900227</v>
      </c>
      <c r="N27" s="67"/>
      <c r="O27" s="64"/>
      <c r="P27" s="64"/>
      <c r="Q27" s="64"/>
      <c r="R27" s="64"/>
      <c r="S27" s="64"/>
      <c r="T27" s="64"/>
      <c r="U27" s="64"/>
      <c r="V27" s="64"/>
      <c r="W27" s="64"/>
      <c r="X27" s="64"/>
      <c r="Y27" s="64"/>
    </row>
    <row r="28" spans="2:25" x14ac:dyDescent="0.25">
      <c r="D28" s="73">
        <v>2</v>
      </c>
      <c r="E28" s="462" t="s">
        <v>341</v>
      </c>
      <c r="F28" s="547" t="s">
        <v>344</v>
      </c>
      <c r="G28" s="66">
        <v>408</v>
      </c>
      <c r="H28" s="597">
        <f t="shared" ref="H28:H46" si="5">G28*2.86</f>
        <v>1166.8799999999999</v>
      </c>
      <c r="I28" s="465"/>
      <c r="J28" s="59"/>
      <c r="K28" s="497">
        <f t="shared" ref="K28:K76" si="6">J28*2.86</f>
        <v>0</v>
      </c>
      <c r="O28" s="64"/>
      <c r="P28" s="64"/>
      <c r="Q28" s="64"/>
      <c r="R28" s="64"/>
      <c r="S28" s="64"/>
      <c r="T28" s="64"/>
      <c r="U28" s="64"/>
      <c r="V28" s="64"/>
      <c r="W28" s="64"/>
      <c r="X28" s="64"/>
      <c r="Y28" s="64"/>
    </row>
    <row r="29" spans="2:25" x14ac:dyDescent="0.25">
      <c r="D29" s="73">
        <v>3</v>
      </c>
      <c r="E29" s="462" t="s">
        <v>326</v>
      </c>
      <c r="F29" s="547" t="s">
        <v>344</v>
      </c>
      <c r="G29" s="66">
        <v>116</v>
      </c>
      <c r="H29" s="597">
        <f t="shared" si="5"/>
        <v>331.76</v>
      </c>
      <c r="I29" s="465"/>
      <c r="J29" s="59"/>
      <c r="K29" s="497">
        <f t="shared" si="6"/>
        <v>0</v>
      </c>
      <c r="L29" s="730"/>
      <c r="O29" s="64"/>
      <c r="P29" s="64"/>
      <c r="Q29" s="64"/>
      <c r="R29" s="64"/>
      <c r="S29" s="64"/>
      <c r="T29" s="64"/>
      <c r="U29" s="64"/>
      <c r="V29" s="64"/>
      <c r="W29" s="64"/>
      <c r="X29" s="64"/>
      <c r="Y29" s="64"/>
    </row>
    <row r="30" spans="2:25" x14ac:dyDescent="0.25">
      <c r="D30" s="73">
        <v>4</v>
      </c>
      <c r="E30" s="462" t="s">
        <v>339</v>
      </c>
      <c r="F30" s="547" t="s">
        <v>62</v>
      </c>
      <c r="G30" s="66">
        <v>225</v>
      </c>
      <c r="H30" s="597">
        <f t="shared" si="5"/>
        <v>643.5</v>
      </c>
      <c r="I30" s="465"/>
      <c r="J30" s="59"/>
      <c r="K30" s="497">
        <f t="shared" si="6"/>
        <v>0</v>
      </c>
      <c r="L30" s="730"/>
      <c r="O30" s="64"/>
      <c r="P30" s="64"/>
      <c r="Q30" s="64"/>
      <c r="R30" s="64"/>
      <c r="S30" s="64"/>
      <c r="T30" s="64"/>
      <c r="U30" s="64"/>
      <c r="V30" s="64"/>
      <c r="W30" s="64"/>
      <c r="X30" s="64"/>
      <c r="Y30" s="64"/>
    </row>
    <row r="31" spans="2:25" x14ac:dyDescent="0.25">
      <c r="D31" s="73">
        <v>5</v>
      </c>
      <c r="E31" s="462" t="s">
        <v>338</v>
      </c>
      <c r="F31" s="547" t="s">
        <v>344</v>
      </c>
      <c r="G31" s="66">
        <v>956</v>
      </c>
      <c r="H31" s="597">
        <f t="shared" si="5"/>
        <v>2734.16</v>
      </c>
      <c r="I31" s="465"/>
      <c r="J31" s="59"/>
      <c r="K31" s="497">
        <f t="shared" si="6"/>
        <v>0</v>
      </c>
      <c r="L31" s="730"/>
      <c r="O31" s="64"/>
      <c r="P31" s="64"/>
      <c r="Q31" s="64"/>
      <c r="R31" s="64"/>
      <c r="S31" s="64"/>
      <c r="T31" s="64"/>
      <c r="U31" s="64"/>
      <c r="V31" s="64"/>
      <c r="W31" s="64"/>
      <c r="X31" s="64"/>
      <c r="Y31" s="64"/>
    </row>
    <row r="32" spans="2:25" x14ac:dyDescent="0.25">
      <c r="D32" s="73">
        <v>6</v>
      </c>
      <c r="E32" s="462" t="s">
        <v>328</v>
      </c>
      <c r="F32" s="547" t="s">
        <v>344</v>
      </c>
      <c r="G32" s="66">
        <v>702</v>
      </c>
      <c r="H32" s="597">
        <f t="shared" si="5"/>
        <v>2007.7199999999998</v>
      </c>
      <c r="I32" s="465"/>
      <c r="J32" s="59"/>
      <c r="K32" s="497">
        <f t="shared" si="6"/>
        <v>0</v>
      </c>
      <c r="L32" s="730"/>
    </row>
    <row r="33" spans="4:12" x14ac:dyDescent="0.25">
      <c r="D33" s="73">
        <v>7</v>
      </c>
      <c r="E33" s="462" t="s">
        <v>329</v>
      </c>
      <c r="F33" s="547" t="s">
        <v>343</v>
      </c>
      <c r="G33" s="66">
        <v>19800</v>
      </c>
      <c r="H33" s="597">
        <f t="shared" si="5"/>
        <v>56628</v>
      </c>
      <c r="I33" s="465"/>
      <c r="J33" s="59">
        <v>452</v>
      </c>
      <c r="K33" s="497">
        <f t="shared" si="6"/>
        <v>1292.72</v>
      </c>
    </row>
    <row r="34" spans="4:12" x14ac:dyDescent="0.25">
      <c r="D34" s="73">
        <v>8</v>
      </c>
      <c r="E34" s="462" t="s">
        <v>330</v>
      </c>
      <c r="F34" s="547" t="s">
        <v>344</v>
      </c>
      <c r="G34" s="66">
        <v>898</v>
      </c>
      <c r="H34" s="597">
        <f t="shared" si="5"/>
        <v>2568.2799999999997</v>
      </c>
      <c r="I34" s="465"/>
      <c r="J34" s="59">
        <v>50</v>
      </c>
      <c r="K34" s="497">
        <f t="shared" si="6"/>
        <v>143</v>
      </c>
    </row>
    <row r="35" spans="4:12" x14ac:dyDescent="0.25">
      <c r="D35" s="73">
        <v>9</v>
      </c>
      <c r="E35" s="462" t="s">
        <v>331</v>
      </c>
      <c r="F35" s="547" t="s">
        <v>344</v>
      </c>
      <c r="G35" s="66">
        <v>2568</v>
      </c>
      <c r="H35" s="597">
        <f t="shared" si="5"/>
        <v>7344.48</v>
      </c>
      <c r="I35" s="465"/>
      <c r="J35" s="59">
        <v>90</v>
      </c>
      <c r="K35" s="497">
        <f t="shared" si="6"/>
        <v>257.39999999999998</v>
      </c>
    </row>
    <row r="36" spans="4:12" x14ac:dyDescent="0.25">
      <c r="D36" s="73">
        <v>10</v>
      </c>
      <c r="E36" s="462" t="s">
        <v>332</v>
      </c>
      <c r="F36" s="547" t="s">
        <v>344</v>
      </c>
      <c r="G36" s="66">
        <v>8261</v>
      </c>
      <c r="H36" s="597">
        <f t="shared" si="5"/>
        <v>23626.46</v>
      </c>
      <c r="I36" s="465"/>
      <c r="J36" s="59">
        <v>73</v>
      </c>
      <c r="K36" s="497">
        <f t="shared" si="6"/>
        <v>208.78</v>
      </c>
    </row>
    <row r="37" spans="4:12" x14ac:dyDescent="0.25">
      <c r="D37" s="73">
        <v>11</v>
      </c>
      <c r="E37" s="462" t="s">
        <v>333</v>
      </c>
      <c r="F37" s="547" t="s">
        <v>344</v>
      </c>
      <c r="G37" s="66">
        <v>7000</v>
      </c>
      <c r="H37" s="597">
        <f t="shared" si="5"/>
        <v>20020</v>
      </c>
      <c r="I37" s="465"/>
      <c r="J37" s="116">
        <v>454</v>
      </c>
      <c r="K37" s="497">
        <f t="shared" si="6"/>
        <v>1298.44</v>
      </c>
    </row>
    <row r="38" spans="4:12" x14ac:dyDescent="0.25">
      <c r="D38" s="73">
        <v>12</v>
      </c>
      <c r="E38" s="462" t="s">
        <v>334</v>
      </c>
      <c r="F38" s="547" t="s">
        <v>344</v>
      </c>
      <c r="G38" s="66">
        <v>4000</v>
      </c>
      <c r="H38" s="597">
        <f t="shared" si="5"/>
        <v>11440</v>
      </c>
      <c r="I38" s="465"/>
      <c r="J38" s="116"/>
      <c r="K38" s="497">
        <f t="shared" si="6"/>
        <v>0</v>
      </c>
      <c r="L38" s="730"/>
    </row>
    <row r="39" spans="4:12" x14ac:dyDescent="0.25">
      <c r="D39" s="73">
        <v>13</v>
      </c>
      <c r="E39" s="462" t="s">
        <v>335</v>
      </c>
      <c r="F39" s="547" t="s">
        <v>344</v>
      </c>
      <c r="G39" s="66">
        <v>6000</v>
      </c>
      <c r="H39" s="597">
        <f t="shared" si="5"/>
        <v>17160</v>
      </c>
      <c r="I39" s="465"/>
      <c r="J39" s="59">
        <v>1207.5999999999999</v>
      </c>
      <c r="K39" s="497">
        <f t="shared" si="6"/>
        <v>3453.7359999999994</v>
      </c>
    </row>
    <row r="40" spans="4:12" x14ac:dyDescent="0.25">
      <c r="D40" s="63">
        <v>14</v>
      </c>
      <c r="E40" s="80" t="s">
        <v>336</v>
      </c>
      <c r="F40" s="547" t="s">
        <v>17</v>
      </c>
      <c r="G40" s="465">
        <v>5000</v>
      </c>
      <c r="H40" s="597">
        <f t="shared" si="5"/>
        <v>14300</v>
      </c>
      <c r="I40" s="465"/>
      <c r="J40" s="37"/>
      <c r="K40" s="497">
        <f t="shared" si="6"/>
        <v>0</v>
      </c>
      <c r="L40" s="730"/>
    </row>
    <row r="41" spans="4:12" x14ac:dyDescent="0.25">
      <c r="D41" s="63">
        <v>15</v>
      </c>
      <c r="E41" s="80" t="s">
        <v>337</v>
      </c>
      <c r="F41" s="547" t="s">
        <v>140</v>
      </c>
      <c r="G41" s="4">
        <v>10000</v>
      </c>
      <c r="H41" s="597">
        <f t="shared" si="5"/>
        <v>28600</v>
      </c>
      <c r="I41" s="465"/>
      <c r="J41" s="37"/>
      <c r="K41" s="497">
        <f t="shared" si="6"/>
        <v>0</v>
      </c>
      <c r="L41" s="730"/>
    </row>
    <row r="42" spans="4:12" x14ac:dyDescent="0.25">
      <c r="D42" s="63">
        <v>16</v>
      </c>
      <c r="E42" s="80" t="s">
        <v>34</v>
      </c>
      <c r="F42" s="547" t="s">
        <v>34</v>
      </c>
      <c r="G42" s="4">
        <v>9000</v>
      </c>
      <c r="H42" s="597">
        <f t="shared" si="5"/>
        <v>25740</v>
      </c>
      <c r="I42" s="465"/>
      <c r="J42" s="37">
        <v>725</v>
      </c>
      <c r="K42" s="497">
        <f t="shared" si="6"/>
        <v>2073.5</v>
      </c>
      <c r="L42" s="63"/>
    </row>
    <row r="43" spans="4:12" x14ac:dyDescent="0.25">
      <c r="D43" s="63">
        <v>17</v>
      </c>
      <c r="E43" s="80" t="s">
        <v>39</v>
      </c>
      <c r="F43" s="547" t="s">
        <v>39</v>
      </c>
      <c r="G43" s="4">
        <v>30000</v>
      </c>
      <c r="H43" s="597">
        <f t="shared" si="5"/>
        <v>85800</v>
      </c>
      <c r="I43" s="465"/>
      <c r="J43" s="37">
        <v>399</v>
      </c>
      <c r="K43" s="497">
        <f t="shared" si="6"/>
        <v>1141.1399999999999</v>
      </c>
      <c r="L43" s="63"/>
    </row>
    <row r="44" spans="4:12" s="486" customFormat="1" x14ac:dyDescent="0.25">
      <c r="D44" s="496">
        <v>18</v>
      </c>
      <c r="E44" s="80" t="s">
        <v>340</v>
      </c>
      <c r="F44" s="547" t="s">
        <v>65</v>
      </c>
      <c r="G44" s="421">
        <v>20280</v>
      </c>
      <c r="H44" s="597">
        <f t="shared" si="5"/>
        <v>58000.799999999996</v>
      </c>
      <c r="I44" s="465"/>
      <c r="J44" s="70"/>
      <c r="K44" s="497">
        <f t="shared" si="6"/>
        <v>0</v>
      </c>
      <c r="L44" s="730"/>
    </row>
    <row r="45" spans="4:12" s="547" customFormat="1" x14ac:dyDescent="0.25">
      <c r="D45" s="549">
        <v>19</v>
      </c>
      <c r="E45" s="80" t="s">
        <v>41</v>
      </c>
      <c r="F45" s="547" t="s">
        <v>41</v>
      </c>
      <c r="G45" s="421">
        <v>20000</v>
      </c>
      <c r="H45" s="597">
        <f t="shared" si="5"/>
        <v>57200</v>
      </c>
      <c r="I45" s="465"/>
      <c r="J45" s="70">
        <v>760</v>
      </c>
      <c r="K45" s="497">
        <f t="shared" si="6"/>
        <v>2173.6</v>
      </c>
    </row>
    <row r="46" spans="4:12" s="547" customFormat="1" x14ac:dyDescent="0.25">
      <c r="D46" s="549">
        <v>20</v>
      </c>
      <c r="E46" s="80" t="s">
        <v>346</v>
      </c>
      <c r="F46" s="547" t="s">
        <v>64</v>
      </c>
      <c r="G46" s="421">
        <f>20%*SUM(G27:G45)</f>
        <v>30912.800000000003</v>
      </c>
      <c r="H46" s="597">
        <f t="shared" si="5"/>
        <v>88410.608000000007</v>
      </c>
      <c r="I46" s="465"/>
      <c r="J46" s="70"/>
      <c r="K46" s="497">
        <f t="shared" si="6"/>
        <v>0</v>
      </c>
      <c r="L46" s="730"/>
    </row>
    <row r="47" spans="4:12" s="547" customFormat="1" x14ac:dyDescent="0.25">
      <c r="D47" s="549">
        <v>21</v>
      </c>
      <c r="E47" s="80" t="s">
        <v>43</v>
      </c>
      <c r="F47" s="547" t="s">
        <v>43</v>
      </c>
      <c r="G47" s="421">
        <f>80000*1.1</f>
        <v>88000</v>
      </c>
      <c r="H47" s="597">
        <f>G47</f>
        <v>88000</v>
      </c>
      <c r="I47" s="465"/>
      <c r="J47" s="70"/>
      <c r="K47" s="497">
        <f t="shared" si="6"/>
        <v>0</v>
      </c>
      <c r="L47" s="730"/>
    </row>
    <row r="48" spans="4:12" s="547" customFormat="1" x14ac:dyDescent="0.25">
      <c r="D48" s="549">
        <v>22</v>
      </c>
      <c r="E48" s="80" t="s">
        <v>489</v>
      </c>
      <c r="F48" s="547" t="s">
        <v>62</v>
      </c>
      <c r="G48" s="421">
        <v>5000</v>
      </c>
      <c r="H48" s="597">
        <v>5000</v>
      </c>
      <c r="I48" s="465"/>
      <c r="J48" s="70"/>
      <c r="K48" s="497">
        <f t="shared" si="6"/>
        <v>0</v>
      </c>
      <c r="L48" s="730"/>
    </row>
    <row r="49" spans="2:15" s="547" customFormat="1" x14ac:dyDescent="0.25">
      <c r="D49" s="549"/>
      <c r="E49" s="80"/>
      <c r="G49" s="421"/>
      <c r="H49" s="597"/>
      <c r="I49" s="465"/>
      <c r="J49" s="70"/>
      <c r="K49" s="497"/>
    </row>
    <row r="50" spans="2:15" s="547" customFormat="1" x14ac:dyDescent="0.25">
      <c r="D50" s="81" t="s">
        <v>84</v>
      </c>
      <c r="E50" s="113"/>
      <c r="F50" s="331"/>
      <c r="G50" s="598">
        <f>SUM(G27:G45)</f>
        <v>154564</v>
      </c>
      <c r="H50" s="598">
        <f>SUM(H27:H45)</f>
        <v>442053.04</v>
      </c>
      <c r="I50" s="465"/>
      <c r="J50" s="70"/>
      <c r="K50" s="497"/>
    </row>
    <row r="51" spans="2:15" x14ac:dyDescent="0.25">
      <c r="F51" s="43"/>
      <c r="G51" s="45"/>
      <c r="K51" s="497"/>
    </row>
    <row r="52" spans="2:15" x14ac:dyDescent="0.25">
      <c r="B52" s="61" t="s">
        <v>342</v>
      </c>
      <c r="C52" s="61"/>
      <c r="G52" s="465"/>
      <c r="K52" s="497"/>
    </row>
    <row r="53" spans="2:15" x14ac:dyDescent="0.25">
      <c r="F53" s="43"/>
      <c r="G53" s="45"/>
      <c r="K53" s="497"/>
    </row>
    <row r="54" spans="2:15" x14ac:dyDescent="0.25">
      <c r="E54" s="61" t="s">
        <v>83</v>
      </c>
      <c r="F54" s="61" t="s">
        <v>115</v>
      </c>
      <c r="G54" s="61" t="s">
        <v>345</v>
      </c>
      <c r="H54" s="61" t="s">
        <v>347</v>
      </c>
      <c r="I54" s="61"/>
      <c r="J54" s="692" t="s">
        <v>505</v>
      </c>
      <c r="K54" s="692" t="s">
        <v>506</v>
      </c>
      <c r="L54" s="340"/>
      <c r="M54" s="346"/>
      <c r="N54" s="345"/>
    </row>
    <row r="55" spans="2:15" x14ac:dyDescent="0.25">
      <c r="D55" s="73">
        <v>1</v>
      </c>
      <c r="E55" s="462" t="s">
        <v>325</v>
      </c>
      <c r="F55" s="73" t="s">
        <v>344</v>
      </c>
      <c r="G55" s="457">
        <v>8500</v>
      </c>
      <c r="H55" s="596">
        <f>G55*2.86</f>
        <v>24310</v>
      </c>
      <c r="I55" s="66"/>
      <c r="J55" s="497">
        <f>2000/2.205</f>
        <v>907.02947845804988</v>
      </c>
      <c r="K55" s="497">
        <f t="shared" si="6"/>
        <v>2594.1043083900227</v>
      </c>
      <c r="L55" s="347"/>
      <c r="N55" s="344"/>
      <c r="O55" s="344"/>
    </row>
    <row r="56" spans="2:15" x14ac:dyDescent="0.25">
      <c r="D56" s="73">
        <v>2</v>
      </c>
      <c r="E56" s="462" t="s">
        <v>341</v>
      </c>
      <c r="F56" s="73" t="s">
        <v>344</v>
      </c>
      <c r="G56" s="457">
        <v>328</v>
      </c>
      <c r="H56" s="596">
        <f t="shared" ref="H56:H70" si="7">G56*2.86</f>
        <v>938.07999999999993</v>
      </c>
      <c r="I56" s="66"/>
      <c r="J56" s="497"/>
      <c r="K56" s="497">
        <f t="shared" si="6"/>
        <v>0</v>
      </c>
      <c r="L56" s="347"/>
      <c r="N56" s="344"/>
      <c r="O56" s="344"/>
    </row>
    <row r="57" spans="2:15" x14ac:dyDescent="0.25">
      <c r="D57" s="73">
        <v>3</v>
      </c>
      <c r="E57" s="462" t="s">
        <v>326</v>
      </c>
      <c r="F57" s="73" t="s">
        <v>344</v>
      </c>
      <c r="G57" s="457">
        <v>97</v>
      </c>
      <c r="H57" s="596">
        <f t="shared" si="7"/>
        <v>277.42</v>
      </c>
      <c r="I57" s="66"/>
      <c r="J57" s="497"/>
      <c r="K57" s="497">
        <f t="shared" si="6"/>
        <v>0</v>
      </c>
      <c r="L57" s="347"/>
      <c r="N57" s="344"/>
      <c r="O57" s="344"/>
    </row>
    <row r="58" spans="2:15" x14ac:dyDescent="0.25">
      <c r="D58" s="73">
        <v>4</v>
      </c>
      <c r="E58" s="462" t="s">
        <v>339</v>
      </c>
      <c r="F58" s="73" t="s">
        <v>344</v>
      </c>
      <c r="G58" s="457">
        <v>168</v>
      </c>
      <c r="H58" s="596">
        <f t="shared" si="7"/>
        <v>480.47999999999996</v>
      </c>
      <c r="I58" s="66"/>
      <c r="J58" s="497"/>
      <c r="K58" s="497">
        <f t="shared" si="6"/>
        <v>0</v>
      </c>
      <c r="L58" s="347"/>
      <c r="N58" s="344"/>
      <c r="O58" s="344"/>
    </row>
    <row r="59" spans="2:15" x14ac:dyDescent="0.25">
      <c r="D59" s="73">
        <v>5</v>
      </c>
      <c r="E59" s="462" t="s">
        <v>338</v>
      </c>
      <c r="F59" s="73" t="s">
        <v>344</v>
      </c>
      <c r="G59" s="457">
        <v>758</v>
      </c>
      <c r="H59" s="596">
        <f t="shared" si="7"/>
        <v>2167.88</v>
      </c>
      <c r="I59" s="66"/>
      <c r="J59" s="497"/>
      <c r="K59" s="497">
        <f t="shared" si="6"/>
        <v>0</v>
      </c>
      <c r="L59" s="347"/>
      <c r="N59" s="344"/>
      <c r="O59" s="344"/>
    </row>
    <row r="60" spans="2:15" ht="15" customHeight="1" x14ac:dyDescent="0.25">
      <c r="D60" s="78">
        <v>6</v>
      </c>
      <c r="E60" s="462" t="s">
        <v>328</v>
      </c>
      <c r="F60" s="78" t="s">
        <v>344</v>
      </c>
      <c r="G60" s="457">
        <v>662</v>
      </c>
      <c r="H60" s="596">
        <f t="shared" si="7"/>
        <v>1893.32</v>
      </c>
      <c r="I60" s="66"/>
      <c r="J60" s="497"/>
      <c r="K60" s="497">
        <f t="shared" si="6"/>
        <v>0</v>
      </c>
      <c r="L60" s="347"/>
      <c r="N60" s="344"/>
      <c r="O60" s="344"/>
    </row>
    <row r="61" spans="2:15" ht="15" customHeight="1" x14ac:dyDescent="0.25">
      <c r="D61" s="73">
        <v>7</v>
      </c>
      <c r="E61" s="462" t="s">
        <v>329</v>
      </c>
      <c r="F61" s="73" t="s">
        <v>343</v>
      </c>
      <c r="G61" s="457">
        <v>8200</v>
      </c>
      <c r="H61" s="596">
        <f t="shared" si="7"/>
        <v>23452</v>
      </c>
      <c r="I61" s="66"/>
      <c r="J61" s="497">
        <v>452</v>
      </c>
      <c r="K61" s="497">
        <f t="shared" si="6"/>
        <v>1292.72</v>
      </c>
      <c r="L61" s="347"/>
      <c r="N61" s="344"/>
      <c r="O61" s="344"/>
    </row>
    <row r="62" spans="2:15" ht="15" customHeight="1" x14ac:dyDescent="0.25">
      <c r="D62" s="78">
        <v>8</v>
      </c>
      <c r="E62" s="462" t="s">
        <v>330</v>
      </c>
      <c r="F62" s="78" t="s">
        <v>344</v>
      </c>
      <c r="G62" s="457">
        <v>846</v>
      </c>
      <c r="H62" s="596">
        <f t="shared" si="7"/>
        <v>2419.56</v>
      </c>
      <c r="I62" s="66"/>
      <c r="J62" s="497">
        <v>50</v>
      </c>
      <c r="K62" s="497">
        <f t="shared" si="6"/>
        <v>143</v>
      </c>
      <c r="L62" s="347"/>
      <c r="N62" s="344"/>
      <c r="O62" s="344"/>
    </row>
    <row r="63" spans="2:15" x14ac:dyDescent="0.25">
      <c r="D63" s="73">
        <v>9</v>
      </c>
      <c r="E63" s="462" t="s">
        <v>331</v>
      </c>
      <c r="F63" s="73" t="s">
        <v>344</v>
      </c>
      <c r="G63" s="457">
        <v>2417</v>
      </c>
      <c r="H63" s="596">
        <f t="shared" si="7"/>
        <v>6912.62</v>
      </c>
      <c r="I63" s="66"/>
      <c r="J63" s="497">
        <v>90</v>
      </c>
      <c r="K63" s="497">
        <f t="shared" si="6"/>
        <v>257.39999999999998</v>
      </c>
      <c r="L63" s="347"/>
      <c r="N63" s="344"/>
      <c r="O63" s="344"/>
    </row>
    <row r="64" spans="2:15" x14ac:dyDescent="0.25">
      <c r="D64" s="73">
        <v>10</v>
      </c>
      <c r="E64" s="462" t="s">
        <v>332</v>
      </c>
      <c r="F64" s="73" t="s">
        <v>344</v>
      </c>
      <c r="G64" s="457">
        <v>6255</v>
      </c>
      <c r="H64" s="596">
        <f t="shared" si="7"/>
        <v>17889.3</v>
      </c>
      <c r="I64" s="66"/>
      <c r="J64" s="497">
        <v>73</v>
      </c>
      <c r="K64" s="497">
        <f t="shared" si="6"/>
        <v>208.78</v>
      </c>
      <c r="L64" s="347"/>
      <c r="N64" s="344"/>
      <c r="O64" s="344"/>
    </row>
    <row r="65" spans="1:15" x14ac:dyDescent="0.25">
      <c r="D65" s="73">
        <v>11</v>
      </c>
      <c r="E65" s="462" t="s">
        <v>333</v>
      </c>
      <c r="F65" s="73" t="s">
        <v>344</v>
      </c>
      <c r="G65" s="457">
        <v>6500</v>
      </c>
      <c r="H65" s="596">
        <f t="shared" si="7"/>
        <v>18590</v>
      </c>
      <c r="I65" s="66"/>
      <c r="J65" s="116">
        <v>454</v>
      </c>
      <c r="K65" s="497">
        <f t="shared" si="6"/>
        <v>1298.44</v>
      </c>
      <c r="L65" s="347"/>
      <c r="N65" s="344"/>
      <c r="O65" s="344"/>
    </row>
    <row r="66" spans="1:15" x14ac:dyDescent="0.25">
      <c r="D66" s="73">
        <v>12</v>
      </c>
      <c r="E66" s="462" t="s">
        <v>334</v>
      </c>
      <c r="F66" s="73" t="s">
        <v>344</v>
      </c>
      <c r="G66" s="457">
        <v>2200</v>
      </c>
      <c r="H66" s="596">
        <f t="shared" si="7"/>
        <v>6292</v>
      </c>
      <c r="I66" s="66"/>
      <c r="J66" s="116"/>
      <c r="K66" s="497">
        <f t="shared" si="6"/>
        <v>0</v>
      </c>
      <c r="L66" s="347"/>
      <c r="N66" s="344"/>
      <c r="O66" s="344"/>
    </row>
    <row r="67" spans="1:15" ht="16.5" customHeight="1" x14ac:dyDescent="0.25">
      <c r="D67" s="73">
        <v>13</v>
      </c>
      <c r="E67" s="462" t="s">
        <v>335</v>
      </c>
      <c r="F67" s="63" t="s">
        <v>344</v>
      </c>
      <c r="G67" s="457">
        <v>4750</v>
      </c>
      <c r="H67" s="596">
        <f t="shared" si="7"/>
        <v>13585</v>
      </c>
      <c r="I67" s="66"/>
      <c r="J67" s="497">
        <v>1207.5999999999999</v>
      </c>
      <c r="K67" s="497">
        <f t="shared" si="6"/>
        <v>3453.7359999999994</v>
      </c>
      <c r="L67" s="347"/>
      <c r="N67" s="344"/>
      <c r="O67" s="344"/>
    </row>
    <row r="68" spans="1:15" ht="18" customHeight="1" x14ac:dyDescent="0.25">
      <c r="D68" s="73">
        <v>14</v>
      </c>
      <c r="E68" s="80" t="s">
        <v>336</v>
      </c>
      <c r="F68" s="63" t="s">
        <v>17</v>
      </c>
      <c r="G68" s="457">
        <v>1000</v>
      </c>
      <c r="H68" s="596">
        <f t="shared" si="7"/>
        <v>2860</v>
      </c>
      <c r="I68" s="66"/>
      <c r="J68" s="37"/>
      <c r="K68" s="497">
        <f t="shared" si="6"/>
        <v>0</v>
      </c>
      <c r="L68" s="347"/>
      <c r="N68" s="344"/>
      <c r="O68" s="344"/>
    </row>
    <row r="69" spans="1:15" x14ac:dyDescent="0.25">
      <c r="D69" s="73">
        <v>15</v>
      </c>
      <c r="E69" s="80" t="s">
        <v>337</v>
      </c>
      <c r="F69" s="73" t="s">
        <v>140</v>
      </c>
      <c r="G69" s="457">
        <v>2000</v>
      </c>
      <c r="H69" s="596">
        <f t="shared" si="7"/>
        <v>5720</v>
      </c>
      <c r="I69" s="66"/>
      <c r="J69" s="37"/>
      <c r="K69" s="497">
        <f t="shared" si="6"/>
        <v>0</v>
      </c>
      <c r="L69" s="347"/>
      <c r="N69" s="344"/>
      <c r="O69" s="344"/>
    </row>
    <row r="70" spans="1:15" x14ac:dyDescent="0.25">
      <c r="D70" s="73">
        <v>16</v>
      </c>
      <c r="E70" s="80" t="s">
        <v>34</v>
      </c>
      <c r="F70" s="73" t="s">
        <v>34</v>
      </c>
      <c r="G70" s="457">
        <v>7006</v>
      </c>
      <c r="H70" s="596">
        <f t="shared" si="7"/>
        <v>20037.16</v>
      </c>
      <c r="I70" s="66"/>
      <c r="J70" s="37">
        <v>725</v>
      </c>
      <c r="K70" s="497">
        <f t="shared" si="6"/>
        <v>2073.5</v>
      </c>
      <c r="L70" s="347"/>
      <c r="N70" s="344"/>
      <c r="O70" s="344"/>
    </row>
    <row r="71" spans="1:15" s="547" customFormat="1" x14ac:dyDescent="0.25">
      <c r="D71" s="547">
        <v>17</v>
      </c>
      <c r="E71" s="80" t="s">
        <v>39</v>
      </c>
      <c r="F71" s="547" t="s">
        <v>39</v>
      </c>
      <c r="G71" s="457">
        <f>G42*75%</f>
        <v>6750</v>
      </c>
      <c r="H71" s="457">
        <f>H42*75%</f>
        <v>19305</v>
      </c>
      <c r="I71" s="465"/>
      <c r="J71" s="37">
        <v>399</v>
      </c>
      <c r="K71" s="497">
        <f t="shared" si="6"/>
        <v>1141.1399999999999</v>
      </c>
      <c r="L71" s="465"/>
    </row>
    <row r="72" spans="1:15" s="547" customFormat="1" x14ac:dyDescent="0.25">
      <c r="D72" s="547">
        <v>18</v>
      </c>
      <c r="E72" s="80" t="s">
        <v>340</v>
      </c>
      <c r="F72" s="547" t="s">
        <v>65</v>
      </c>
      <c r="G72" s="457">
        <f t="shared" ref="G72:H74" si="8">G44*75%</f>
        <v>15210</v>
      </c>
      <c r="H72" s="457">
        <f t="shared" si="8"/>
        <v>43500.6</v>
      </c>
      <c r="I72" s="465"/>
      <c r="J72" s="70"/>
      <c r="K72" s="497">
        <f t="shared" si="6"/>
        <v>0</v>
      </c>
      <c r="L72" s="465"/>
    </row>
    <row r="73" spans="1:15" s="547" customFormat="1" x14ac:dyDescent="0.25">
      <c r="D73" s="549">
        <v>19</v>
      </c>
      <c r="E73" s="80" t="s">
        <v>41</v>
      </c>
      <c r="F73" s="547" t="s">
        <v>41</v>
      </c>
      <c r="G73" s="457">
        <f t="shared" si="8"/>
        <v>15000</v>
      </c>
      <c r="H73" s="457">
        <f t="shared" si="8"/>
        <v>42900</v>
      </c>
      <c r="I73" s="465"/>
      <c r="J73" s="70">
        <v>760</v>
      </c>
      <c r="K73" s="497">
        <f t="shared" si="6"/>
        <v>2173.6</v>
      </c>
      <c r="L73" s="465"/>
    </row>
    <row r="74" spans="1:15" s="547" customFormat="1" x14ac:dyDescent="0.25">
      <c r="D74" s="549">
        <v>20</v>
      </c>
      <c r="E74" s="80" t="s">
        <v>346</v>
      </c>
      <c r="F74" s="547" t="s">
        <v>64</v>
      </c>
      <c r="G74" s="457">
        <f t="shared" si="8"/>
        <v>23184.600000000002</v>
      </c>
      <c r="H74" s="457">
        <f t="shared" si="8"/>
        <v>66307.956000000006</v>
      </c>
      <c r="I74" s="465"/>
      <c r="J74" s="70"/>
      <c r="K74" s="497">
        <f t="shared" si="6"/>
        <v>0</v>
      </c>
      <c r="L74" s="465"/>
    </row>
    <row r="75" spans="1:15" s="547" customFormat="1" x14ac:dyDescent="0.25">
      <c r="D75" s="549">
        <v>21</v>
      </c>
      <c r="E75" s="80" t="s">
        <v>43</v>
      </c>
      <c r="F75" s="547" t="s">
        <v>43</v>
      </c>
      <c r="G75" s="457">
        <f>H47</f>
        <v>88000</v>
      </c>
      <c r="H75" s="597">
        <f>G75</f>
        <v>88000</v>
      </c>
      <c r="I75" s="465"/>
      <c r="J75" s="70"/>
      <c r="K75" s="497">
        <f t="shared" si="6"/>
        <v>0</v>
      </c>
      <c r="L75" s="465"/>
    </row>
    <row r="76" spans="1:15" s="547" customFormat="1" x14ac:dyDescent="0.25">
      <c r="D76" s="549">
        <v>22</v>
      </c>
      <c r="E76" s="80" t="s">
        <v>489</v>
      </c>
      <c r="F76" s="547" t="s">
        <v>62</v>
      </c>
      <c r="G76" s="457">
        <v>5000</v>
      </c>
      <c r="H76" s="597">
        <f>G76</f>
        <v>5000</v>
      </c>
      <c r="I76" s="465"/>
      <c r="J76" s="70"/>
      <c r="K76" s="497">
        <f t="shared" si="6"/>
        <v>0</v>
      </c>
      <c r="L76" s="465"/>
    </row>
    <row r="77" spans="1:15" x14ac:dyDescent="0.25">
      <c r="G77" s="66"/>
      <c r="H77" s="71"/>
      <c r="I77" s="4"/>
      <c r="J77" s="70"/>
      <c r="K77" s="341"/>
      <c r="L77" s="341"/>
    </row>
    <row r="78" spans="1:15" s="353" customFormat="1" x14ac:dyDescent="0.25">
      <c r="D78" s="331" t="s">
        <v>84</v>
      </c>
      <c r="E78" s="331"/>
      <c r="F78" s="331"/>
      <c r="G78" s="108">
        <f>SUM(G55:G76)</f>
        <v>204831.6</v>
      </c>
      <c r="H78" s="108">
        <f>SUM(H55:H76)</f>
        <v>412838.37600000005</v>
      </c>
      <c r="I78" s="354"/>
      <c r="J78" s="70"/>
      <c r="K78" s="354"/>
      <c r="L78" s="354"/>
    </row>
    <row r="79" spans="1:15" s="547" customFormat="1" x14ac:dyDescent="0.25">
      <c r="G79" s="465"/>
      <c r="H79" s="489"/>
      <c r="I79" s="421"/>
      <c r="J79" s="70"/>
      <c r="K79" s="421"/>
      <c r="L79" s="421"/>
    </row>
    <row r="80" spans="1:15" s="295" customFormat="1" x14ac:dyDescent="0.25">
      <c r="A80" s="213" t="s">
        <v>247</v>
      </c>
      <c r="E80" s="66"/>
      <c r="F80" s="71"/>
      <c r="G80" s="201"/>
      <c r="H80" s="70"/>
      <c r="I80" s="23"/>
    </row>
    <row r="81" spans="1:9" s="348" customFormat="1" x14ac:dyDescent="0.25">
      <c r="A81" s="351"/>
      <c r="B81" s="353" t="s">
        <v>475</v>
      </c>
      <c r="E81" s="350"/>
      <c r="F81" s="71"/>
      <c r="G81" s="349"/>
      <c r="H81" s="70"/>
      <c r="I81" s="352"/>
    </row>
    <row r="82" spans="1:9" s="348" customFormat="1" x14ac:dyDescent="0.25">
      <c r="A82" s="351"/>
      <c r="B82" s="724" t="s">
        <v>510</v>
      </c>
      <c r="E82" s="350"/>
      <c r="F82" s="71"/>
      <c r="G82" s="349"/>
      <c r="H82" s="70"/>
      <c r="I82" s="352"/>
    </row>
    <row r="83" spans="1:9" s="348" customFormat="1" x14ac:dyDescent="0.25">
      <c r="B83" s="353"/>
      <c r="E83" s="350"/>
      <c r="F83" s="71"/>
      <c r="G83" s="349"/>
      <c r="H83" s="70"/>
      <c r="I83" s="352"/>
    </row>
    <row r="84" spans="1:9" s="348" customFormat="1" x14ac:dyDescent="0.25">
      <c r="A84" s="351" t="s">
        <v>511</v>
      </c>
      <c r="B84" s="353"/>
      <c r="E84" s="350"/>
      <c r="F84" s="71"/>
      <c r="G84" s="349"/>
      <c r="H84" s="70"/>
      <c r="I84" s="352"/>
    </row>
    <row r="85" spans="1:9" s="723" customFormat="1" x14ac:dyDescent="0.25">
      <c r="A85" s="692"/>
      <c r="B85" s="723">
        <v>1</v>
      </c>
      <c r="D85" s="723" t="s">
        <v>491</v>
      </c>
      <c r="E85" s="465"/>
      <c r="F85" s="489"/>
      <c r="G85" s="421"/>
      <c r="H85" s="70"/>
      <c r="I85" s="357"/>
    </row>
    <row r="86" spans="1:9" s="723" customFormat="1" x14ac:dyDescent="0.25">
      <c r="A86" s="692"/>
      <c r="B86" s="723">
        <v>2</v>
      </c>
      <c r="D86" s="723" t="s">
        <v>508</v>
      </c>
      <c r="E86" s="465"/>
      <c r="F86" s="489"/>
      <c r="G86" s="421"/>
      <c r="H86" s="70"/>
      <c r="I86" s="357"/>
    </row>
    <row r="87" spans="1:9" s="723" customFormat="1" x14ac:dyDescent="0.25">
      <c r="A87" s="692"/>
      <c r="B87" s="723">
        <v>3</v>
      </c>
      <c r="D87" s="723" t="s">
        <v>508</v>
      </c>
      <c r="E87" s="465"/>
      <c r="F87" s="489"/>
      <c r="G87" s="421"/>
      <c r="H87" s="70"/>
      <c r="I87" s="357"/>
    </row>
    <row r="88" spans="1:9" s="723" customFormat="1" x14ac:dyDescent="0.25">
      <c r="A88" s="692"/>
      <c r="B88" s="723">
        <v>4</v>
      </c>
      <c r="D88" s="723" t="s">
        <v>508</v>
      </c>
      <c r="E88" s="465"/>
      <c r="F88" s="489"/>
      <c r="G88" s="421"/>
      <c r="H88" s="70"/>
      <c r="I88" s="357"/>
    </row>
    <row r="89" spans="1:9" s="723" customFormat="1" x14ac:dyDescent="0.25">
      <c r="A89" s="692"/>
      <c r="B89" s="723">
        <v>5</v>
      </c>
      <c r="D89" s="723" t="s">
        <v>508</v>
      </c>
      <c r="E89" s="465"/>
      <c r="F89" s="489"/>
      <c r="G89" s="421"/>
      <c r="H89" s="70"/>
      <c r="I89" s="357"/>
    </row>
    <row r="90" spans="1:9" s="723" customFormat="1" x14ac:dyDescent="0.25">
      <c r="A90" s="692"/>
      <c r="B90" s="723">
        <v>6</v>
      </c>
      <c r="D90" s="723" t="s">
        <v>508</v>
      </c>
      <c r="E90" s="465"/>
      <c r="F90" s="489"/>
      <c r="G90" s="421"/>
      <c r="H90" s="70"/>
      <c r="I90" s="357"/>
    </row>
    <row r="91" spans="1:9" s="723" customFormat="1" x14ac:dyDescent="0.25">
      <c r="A91" s="692"/>
      <c r="B91" s="723">
        <v>7</v>
      </c>
      <c r="D91" s="723" t="s">
        <v>508</v>
      </c>
      <c r="E91" s="465"/>
      <c r="F91" s="489"/>
      <c r="G91" s="421"/>
      <c r="H91" s="70"/>
      <c r="I91" s="357"/>
    </row>
    <row r="92" spans="1:9" s="723" customFormat="1" x14ac:dyDescent="0.25">
      <c r="A92" s="692"/>
      <c r="B92" s="723">
        <v>8</v>
      </c>
      <c r="D92" s="723" t="s">
        <v>508</v>
      </c>
      <c r="E92" s="465"/>
      <c r="F92" s="489"/>
      <c r="G92" s="421"/>
      <c r="H92" s="70"/>
      <c r="I92" s="357"/>
    </row>
    <row r="93" spans="1:9" s="723" customFormat="1" x14ac:dyDescent="0.25">
      <c r="A93" s="692"/>
      <c r="B93" s="723">
        <v>9</v>
      </c>
      <c r="D93" s="723" t="s">
        <v>508</v>
      </c>
      <c r="E93" s="465"/>
      <c r="F93" s="489"/>
      <c r="G93" s="421"/>
      <c r="H93" s="70"/>
      <c r="I93" s="357"/>
    </row>
    <row r="94" spans="1:9" s="723" customFormat="1" x14ac:dyDescent="0.25">
      <c r="A94" s="692"/>
      <c r="B94" s="723">
        <v>10</v>
      </c>
      <c r="D94" s="723" t="s">
        <v>508</v>
      </c>
      <c r="E94" s="465"/>
      <c r="F94" s="489"/>
      <c r="G94" s="421"/>
      <c r="H94" s="70"/>
      <c r="I94" s="357"/>
    </row>
    <row r="95" spans="1:9" s="723" customFormat="1" x14ac:dyDescent="0.25">
      <c r="A95" s="692"/>
      <c r="B95" s="723">
        <v>11</v>
      </c>
      <c r="D95" s="723" t="s">
        <v>508</v>
      </c>
      <c r="E95" s="465"/>
      <c r="F95" s="489"/>
      <c r="G95" s="421"/>
      <c r="H95" s="70"/>
      <c r="I95" s="357"/>
    </row>
    <row r="96" spans="1:9" s="723" customFormat="1" x14ac:dyDescent="0.25">
      <c r="A96" s="692"/>
      <c r="B96" s="723">
        <v>12</v>
      </c>
      <c r="D96" s="723" t="s">
        <v>508</v>
      </c>
      <c r="E96" s="465"/>
      <c r="F96" s="489"/>
      <c r="G96" s="421"/>
      <c r="H96" s="70"/>
      <c r="I96" s="357"/>
    </row>
    <row r="97" spans="1:9" s="723" customFormat="1" x14ac:dyDescent="0.25">
      <c r="A97" s="692"/>
      <c r="B97" s="723">
        <v>13</v>
      </c>
      <c r="D97" s="723" t="s">
        <v>508</v>
      </c>
      <c r="E97" s="465"/>
      <c r="F97" s="489"/>
      <c r="G97" s="421"/>
      <c r="H97" s="70"/>
      <c r="I97" s="357"/>
    </row>
    <row r="98" spans="1:9" s="723" customFormat="1" x14ac:dyDescent="0.25">
      <c r="A98" s="692"/>
      <c r="B98" s="549">
        <v>14</v>
      </c>
      <c r="D98" s="723" t="s">
        <v>508</v>
      </c>
      <c r="E98" s="465"/>
      <c r="F98" s="489"/>
      <c r="G98" s="421"/>
      <c r="H98" s="70"/>
      <c r="I98" s="357"/>
    </row>
    <row r="99" spans="1:9" s="723" customFormat="1" x14ac:dyDescent="0.25">
      <c r="A99" s="692"/>
      <c r="B99" s="549">
        <v>15</v>
      </c>
      <c r="D99" s="723" t="s">
        <v>508</v>
      </c>
      <c r="E99" s="465"/>
      <c r="F99" s="489"/>
      <c r="G99" s="421"/>
      <c r="H99" s="70"/>
      <c r="I99" s="357"/>
    </row>
    <row r="100" spans="1:9" s="723" customFormat="1" x14ac:dyDescent="0.25">
      <c r="A100" s="692"/>
      <c r="B100" s="549">
        <v>16</v>
      </c>
      <c r="D100" s="549" t="s">
        <v>507</v>
      </c>
      <c r="E100" s="465"/>
      <c r="F100" s="489"/>
      <c r="G100" s="421"/>
      <c r="H100" s="70"/>
      <c r="I100" s="357"/>
    </row>
    <row r="101" spans="1:9" s="348" customFormat="1" x14ac:dyDescent="0.25">
      <c r="A101" s="351"/>
      <c r="B101" s="549">
        <v>17</v>
      </c>
      <c r="D101" s="549" t="s">
        <v>507</v>
      </c>
      <c r="E101" s="350"/>
      <c r="F101" s="71"/>
      <c r="G101" s="349"/>
      <c r="H101" s="70"/>
      <c r="I101" s="352"/>
    </row>
    <row r="102" spans="1:9" s="353" customFormat="1" x14ac:dyDescent="0.25">
      <c r="A102" s="356"/>
      <c r="B102" s="549">
        <v>18</v>
      </c>
      <c r="D102" s="723" t="s">
        <v>508</v>
      </c>
      <c r="E102" s="355"/>
      <c r="F102" s="71"/>
      <c r="G102" s="354"/>
      <c r="H102" s="70"/>
      <c r="I102" s="357"/>
    </row>
    <row r="103" spans="1:9" s="295" customFormat="1" x14ac:dyDescent="0.25">
      <c r="B103" s="549">
        <v>19</v>
      </c>
      <c r="C103" s="342"/>
      <c r="D103" s="723" t="s">
        <v>491</v>
      </c>
      <c r="E103" s="66"/>
      <c r="F103" s="71"/>
      <c r="G103" s="201"/>
      <c r="H103" s="70"/>
    </row>
    <row r="104" spans="1:9" s="295" customFormat="1" ht="15.75" x14ac:dyDescent="0.25">
      <c r="B104" s="549">
        <v>20</v>
      </c>
      <c r="C104" s="343"/>
      <c r="D104" s="723" t="s">
        <v>491</v>
      </c>
      <c r="E104" s="313"/>
      <c r="F104" s="314"/>
      <c r="G104" s="315"/>
      <c r="H104" s="316"/>
    </row>
    <row r="105" spans="1:9" s="295" customFormat="1" ht="15.75" x14ac:dyDescent="0.25">
      <c r="B105" s="549">
        <v>21</v>
      </c>
      <c r="D105" s="723" t="s">
        <v>491</v>
      </c>
      <c r="E105" s="313"/>
      <c r="F105" s="314"/>
      <c r="G105" s="315"/>
      <c r="H105" s="316"/>
    </row>
    <row r="106" spans="1:9" s="295" customFormat="1" ht="15.75" x14ac:dyDescent="0.25">
      <c r="B106" s="549">
        <v>22</v>
      </c>
      <c r="D106" s="723" t="s">
        <v>491</v>
      </c>
      <c r="E106" s="313"/>
      <c r="F106" s="314"/>
      <c r="G106" s="315"/>
      <c r="H106" s="316"/>
    </row>
    <row r="107" spans="1:9" s="723" customFormat="1" ht="15.75" x14ac:dyDescent="0.25">
      <c r="B107" s="549"/>
      <c r="D107" s="79"/>
      <c r="E107" s="313"/>
      <c r="F107" s="314"/>
      <c r="G107" s="315"/>
      <c r="H107" s="316"/>
    </row>
    <row r="108" spans="1:9" s="295" customFormat="1" ht="15.75" x14ac:dyDescent="0.25">
      <c r="A108" s="213" t="s">
        <v>248</v>
      </c>
      <c r="B108" s="79"/>
      <c r="D108" s="79"/>
      <c r="E108" s="313"/>
      <c r="F108" s="314"/>
      <c r="G108" s="315"/>
      <c r="H108" s="316"/>
    </row>
    <row r="109" spans="1:9" s="295" customFormat="1" ht="15.75" x14ac:dyDescent="0.25">
      <c r="A109" s="213"/>
      <c r="B109" s="724" t="s">
        <v>510</v>
      </c>
      <c r="F109" s="314"/>
      <c r="G109" s="315"/>
      <c r="H109" s="316"/>
    </row>
    <row r="110" spans="1:9" s="723" customFormat="1" ht="15.75" x14ac:dyDescent="0.25">
      <c r="A110" s="692"/>
      <c r="B110" s="723" t="s">
        <v>475</v>
      </c>
      <c r="F110" s="314"/>
      <c r="G110" s="315"/>
      <c r="H110" s="316"/>
    </row>
    <row r="111" spans="1:9" x14ac:dyDescent="0.25">
      <c r="B111" s="348"/>
    </row>
    <row r="112" spans="1:9" x14ac:dyDescent="0.25">
      <c r="A112" s="213" t="s">
        <v>509</v>
      </c>
      <c r="B112" s="348"/>
    </row>
    <row r="113" spans="2:5" ht="15.75" x14ac:dyDescent="0.25">
      <c r="B113" s="723">
        <v>1</v>
      </c>
      <c r="C113" s="295"/>
      <c r="D113" s="73" t="s">
        <v>508</v>
      </c>
      <c r="E113" s="313"/>
    </row>
    <row r="114" spans="2:5" ht="15.75" x14ac:dyDescent="0.25">
      <c r="B114" s="723">
        <v>2</v>
      </c>
      <c r="C114" s="295"/>
      <c r="D114" s="723" t="s">
        <v>508</v>
      </c>
      <c r="E114" s="313"/>
    </row>
    <row r="115" spans="2:5" ht="15.75" x14ac:dyDescent="0.25">
      <c r="B115" s="723">
        <v>3</v>
      </c>
      <c r="C115" s="295"/>
      <c r="D115" s="723" t="s">
        <v>508</v>
      </c>
      <c r="E115" s="313"/>
    </row>
    <row r="116" spans="2:5" ht="15.75" x14ac:dyDescent="0.25">
      <c r="B116" s="723">
        <v>4</v>
      </c>
      <c r="C116" s="295"/>
      <c r="D116" s="723" t="s">
        <v>508</v>
      </c>
      <c r="E116" s="313"/>
    </row>
    <row r="117" spans="2:5" ht="15.75" x14ac:dyDescent="0.25">
      <c r="B117" s="723">
        <v>5</v>
      </c>
      <c r="C117" s="295"/>
      <c r="D117" s="723" t="s">
        <v>508</v>
      </c>
      <c r="E117" s="313"/>
    </row>
    <row r="118" spans="2:5" ht="15.75" x14ac:dyDescent="0.25">
      <c r="B118" s="723">
        <v>6</v>
      </c>
      <c r="C118" s="295"/>
      <c r="D118" s="723" t="s">
        <v>508</v>
      </c>
      <c r="E118" s="313"/>
    </row>
    <row r="119" spans="2:5" ht="15.75" x14ac:dyDescent="0.25">
      <c r="B119" s="723">
        <v>7</v>
      </c>
      <c r="C119" s="295"/>
      <c r="D119" s="723" t="s">
        <v>508</v>
      </c>
      <c r="E119" s="313"/>
    </row>
    <row r="120" spans="2:5" ht="15.75" x14ac:dyDescent="0.25">
      <c r="B120" s="723">
        <v>8</v>
      </c>
      <c r="C120" s="295"/>
      <c r="D120" s="723" t="s">
        <v>508</v>
      </c>
      <c r="E120" s="313"/>
    </row>
    <row r="121" spans="2:5" ht="15.75" x14ac:dyDescent="0.25">
      <c r="B121" s="723">
        <v>9</v>
      </c>
      <c r="C121" s="295"/>
      <c r="D121" s="723" t="s">
        <v>508</v>
      </c>
      <c r="E121" s="313"/>
    </row>
    <row r="122" spans="2:5" ht="15.75" x14ac:dyDescent="0.25">
      <c r="B122" s="723">
        <v>10</v>
      </c>
      <c r="C122" s="295"/>
      <c r="D122" s="723" t="s">
        <v>508</v>
      </c>
      <c r="E122" s="313"/>
    </row>
    <row r="123" spans="2:5" x14ac:dyDescent="0.25">
      <c r="B123" s="723">
        <v>11</v>
      </c>
      <c r="C123" s="295"/>
      <c r="D123" s="723" t="s">
        <v>508</v>
      </c>
      <c r="E123" s="295"/>
    </row>
    <row r="124" spans="2:5" x14ac:dyDescent="0.25">
      <c r="B124" s="723">
        <v>12</v>
      </c>
      <c r="D124" s="723" t="s">
        <v>508</v>
      </c>
    </row>
    <row r="125" spans="2:5" x14ac:dyDescent="0.25">
      <c r="B125" s="723">
        <v>13</v>
      </c>
      <c r="D125" s="723" t="s">
        <v>508</v>
      </c>
    </row>
    <row r="126" spans="2:5" x14ac:dyDescent="0.25">
      <c r="B126" s="549">
        <v>14</v>
      </c>
      <c r="D126" s="723" t="s">
        <v>508</v>
      </c>
    </row>
    <row r="127" spans="2:5" x14ac:dyDescent="0.25">
      <c r="B127" s="549">
        <v>15</v>
      </c>
      <c r="D127" s="723" t="s">
        <v>508</v>
      </c>
    </row>
    <row r="128" spans="2:5" x14ac:dyDescent="0.25">
      <c r="B128" s="549">
        <v>16</v>
      </c>
      <c r="D128" s="549" t="s">
        <v>507</v>
      </c>
    </row>
    <row r="129" spans="2:4" x14ac:dyDescent="0.25">
      <c r="B129" s="549">
        <v>17</v>
      </c>
      <c r="D129" s="549" t="s">
        <v>507</v>
      </c>
    </row>
    <row r="130" spans="2:4" x14ac:dyDescent="0.25">
      <c r="B130" s="549">
        <v>18</v>
      </c>
      <c r="D130" s="723" t="s">
        <v>508</v>
      </c>
    </row>
    <row r="131" spans="2:4" x14ac:dyDescent="0.25">
      <c r="B131" s="549">
        <v>19</v>
      </c>
      <c r="D131" s="723" t="s">
        <v>491</v>
      </c>
    </row>
    <row r="132" spans="2:4" x14ac:dyDescent="0.25">
      <c r="B132" s="549">
        <v>20</v>
      </c>
      <c r="D132" s="547" t="s">
        <v>491</v>
      </c>
    </row>
    <row r="133" spans="2:4" x14ac:dyDescent="0.25">
      <c r="B133" s="549">
        <v>21</v>
      </c>
      <c r="D133" s="547" t="s">
        <v>491</v>
      </c>
    </row>
    <row r="134" spans="2:4" x14ac:dyDescent="0.25">
      <c r="B134" s="549">
        <v>22</v>
      </c>
      <c r="D134" s="547" t="s">
        <v>491</v>
      </c>
    </row>
  </sheetData>
  <mergeCells count="2">
    <mergeCell ref="B4:C4"/>
    <mergeCell ref="B5:C5"/>
  </mergeCells>
  <dataValidations count="3">
    <dataValidation type="list" showInputMessage="1" showErrorMessage="1" sqref="F55:F79 F27:F50" xr:uid="{00000000-0002-0000-0B00-000000000000}">
      <formula1>$E$4:$E$16</formula1>
    </dataValidation>
    <dataValidation type="list" showInputMessage="1" showErrorMessage="1" sqref="D80:D84 D107:D108" xr:uid="{00000000-0002-0000-0B00-000001000000}">
      <formula1>#REF!</formula1>
    </dataValidation>
    <dataValidation showInputMessage="1" showErrorMessage="1" sqref="E4:E16" xr:uid="{00000000-0002-0000-0B00-000002000000}"/>
  </dataValidation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L16"/>
  <sheetViews>
    <sheetView zoomScale="70" zoomScaleNormal="70" workbookViewId="0">
      <selection activeCell="A12" sqref="A12"/>
    </sheetView>
  </sheetViews>
  <sheetFormatPr defaultRowHeight="15" x14ac:dyDescent="0.25"/>
  <cols>
    <col min="1" max="1" width="5.7109375" customWidth="1"/>
    <col min="4" max="4" width="26" customWidth="1"/>
    <col min="5" max="8" width="22.85546875" bestFit="1" customWidth="1"/>
  </cols>
  <sheetData>
    <row r="1" spans="1:12" x14ac:dyDescent="0.25">
      <c r="A1" s="61" t="s">
        <v>158</v>
      </c>
    </row>
    <row r="2" spans="1:12" x14ac:dyDescent="0.25">
      <c r="E2" s="67"/>
      <c r="F2" s="67"/>
      <c r="G2" s="67"/>
      <c r="H2" s="67"/>
    </row>
    <row r="3" spans="1:12" x14ac:dyDescent="0.25">
      <c r="E3">
        <v>1</v>
      </c>
      <c r="F3">
        <v>10</v>
      </c>
      <c r="G3">
        <v>50</v>
      </c>
      <c r="H3">
        <v>100</v>
      </c>
    </row>
    <row r="4" spans="1:12" x14ac:dyDescent="0.25">
      <c r="B4" s="68"/>
      <c r="D4" t="s">
        <v>512</v>
      </c>
      <c r="E4" s="465">
        <f>'CBS (Total)'!J24+'CBS (Total)'!J29</f>
        <v>3562516.0179478992</v>
      </c>
      <c r="F4" s="465">
        <f>'CBS (Total)'!L24+'CBS (Total)'!L29</f>
        <v>25611523.669781599</v>
      </c>
      <c r="G4" s="465">
        <f>'CBS (Total)'!N24+'CBS (Total)'!N29</f>
        <v>113232947.78356659</v>
      </c>
      <c r="H4" s="465">
        <f>'CBS (Total)'!P24+'CBS (Total)'!P29</f>
        <v>219217234.05405882</v>
      </c>
      <c r="J4" s="465"/>
      <c r="L4" s="465"/>
    </row>
    <row r="5" spans="1:12" x14ac:dyDescent="0.25">
      <c r="B5" s="68"/>
      <c r="E5" s="426">
        <v>0.1</v>
      </c>
      <c r="F5" s="426">
        <v>0.1</v>
      </c>
      <c r="G5" s="426">
        <v>0.1</v>
      </c>
      <c r="H5" s="426">
        <v>0.1</v>
      </c>
    </row>
    <row r="7" spans="1:12" s="723" customFormat="1" x14ac:dyDescent="0.25">
      <c r="D7" s="331" t="s">
        <v>100</v>
      </c>
      <c r="E7" s="108">
        <f>E4*E5</f>
        <v>356251.60179478995</v>
      </c>
      <c r="F7" s="108">
        <f t="shared" ref="F7:H7" si="0">F4*F5</f>
        <v>2561152.3669781601</v>
      </c>
      <c r="G7" s="108">
        <f t="shared" si="0"/>
        <v>11323294.77835666</v>
      </c>
      <c r="H7" s="108">
        <f t="shared" si="0"/>
        <v>21921723.405405883</v>
      </c>
    </row>
    <row r="8" spans="1:12" s="723" customFormat="1" x14ac:dyDescent="0.25">
      <c r="E8" s="67" t="s">
        <v>159</v>
      </c>
      <c r="F8" s="67" t="s">
        <v>159</v>
      </c>
      <c r="G8" s="67" t="s">
        <v>159</v>
      </c>
      <c r="H8" s="67" t="s">
        <v>159</v>
      </c>
    </row>
    <row r="10" spans="1:12" s="295" customFormat="1" x14ac:dyDescent="0.25">
      <c r="A10" s="213" t="s">
        <v>238</v>
      </c>
      <c r="E10" s="66"/>
      <c r="F10" s="66"/>
      <c r="G10" s="66"/>
      <c r="H10" s="66"/>
    </row>
    <row r="11" spans="1:12" s="295" customFormat="1" x14ac:dyDescent="0.25">
      <c r="A11" s="295">
        <v>1.6</v>
      </c>
      <c r="B11" s="358" t="s">
        <v>86</v>
      </c>
      <c r="E11" s="66"/>
      <c r="F11" s="66"/>
      <c r="G11" s="66"/>
      <c r="H11" s="66"/>
    </row>
    <row r="12" spans="1:12" s="295" customFormat="1" x14ac:dyDescent="0.25">
      <c r="B12" s="358" t="s">
        <v>87</v>
      </c>
    </row>
    <row r="13" spans="1:12" s="295" customFormat="1" x14ac:dyDescent="0.25">
      <c r="B13" s="359" t="s">
        <v>255</v>
      </c>
    </row>
    <row r="14" spans="1:12" s="295" customFormat="1" x14ac:dyDescent="0.25"/>
    <row r="15" spans="1:12" s="295" customFormat="1" x14ac:dyDescent="0.25">
      <c r="A15" s="213" t="s">
        <v>235</v>
      </c>
    </row>
    <row r="16" spans="1:12" s="295" customFormat="1" x14ac:dyDescent="0.25">
      <c r="A16" s="295">
        <v>1.6</v>
      </c>
      <c r="B16" s="295" t="s">
        <v>239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V123"/>
  <sheetViews>
    <sheetView topLeftCell="A63" zoomScale="70" zoomScaleNormal="70" workbookViewId="0">
      <selection activeCell="D114" sqref="D114"/>
    </sheetView>
  </sheetViews>
  <sheetFormatPr defaultColWidth="9.140625" defaultRowHeight="15" x14ac:dyDescent="0.25"/>
  <cols>
    <col min="1" max="1" width="6.85546875" style="7" customWidth="1"/>
    <col min="2" max="2" width="3.7109375" style="7" customWidth="1"/>
    <col min="3" max="3" width="25.42578125" style="7" customWidth="1"/>
    <col min="4" max="4" width="31.5703125" style="7" customWidth="1"/>
    <col min="5" max="5" width="13.42578125" style="7" customWidth="1"/>
    <col min="6" max="6" width="15" style="7" bestFit="1" customWidth="1"/>
    <col min="7" max="7" width="16.85546875" style="7" bestFit="1" customWidth="1"/>
    <col min="8" max="8" width="16.42578125" style="7" bestFit="1" customWidth="1"/>
    <col min="9" max="9" width="15.85546875" style="7" customWidth="1"/>
    <col min="10" max="10" width="13.28515625" style="7" customWidth="1"/>
    <col min="11" max="11" width="13.5703125" style="7" bestFit="1" customWidth="1"/>
    <col min="12" max="12" width="13.140625" style="7" bestFit="1" customWidth="1"/>
    <col min="13" max="13" width="14.5703125" style="7" bestFit="1" customWidth="1"/>
    <col min="14" max="14" width="14" style="7" customWidth="1"/>
    <col min="15" max="15" width="13.140625" style="7" bestFit="1" customWidth="1"/>
    <col min="16" max="16" width="15.42578125" style="7" bestFit="1" customWidth="1"/>
    <col min="17" max="17" width="15" style="7" customWidth="1"/>
    <col min="18" max="18" width="13.5703125" style="7" bestFit="1" customWidth="1"/>
    <col min="19" max="19" width="12" style="7" bestFit="1" customWidth="1"/>
    <col min="20" max="20" width="10.7109375" style="7" customWidth="1"/>
    <col min="21" max="21" width="13.5703125" style="7" bestFit="1" customWidth="1"/>
    <col min="22" max="22" width="15.28515625" style="7" customWidth="1"/>
    <col min="23" max="16384" width="9.140625" style="7"/>
  </cols>
  <sheetData>
    <row r="1" spans="1:22" s="12" customFormat="1" x14ac:dyDescent="0.25">
      <c r="A1" s="375" t="s">
        <v>407</v>
      </c>
      <c r="B1" s="414"/>
      <c r="C1" s="414"/>
      <c r="D1" s="414"/>
      <c r="E1" s="414"/>
      <c r="F1" s="414"/>
      <c r="G1" s="414"/>
      <c r="H1" s="414"/>
      <c r="I1" s="414"/>
      <c r="J1" s="414"/>
      <c r="K1" s="414"/>
      <c r="L1" s="414"/>
      <c r="M1" s="414"/>
      <c r="N1" s="414"/>
      <c r="O1" s="414"/>
      <c r="P1" s="482"/>
      <c r="Q1" s="482"/>
      <c r="R1" s="482"/>
      <c r="S1" s="482"/>
      <c r="T1" s="482"/>
      <c r="U1" s="414"/>
      <c r="V1" s="414"/>
    </row>
    <row r="2" spans="1:22" s="68" customFormat="1" x14ac:dyDescent="0.25">
      <c r="A2" s="414"/>
      <c r="B2" s="414"/>
      <c r="C2" s="414"/>
      <c r="D2" s="414"/>
      <c r="E2" s="414"/>
      <c r="F2" s="414"/>
      <c r="G2" s="414"/>
      <c r="H2" s="414"/>
      <c r="I2" s="414"/>
      <c r="J2" s="414"/>
      <c r="K2" s="414"/>
      <c r="L2" s="414"/>
      <c r="M2" s="414"/>
      <c r="N2" s="414"/>
      <c r="O2" s="414"/>
      <c r="P2" s="482"/>
      <c r="Q2" s="482"/>
      <c r="R2" s="482"/>
      <c r="S2" s="482"/>
      <c r="T2" s="482"/>
      <c r="U2" s="414"/>
      <c r="V2" s="414"/>
    </row>
    <row r="3" spans="1:22" s="60" customFormat="1" x14ac:dyDescent="0.25">
      <c r="A3" s="375" t="s">
        <v>111</v>
      </c>
      <c r="B3" s="414"/>
      <c r="C3" s="414"/>
      <c r="D3" s="414"/>
      <c r="E3" s="414"/>
      <c r="F3" s="414"/>
      <c r="G3" s="414"/>
      <c r="H3" s="414"/>
      <c r="I3" s="414"/>
      <c r="J3" s="414"/>
      <c r="K3" s="414"/>
      <c r="L3" s="414"/>
      <c r="M3" s="414"/>
      <c r="N3" s="414"/>
      <c r="O3" s="414"/>
      <c r="P3" s="482"/>
      <c r="Q3" s="482"/>
      <c r="R3" s="482"/>
      <c r="S3" s="482"/>
      <c r="T3" s="482"/>
      <c r="U3" s="414"/>
      <c r="V3" s="414"/>
    </row>
    <row r="4" spans="1:22" s="60" customFormat="1" x14ac:dyDescent="0.25">
      <c r="A4" s="414"/>
      <c r="B4" s="414"/>
      <c r="C4" s="414"/>
      <c r="D4" s="414"/>
      <c r="E4" s="414" t="s">
        <v>66</v>
      </c>
      <c r="F4" s="414">
        <v>1</v>
      </c>
      <c r="G4" s="414">
        <v>10</v>
      </c>
      <c r="H4" s="414">
        <v>50</v>
      </c>
      <c r="I4" s="414">
        <v>100</v>
      </c>
      <c r="J4" s="414"/>
      <c r="K4" s="414"/>
      <c r="L4" s="414"/>
      <c r="M4" s="414"/>
      <c r="N4" s="414"/>
      <c r="O4" s="414"/>
      <c r="P4" s="482"/>
      <c r="Q4" s="542"/>
      <c r="R4" s="482"/>
      <c r="S4" s="482"/>
      <c r="T4" s="482"/>
      <c r="U4" s="414"/>
      <c r="V4" s="414"/>
    </row>
    <row r="5" spans="1:22" s="60" customFormat="1" x14ac:dyDescent="0.25">
      <c r="A5" s="414"/>
      <c r="B5" s="377" t="s">
        <v>73</v>
      </c>
      <c r="C5" s="414"/>
      <c r="D5" s="414" t="s">
        <v>48</v>
      </c>
      <c r="E5" s="414"/>
      <c r="F5" s="386">
        <f>F20</f>
        <v>29750</v>
      </c>
      <c r="G5" s="386">
        <f>G20</f>
        <v>297500</v>
      </c>
      <c r="H5" s="386">
        <f>H20</f>
        <v>1487500</v>
      </c>
      <c r="I5" s="386">
        <f>I20</f>
        <v>2975000</v>
      </c>
      <c r="J5" s="414"/>
      <c r="K5" s="414"/>
      <c r="L5" s="414"/>
      <c r="M5" s="414"/>
      <c r="N5" s="414"/>
      <c r="O5" s="414"/>
      <c r="P5" s="542"/>
      <c r="Q5" s="544"/>
      <c r="R5" s="544"/>
      <c r="S5" s="544"/>
      <c r="T5" s="544"/>
      <c r="U5" s="414"/>
      <c r="V5" s="414"/>
    </row>
    <row r="6" spans="1:22" s="60" customFormat="1" x14ac:dyDescent="0.25">
      <c r="A6" s="414"/>
      <c r="B6" s="377" t="s">
        <v>74</v>
      </c>
      <c r="C6" s="414"/>
      <c r="D6" s="414" t="s">
        <v>49</v>
      </c>
      <c r="E6" s="414"/>
      <c r="F6" s="386">
        <f>F34</f>
        <v>667000</v>
      </c>
      <c r="G6" s="386">
        <f t="shared" ref="G6:I6" si="0">G34</f>
        <v>767200</v>
      </c>
      <c r="H6" s="386">
        <f t="shared" si="0"/>
        <v>767200</v>
      </c>
      <c r="I6" s="386">
        <f t="shared" si="0"/>
        <v>1534000</v>
      </c>
      <c r="J6" s="414"/>
      <c r="K6" s="414"/>
      <c r="L6" s="414"/>
      <c r="M6" s="414"/>
      <c r="N6" s="414"/>
      <c r="O6" s="414"/>
      <c r="P6" s="542"/>
      <c r="Q6" s="544"/>
      <c r="R6" s="544"/>
      <c r="S6" s="544"/>
      <c r="T6" s="544"/>
      <c r="U6" s="414"/>
      <c r="V6" s="414"/>
    </row>
    <row r="7" spans="1:22" s="60" customFormat="1" x14ac:dyDescent="0.25">
      <c r="A7" s="414"/>
      <c r="B7" s="377" t="s">
        <v>75</v>
      </c>
      <c r="C7" s="414"/>
      <c r="D7" s="414" t="s">
        <v>71</v>
      </c>
      <c r="E7" s="414"/>
      <c r="F7" s="386">
        <f>G52</f>
        <v>3193833.5500000003</v>
      </c>
      <c r="G7" s="386">
        <f>J52</f>
        <v>3904558.5555555555</v>
      </c>
      <c r="H7" s="386">
        <f>M52</f>
        <v>7063960.777777778</v>
      </c>
      <c r="I7" s="386">
        <f>P52</f>
        <v>11013213.555555556</v>
      </c>
      <c r="J7" s="414"/>
      <c r="K7" s="414"/>
      <c r="L7" s="414"/>
      <c r="M7" s="414"/>
      <c r="N7" s="414"/>
      <c r="O7" s="414"/>
      <c r="P7" s="542"/>
      <c r="Q7" s="544"/>
      <c r="R7" s="544"/>
      <c r="S7" s="544"/>
      <c r="T7" s="544"/>
      <c r="U7" s="414"/>
      <c r="V7" s="414"/>
    </row>
    <row r="8" spans="1:22" s="60" customFormat="1" x14ac:dyDescent="0.25">
      <c r="A8" s="414"/>
      <c r="B8" s="377" t="s">
        <v>76</v>
      </c>
      <c r="C8" s="414"/>
      <c r="D8" s="414" t="s">
        <v>256</v>
      </c>
      <c r="E8" s="414"/>
      <c r="F8" s="386">
        <f>G79</f>
        <v>1507533.78</v>
      </c>
      <c r="G8" s="386">
        <f>J79</f>
        <v>2280164.6</v>
      </c>
      <c r="H8" s="386">
        <f>M79</f>
        <v>4503814.5999999996</v>
      </c>
      <c r="I8" s="386">
        <f>P79</f>
        <v>7283377.0999999996</v>
      </c>
      <c r="J8" s="414"/>
      <c r="K8" s="414"/>
      <c r="L8" s="414"/>
      <c r="M8" s="414"/>
      <c r="N8" s="414"/>
      <c r="O8" s="414"/>
      <c r="P8" s="542"/>
      <c r="Q8" s="544"/>
      <c r="R8" s="544"/>
      <c r="S8" s="544"/>
      <c r="T8" s="544"/>
      <c r="U8" s="414"/>
      <c r="V8" s="414"/>
    </row>
    <row r="9" spans="1:22" s="60" customFormat="1" x14ac:dyDescent="0.25">
      <c r="A9" s="414"/>
      <c r="B9" s="377" t="s">
        <v>77</v>
      </c>
      <c r="C9" s="414"/>
      <c r="D9" s="414" t="s">
        <v>50</v>
      </c>
      <c r="E9" s="414"/>
      <c r="F9" s="386">
        <f>G96</f>
        <v>255202.5</v>
      </c>
      <c r="G9" s="386">
        <f>J96</f>
        <v>916275</v>
      </c>
      <c r="H9" s="386">
        <f>M96</f>
        <v>3854375</v>
      </c>
      <c r="I9" s="386">
        <f>P96</f>
        <v>7527000</v>
      </c>
      <c r="J9" s="414"/>
      <c r="K9" s="414"/>
      <c r="L9" s="414"/>
      <c r="M9" s="414"/>
      <c r="N9" s="414"/>
      <c r="O9" s="414"/>
      <c r="P9" s="542"/>
      <c r="Q9" s="544"/>
      <c r="R9" s="544"/>
      <c r="S9" s="544"/>
      <c r="T9" s="544"/>
      <c r="U9" s="414"/>
      <c r="V9" s="414"/>
    </row>
    <row r="10" spans="1:22" s="60" customFormat="1" x14ac:dyDescent="0.25">
      <c r="A10" s="414"/>
      <c r="B10" s="377" t="s">
        <v>78</v>
      </c>
      <c r="C10" s="414"/>
      <c r="D10" s="414" t="s">
        <v>51</v>
      </c>
      <c r="E10" s="414"/>
      <c r="F10" s="386">
        <f>F104</f>
        <v>255202.5</v>
      </c>
      <c r="G10" s="386">
        <f>G104</f>
        <v>916275</v>
      </c>
      <c r="H10" s="386">
        <f>H104</f>
        <v>3854375</v>
      </c>
      <c r="I10" s="386">
        <f>I104</f>
        <v>7527000</v>
      </c>
      <c r="J10" s="414"/>
      <c r="K10" s="414"/>
      <c r="L10" s="414"/>
      <c r="M10" s="414"/>
      <c r="N10" s="414"/>
      <c r="O10" s="414"/>
      <c r="P10" s="414"/>
      <c r="Q10" s="414"/>
      <c r="R10" s="414"/>
      <c r="S10" s="414"/>
      <c r="T10" s="414"/>
      <c r="U10" s="414"/>
      <c r="V10" s="414"/>
    </row>
    <row r="11" spans="1:22" s="60" customFormat="1" x14ac:dyDescent="0.25">
      <c r="A11" s="414"/>
      <c r="B11" s="414"/>
      <c r="C11" s="414"/>
      <c r="D11" s="414"/>
      <c r="E11" s="414"/>
      <c r="F11" s="414"/>
      <c r="G11" s="414"/>
      <c r="H11" s="414"/>
      <c r="I11" s="414"/>
      <c r="J11" s="414"/>
      <c r="K11" s="414"/>
      <c r="L11" s="414"/>
      <c r="M11" s="414"/>
      <c r="N11" s="414"/>
      <c r="O11" s="414"/>
      <c r="P11" s="414"/>
      <c r="Q11" s="414"/>
      <c r="R11" s="414"/>
      <c r="S11" s="414"/>
      <c r="T11" s="414"/>
      <c r="U11" s="414"/>
      <c r="V11" s="414"/>
    </row>
    <row r="12" spans="1:22" s="547" customFormat="1" x14ac:dyDescent="0.25">
      <c r="A12" s="466"/>
      <c r="B12" s="364" t="s">
        <v>81</v>
      </c>
      <c r="C12" s="364"/>
      <c r="D12" s="364"/>
      <c r="E12" s="364"/>
      <c r="F12" s="368">
        <f>SUM(F5:F10)</f>
        <v>5908522.3300000001</v>
      </c>
      <c r="G12" s="368">
        <f t="shared" ref="G12:I12" si="1">SUM(G5:G10)</f>
        <v>9081973.1555555556</v>
      </c>
      <c r="H12" s="368">
        <f t="shared" si="1"/>
        <v>21531225.377777778</v>
      </c>
      <c r="I12" s="368">
        <f t="shared" si="1"/>
        <v>37859590.655555554</v>
      </c>
      <c r="J12" s="466"/>
      <c r="K12" s="466"/>
      <c r="L12" s="466"/>
      <c r="M12" s="466"/>
      <c r="N12" s="466"/>
      <c r="O12" s="466"/>
      <c r="P12" s="466"/>
      <c r="Q12" s="466"/>
      <c r="R12" s="466"/>
      <c r="S12" s="466"/>
      <c r="T12" s="466"/>
      <c r="U12" s="466"/>
      <c r="V12" s="466"/>
    </row>
    <row r="13" spans="1:22" s="60" customFormat="1" x14ac:dyDescent="0.25">
      <c r="A13" s="414"/>
      <c r="B13" s="414"/>
      <c r="C13" s="414"/>
      <c r="D13" s="414"/>
      <c r="E13" s="414"/>
      <c r="F13" s="414"/>
      <c r="G13" s="414"/>
      <c r="H13" s="414"/>
      <c r="I13" s="414"/>
      <c r="J13" s="383"/>
      <c r="K13" s="383"/>
      <c r="L13" s="383"/>
      <c r="M13" s="383"/>
      <c r="N13" s="383"/>
      <c r="O13" s="383"/>
      <c r="P13" s="414"/>
      <c r="Q13" s="414"/>
      <c r="R13" s="414"/>
      <c r="S13" s="414"/>
      <c r="T13" s="414"/>
      <c r="U13" s="414"/>
      <c r="V13" s="414"/>
    </row>
    <row r="14" spans="1:22" s="12" customFormat="1" x14ac:dyDescent="0.25">
      <c r="A14" s="414"/>
      <c r="B14" s="414"/>
      <c r="C14" s="414"/>
      <c r="D14" s="414"/>
      <c r="E14" s="414"/>
      <c r="F14" s="365"/>
      <c r="G14" s="385" t="s">
        <v>298</v>
      </c>
      <c r="H14" s="365" t="s">
        <v>66</v>
      </c>
      <c r="I14" s="412"/>
      <c r="K14" s="383"/>
      <c r="L14" s="383"/>
      <c r="M14" s="383"/>
      <c r="N14" s="383"/>
      <c r="O14" s="383"/>
      <c r="P14" s="414"/>
      <c r="Q14" s="414"/>
      <c r="R14" s="414"/>
      <c r="S14" s="414"/>
      <c r="T14" s="414"/>
      <c r="U14" s="414"/>
      <c r="V14" s="414"/>
    </row>
    <row r="15" spans="1:22" s="12" customFormat="1" x14ac:dyDescent="0.25">
      <c r="A15" s="375" t="s">
        <v>73</v>
      </c>
      <c r="B15" s="375" t="s">
        <v>91</v>
      </c>
      <c r="C15" s="414"/>
      <c r="D15" s="414"/>
      <c r="F15" s="604">
        <v>1</v>
      </c>
      <c r="G15" s="604">
        <v>10</v>
      </c>
      <c r="H15" s="604">
        <v>50</v>
      </c>
      <c r="I15" s="604">
        <v>100</v>
      </c>
      <c r="K15" s="383"/>
      <c r="L15" s="383"/>
      <c r="M15" s="383"/>
      <c r="N15" s="383"/>
      <c r="O15" s="383"/>
      <c r="P15" s="414"/>
      <c r="Q15" s="414"/>
      <c r="R15" s="414"/>
      <c r="S15" s="414"/>
      <c r="T15" s="414"/>
      <c r="U15" s="414"/>
      <c r="V15" s="414"/>
    </row>
    <row r="16" spans="1:22" s="547" customFormat="1" x14ac:dyDescent="0.25">
      <c r="A16" s="375"/>
      <c r="B16" s="375"/>
      <c r="C16" s="466"/>
      <c r="D16" s="466"/>
      <c r="F16" s="372"/>
      <c r="G16" s="385"/>
      <c r="H16" s="385"/>
      <c r="I16" s="385"/>
      <c r="K16" s="383"/>
      <c r="L16" s="383"/>
      <c r="M16" s="383"/>
      <c r="N16" s="383"/>
      <c r="O16" s="383"/>
      <c r="P16" s="466"/>
      <c r="Q16" s="466"/>
      <c r="R16" s="466"/>
      <c r="S16" s="466"/>
      <c r="T16" s="466"/>
      <c r="U16" s="466"/>
      <c r="V16" s="466"/>
    </row>
    <row r="17" spans="1:22" s="547" customFormat="1" x14ac:dyDescent="0.25">
      <c r="A17" s="375"/>
      <c r="B17" s="466" t="s">
        <v>349</v>
      </c>
      <c r="C17" s="466"/>
      <c r="D17" s="466"/>
      <c r="F17" s="605">
        <v>29750</v>
      </c>
      <c r="G17" s="605">
        <f>F17*G15</f>
        <v>297500</v>
      </c>
      <c r="H17" s="605">
        <f>F17*H15</f>
        <v>1487500</v>
      </c>
      <c r="I17" s="605">
        <f>F17*I15</f>
        <v>2975000</v>
      </c>
      <c r="K17" s="383"/>
      <c r="L17" s="383"/>
      <c r="M17" s="383"/>
      <c r="N17" s="383"/>
      <c r="O17" s="383"/>
      <c r="P17" s="466"/>
      <c r="Q17" s="466"/>
      <c r="R17" s="466"/>
      <c r="S17" s="466"/>
      <c r="T17" s="466"/>
      <c r="U17" s="466"/>
      <c r="V17" s="466"/>
    </row>
    <row r="18" spans="1:22" s="547" customFormat="1" x14ac:dyDescent="0.25">
      <c r="A18" s="375"/>
      <c r="B18" s="466" t="s">
        <v>348</v>
      </c>
      <c r="C18" s="466"/>
      <c r="D18" s="466"/>
      <c r="F18" s="372"/>
      <c r="G18" s="385"/>
      <c r="H18" s="385"/>
      <c r="I18" s="385"/>
      <c r="K18" s="383"/>
      <c r="L18" s="383"/>
      <c r="M18" s="383"/>
      <c r="N18" s="383"/>
      <c r="O18" s="383"/>
      <c r="P18" s="466"/>
      <c r="Q18" s="466"/>
      <c r="R18" s="466"/>
      <c r="S18" s="466"/>
      <c r="T18" s="466"/>
      <c r="U18" s="466"/>
      <c r="V18" s="466"/>
    </row>
    <row r="19" spans="1:22" s="73" customFormat="1" x14ac:dyDescent="0.25">
      <c r="A19" s="414"/>
      <c r="B19" s="414"/>
      <c r="C19" s="466"/>
      <c r="D19" s="466"/>
      <c r="E19" s="466"/>
      <c r="F19" s="466"/>
      <c r="G19" s="466"/>
      <c r="H19" s="466"/>
      <c r="I19" s="466"/>
      <c r="K19" s="383"/>
      <c r="L19" s="383"/>
      <c r="M19" s="383"/>
      <c r="N19" s="383"/>
      <c r="O19" s="383"/>
      <c r="P19" s="414"/>
      <c r="Q19" s="414"/>
      <c r="R19" s="414"/>
      <c r="S19" s="414"/>
      <c r="T19" s="414"/>
      <c r="U19" s="414"/>
      <c r="V19" s="414"/>
    </row>
    <row r="20" spans="1:22" s="73" customFormat="1" x14ac:dyDescent="0.25">
      <c r="A20" s="414"/>
      <c r="B20" s="364" t="s">
        <v>81</v>
      </c>
      <c r="C20" s="364"/>
      <c r="D20" s="364"/>
      <c r="E20" s="364"/>
      <c r="F20" s="368">
        <f>SUM(F17:F18)</f>
        <v>29750</v>
      </c>
      <c r="G20" s="368">
        <f t="shared" ref="G20:I20" si="2">SUM(G17:G18)</f>
        <v>297500</v>
      </c>
      <c r="H20" s="368">
        <f t="shared" si="2"/>
        <v>1487500</v>
      </c>
      <c r="I20" s="368">
        <f t="shared" si="2"/>
        <v>2975000</v>
      </c>
      <c r="K20" s="383"/>
      <c r="L20" s="383"/>
      <c r="M20" s="383"/>
      <c r="N20" s="383"/>
      <c r="O20" s="383"/>
      <c r="P20" s="414"/>
      <c r="Q20" s="414"/>
      <c r="R20" s="414"/>
      <c r="S20" s="414"/>
      <c r="T20" s="414"/>
      <c r="U20" s="414"/>
      <c r="V20" s="414"/>
    </row>
    <row r="21" spans="1:22" s="73" customFormat="1" x14ac:dyDescent="0.25">
      <c r="A21" s="414"/>
      <c r="B21" s="414"/>
      <c r="C21" s="414"/>
      <c r="D21" s="414"/>
      <c r="E21" s="414"/>
      <c r="F21" s="365"/>
      <c r="G21" s="365"/>
      <c r="H21" s="365"/>
      <c r="I21" s="412"/>
      <c r="K21" s="370"/>
      <c r="L21" s="370"/>
      <c r="M21" s="370"/>
      <c r="N21" s="370"/>
      <c r="O21" s="383"/>
      <c r="P21" s="414"/>
      <c r="Q21" s="414"/>
      <c r="R21" s="414"/>
      <c r="S21" s="414"/>
      <c r="T21" s="414"/>
      <c r="U21" s="414"/>
      <c r="V21" s="414"/>
    </row>
    <row r="22" spans="1:22" s="12" customFormat="1" x14ac:dyDescent="0.25">
      <c r="A22" s="414"/>
      <c r="B22" s="414"/>
      <c r="C22" s="414"/>
      <c r="D22" s="414"/>
      <c r="E22" s="482"/>
      <c r="F22" s="547"/>
      <c r="G22" s="106" t="s">
        <v>298</v>
      </c>
      <c r="H22" s="443" t="s">
        <v>66</v>
      </c>
      <c r="I22" s="443"/>
      <c r="K22" s="482"/>
      <c r="L22" s="482"/>
      <c r="M22" s="482"/>
      <c r="N22" s="482"/>
      <c r="O22" s="482"/>
      <c r="P22" s="482"/>
      <c r="Q22" s="482"/>
      <c r="R22" s="482"/>
      <c r="S22" s="482"/>
      <c r="T22" s="482"/>
      <c r="U22" s="482"/>
      <c r="V22" s="482"/>
    </row>
    <row r="23" spans="1:22" s="12" customFormat="1" x14ac:dyDescent="0.25">
      <c r="A23" s="485" t="s">
        <v>74</v>
      </c>
      <c r="B23" s="375" t="s">
        <v>258</v>
      </c>
      <c r="C23" s="414"/>
      <c r="D23" s="414"/>
      <c r="E23" s="482"/>
      <c r="F23" s="604">
        <v>1</v>
      </c>
      <c r="G23" s="604">
        <v>10</v>
      </c>
      <c r="H23" s="604">
        <v>50</v>
      </c>
      <c r="I23" s="604">
        <v>100</v>
      </c>
      <c r="K23" s="481"/>
      <c r="L23" s="481"/>
      <c r="M23" s="481"/>
      <c r="N23" s="481"/>
      <c r="O23" s="481"/>
      <c r="P23" s="481"/>
      <c r="Q23" s="472"/>
      <c r="R23" s="472"/>
      <c r="S23" s="481"/>
      <c r="T23" s="481"/>
      <c r="U23" s="481"/>
      <c r="V23" s="482"/>
    </row>
    <row r="24" spans="1:22" s="547" customFormat="1" x14ac:dyDescent="0.25">
      <c r="A24" s="485"/>
      <c r="B24" s="375"/>
      <c r="C24" s="466"/>
      <c r="D24" s="466"/>
      <c r="E24" s="482"/>
      <c r="F24" s="482"/>
      <c r="G24" s="372"/>
      <c r="H24" s="385"/>
      <c r="I24" s="385"/>
      <c r="J24" s="385"/>
      <c r="K24" s="481"/>
      <c r="L24" s="481"/>
      <c r="M24" s="481"/>
      <c r="N24" s="481"/>
      <c r="O24" s="481"/>
      <c r="P24" s="481"/>
      <c r="Q24" s="472"/>
      <c r="R24" s="472"/>
      <c r="S24" s="481"/>
      <c r="T24" s="481"/>
      <c r="U24" s="481"/>
      <c r="V24" s="482"/>
    </row>
    <row r="25" spans="1:22" s="547" customFormat="1" x14ac:dyDescent="0.25">
      <c r="B25" s="547" t="s">
        <v>350</v>
      </c>
      <c r="G25" s="443"/>
      <c r="H25" s="443"/>
      <c r="I25" s="443"/>
      <c r="J25" s="385"/>
      <c r="K25" s="481"/>
      <c r="L25" s="481"/>
      <c r="M25" s="481"/>
      <c r="N25" s="481"/>
      <c r="O25" s="481"/>
      <c r="P25" s="481"/>
      <c r="Q25" s="472"/>
      <c r="R25" s="472"/>
      <c r="S25" s="481"/>
      <c r="T25" s="481"/>
      <c r="U25" s="481"/>
      <c r="V25" s="482"/>
    </row>
    <row r="26" spans="1:22" s="547" customFormat="1" x14ac:dyDescent="0.25">
      <c r="B26" s="547" t="s">
        <v>351</v>
      </c>
      <c r="G26" s="443"/>
      <c r="H26" s="443"/>
      <c r="I26" s="443"/>
      <c r="J26" s="385"/>
      <c r="K26" s="481"/>
      <c r="L26" s="481"/>
      <c r="M26" s="481"/>
      <c r="N26" s="481"/>
      <c r="O26" s="481"/>
      <c r="P26" s="481"/>
      <c r="Q26" s="472"/>
      <c r="R26" s="472"/>
      <c r="S26" s="481"/>
      <c r="T26" s="481"/>
      <c r="U26" s="481"/>
      <c r="V26" s="482"/>
    </row>
    <row r="27" spans="1:22" s="547" customFormat="1" x14ac:dyDescent="0.25">
      <c r="B27" s="547" t="s">
        <v>352</v>
      </c>
      <c r="G27" s="443"/>
      <c r="H27" s="443"/>
      <c r="I27" s="443"/>
      <c r="J27" s="385"/>
      <c r="K27" s="481"/>
      <c r="L27" s="481"/>
      <c r="M27" s="481"/>
      <c r="N27" s="481"/>
      <c r="O27" s="481"/>
      <c r="P27" s="481"/>
      <c r="Q27" s="472"/>
      <c r="R27" s="472"/>
      <c r="S27" s="481"/>
      <c r="T27" s="481"/>
      <c r="U27" s="481"/>
      <c r="V27" s="482"/>
    </row>
    <row r="28" spans="1:22" s="547" customFormat="1" x14ac:dyDescent="0.25">
      <c r="B28" s="606" t="s">
        <v>353</v>
      </c>
      <c r="G28" s="443"/>
      <c r="H28" s="443"/>
      <c r="I28" s="443"/>
      <c r="J28" s="385"/>
      <c r="K28" s="481"/>
      <c r="L28" s="481"/>
      <c r="M28" s="481"/>
      <c r="N28" s="481"/>
      <c r="O28" s="481"/>
      <c r="P28" s="481"/>
      <c r="Q28" s="472"/>
      <c r="R28" s="472"/>
      <c r="S28" s="481"/>
      <c r="T28" s="481"/>
      <c r="U28" s="481"/>
      <c r="V28" s="482"/>
    </row>
    <row r="29" spans="1:22" s="547" customFormat="1" x14ac:dyDescent="0.25">
      <c r="B29" s="606" t="s">
        <v>354</v>
      </c>
      <c r="G29" s="443"/>
      <c r="H29" s="443"/>
      <c r="I29" s="443"/>
      <c r="J29" s="385"/>
      <c r="K29" s="481"/>
      <c r="L29" s="481"/>
      <c r="M29" s="481"/>
      <c r="N29" s="481"/>
      <c r="O29" s="481"/>
      <c r="P29" s="481"/>
      <c r="Q29" s="472"/>
      <c r="R29" s="472"/>
      <c r="S29" s="481"/>
      <c r="T29" s="481"/>
      <c r="U29" s="481"/>
      <c r="V29" s="482"/>
    </row>
    <row r="30" spans="1:22" s="547" customFormat="1" x14ac:dyDescent="0.25">
      <c r="B30" s="606" t="s">
        <v>359</v>
      </c>
      <c r="G30" s="443"/>
      <c r="H30" s="443"/>
      <c r="I30" s="443"/>
      <c r="J30" s="385"/>
      <c r="K30" s="481"/>
      <c r="L30" s="481"/>
      <c r="M30" s="481"/>
      <c r="N30" s="481"/>
      <c r="O30" s="481"/>
      <c r="P30" s="481"/>
      <c r="Q30" s="472"/>
      <c r="R30" s="472"/>
      <c r="S30" s="481"/>
      <c r="T30" s="481"/>
      <c r="U30" s="481"/>
      <c r="V30" s="482"/>
    </row>
    <row r="31" spans="1:22" s="547" customFormat="1" x14ac:dyDescent="0.25">
      <c r="B31" s="606" t="s">
        <v>357</v>
      </c>
      <c r="G31" s="443"/>
      <c r="H31" s="443"/>
      <c r="I31" s="443"/>
      <c r="J31" s="385"/>
      <c r="K31" s="481"/>
      <c r="L31" s="481"/>
      <c r="M31" s="481"/>
      <c r="N31" s="481"/>
      <c r="O31" s="481"/>
      <c r="P31" s="481"/>
      <c r="Q31" s="472"/>
      <c r="R31" s="472"/>
      <c r="S31" s="481"/>
      <c r="T31" s="481"/>
      <c r="U31" s="481"/>
      <c r="V31" s="482"/>
    </row>
    <row r="32" spans="1:22" s="547" customFormat="1" x14ac:dyDescent="0.25">
      <c r="B32" s="606" t="s">
        <v>355</v>
      </c>
      <c r="G32" s="443"/>
      <c r="H32" s="443"/>
      <c r="I32" s="443"/>
      <c r="J32" s="608"/>
      <c r="K32" s="481"/>
      <c r="L32" s="481"/>
      <c r="M32" s="481"/>
      <c r="N32" s="481"/>
      <c r="O32" s="481"/>
      <c r="P32" s="481"/>
      <c r="Q32" s="472"/>
      <c r="R32" s="472"/>
      <c r="S32" s="481"/>
      <c r="T32" s="481"/>
      <c r="U32" s="481"/>
      <c r="V32" s="482"/>
    </row>
    <row r="33" spans="1:22" s="486" customFormat="1" x14ac:dyDescent="0.25">
      <c r="A33" s="547"/>
      <c r="B33" s="606"/>
      <c r="C33" s="547"/>
      <c r="D33" s="547"/>
      <c r="E33" s="547"/>
      <c r="F33" s="464"/>
      <c r="G33" s="106"/>
      <c r="H33" s="106"/>
      <c r="I33" s="106"/>
      <c r="J33" s="383"/>
      <c r="K33" s="481"/>
      <c r="L33" s="481"/>
      <c r="M33" s="481"/>
      <c r="N33" s="481"/>
      <c r="O33" s="481"/>
      <c r="P33" s="481"/>
      <c r="Q33" s="472"/>
      <c r="R33" s="472"/>
      <c r="S33" s="481"/>
      <c r="T33" s="481"/>
      <c r="U33" s="481"/>
      <c r="V33" s="482"/>
    </row>
    <row r="34" spans="1:22" s="12" customFormat="1" x14ac:dyDescent="0.25">
      <c r="A34" s="547"/>
      <c r="B34" s="331" t="s">
        <v>356</v>
      </c>
      <c r="C34" s="331"/>
      <c r="D34" s="331"/>
      <c r="E34" s="331"/>
      <c r="F34" s="607">
        <v>667000</v>
      </c>
      <c r="G34" s="607">
        <v>767200</v>
      </c>
      <c r="H34" s="607">
        <f>G34</f>
        <v>767200</v>
      </c>
      <c r="I34" s="607">
        <v>1534000</v>
      </c>
      <c r="J34" s="381"/>
      <c r="K34" s="481"/>
      <c r="L34" s="481"/>
      <c r="M34" s="481"/>
      <c r="N34" s="481"/>
      <c r="O34" s="481"/>
      <c r="P34" s="481"/>
      <c r="Q34" s="472"/>
      <c r="R34" s="480"/>
      <c r="S34" s="479"/>
      <c r="T34" s="481"/>
      <c r="U34" s="481"/>
      <c r="V34" s="482"/>
    </row>
    <row r="35" spans="1:22" x14ac:dyDescent="0.25">
      <c r="A35" s="414"/>
      <c r="B35" s="383"/>
      <c r="C35" s="383"/>
      <c r="D35" s="383"/>
      <c r="E35" s="383"/>
      <c r="F35" s="383"/>
      <c r="G35" s="383"/>
      <c r="H35" s="383"/>
      <c r="I35" s="383"/>
      <c r="J35" s="383"/>
      <c r="K35" s="411"/>
      <c r="L35" s="383"/>
      <c r="M35" s="383"/>
      <c r="N35" s="383"/>
      <c r="O35" s="383"/>
      <c r="P35" s="383"/>
      <c r="Q35" s="383"/>
      <c r="R35" s="383"/>
      <c r="S35" s="383"/>
      <c r="T35" s="383"/>
      <c r="U35" s="383"/>
      <c r="V35" s="414"/>
    </row>
    <row r="36" spans="1:22" s="361" customFormat="1" x14ac:dyDescent="0.25">
      <c r="A36" s="414"/>
      <c r="B36" s="383"/>
      <c r="C36" s="383"/>
      <c r="D36" s="383"/>
      <c r="E36" s="383"/>
      <c r="F36" s="547"/>
      <c r="G36" s="106" t="s">
        <v>298</v>
      </c>
      <c r="H36" s="443" t="s">
        <v>66</v>
      </c>
      <c r="I36" s="443"/>
      <c r="J36" s="383"/>
      <c r="K36" s="411"/>
      <c r="L36" s="383"/>
      <c r="M36" s="383"/>
      <c r="N36" s="383"/>
      <c r="O36" s="383"/>
      <c r="P36" s="383"/>
      <c r="Q36" s="383"/>
      <c r="R36" s="383"/>
      <c r="S36" s="383"/>
      <c r="T36" s="383"/>
      <c r="U36" s="383"/>
      <c r="V36" s="414"/>
    </row>
    <row r="37" spans="1:22" s="360" customFormat="1" x14ac:dyDescent="0.25">
      <c r="A37" s="485" t="s">
        <v>75</v>
      </c>
      <c r="B37" s="375" t="s">
        <v>257</v>
      </c>
      <c r="C37" s="414"/>
      <c r="D37" s="414"/>
      <c r="E37" s="384"/>
      <c r="F37" s="604">
        <v>1</v>
      </c>
      <c r="G37" s="604">
        <v>10</v>
      </c>
      <c r="H37" s="604">
        <v>50</v>
      </c>
      <c r="I37" s="604">
        <v>100</v>
      </c>
      <c r="K37" s="481"/>
      <c r="L37" s="384"/>
      <c r="M37" s="414"/>
      <c r="N37" s="414"/>
      <c r="O37" s="414"/>
      <c r="P37" s="414"/>
      <c r="Q37" s="414"/>
      <c r="R37" s="414"/>
      <c r="S37" s="414"/>
      <c r="T37" s="414"/>
      <c r="U37" s="414"/>
      <c r="V37" s="414"/>
    </row>
    <row r="38" spans="1:22" s="547" customFormat="1" x14ac:dyDescent="0.25">
      <c r="A38" s="485"/>
      <c r="B38" s="375"/>
      <c r="C38" s="466"/>
      <c r="D38" s="466"/>
      <c r="E38" s="384"/>
      <c r="F38" s="372"/>
      <c r="G38" s="385"/>
      <c r="H38" s="385"/>
      <c r="I38" s="385"/>
      <c r="K38" s="481"/>
      <c r="L38" s="384"/>
      <c r="M38" s="466"/>
      <c r="N38" s="466"/>
      <c r="O38" s="466"/>
      <c r="P38" s="466"/>
      <c r="Q38" s="466"/>
      <c r="R38" s="466"/>
      <c r="S38" s="466"/>
      <c r="T38" s="466"/>
      <c r="U38" s="466"/>
      <c r="V38" s="466"/>
    </row>
    <row r="39" spans="1:22" s="547" customFormat="1" x14ac:dyDescent="0.25">
      <c r="A39" s="485"/>
      <c r="B39" s="466" t="s">
        <v>350</v>
      </c>
      <c r="C39" s="466"/>
      <c r="D39" s="466"/>
      <c r="E39" s="384"/>
      <c r="F39" s="372"/>
      <c r="G39" s="385"/>
      <c r="H39" s="385"/>
      <c r="I39" s="385"/>
      <c r="K39" s="481"/>
      <c r="L39" s="384"/>
      <c r="M39" s="466"/>
      <c r="N39" s="466"/>
      <c r="O39" s="466"/>
      <c r="P39" s="466"/>
      <c r="Q39" s="466"/>
      <c r="R39" s="466"/>
      <c r="S39" s="466"/>
      <c r="T39" s="466"/>
      <c r="U39" s="466"/>
      <c r="V39" s="466"/>
    </row>
    <row r="40" spans="1:22" s="547" customFormat="1" x14ac:dyDescent="0.25">
      <c r="A40" s="485"/>
      <c r="B40" s="466" t="s">
        <v>360</v>
      </c>
      <c r="C40" s="466"/>
      <c r="D40" s="466"/>
      <c r="E40" s="384"/>
      <c r="F40" s="372"/>
      <c r="G40" s="385"/>
      <c r="H40" s="385"/>
      <c r="I40" s="385"/>
      <c r="K40" s="481"/>
      <c r="L40" s="384"/>
      <c r="M40" s="466"/>
      <c r="N40" s="466"/>
      <c r="O40" s="466"/>
      <c r="P40" s="466"/>
      <c r="Q40" s="466"/>
      <c r="R40" s="466"/>
      <c r="S40" s="466"/>
      <c r="T40" s="466"/>
      <c r="U40" s="466"/>
      <c r="V40" s="466"/>
    </row>
    <row r="41" spans="1:22" s="547" customFormat="1" x14ac:dyDescent="0.25">
      <c r="A41" s="485"/>
      <c r="B41" s="375" t="s">
        <v>358</v>
      </c>
      <c r="C41" s="466"/>
      <c r="D41" s="466"/>
      <c r="E41" s="384"/>
      <c r="F41" s="372"/>
      <c r="G41" s="385"/>
      <c r="H41" s="385"/>
      <c r="I41" s="385"/>
      <c r="K41" s="481"/>
      <c r="L41" s="384"/>
      <c r="M41" s="466"/>
      <c r="N41" s="466"/>
      <c r="O41" s="466"/>
      <c r="P41" s="466"/>
      <c r="Q41" s="466"/>
      <c r="R41" s="466"/>
      <c r="S41" s="466"/>
      <c r="T41" s="466"/>
      <c r="U41" s="466"/>
      <c r="V41" s="466"/>
    </row>
    <row r="42" spans="1:22" s="547" customFormat="1" x14ac:dyDescent="0.25">
      <c r="A42" s="485"/>
      <c r="B42" s="466" t="s">
        <v>361</v>
      </c>
      <c r="C42" s="466"/>
      <c r="D42" s="466"/>
      <c r="E42" s="384"/>
      <c r="F42" s="372"/>
      <c r="G42" s="385"/>
      <c r="H42" s="385"/>
      <c r="I42" s="385"/>
      <c r="K42" s="481"/>
      <c r="L42" s="384"/>
      <c r="M42" s="466"/>
      <c r="N42" s="466"/>
      <c r="O42" s="466"/>
      <c r="P42" s="466"/>
      <c r="Q42" s="466"/>
      <c r="R42" s="466"/>
      <c r="S42" s="466"/>
      <c r="T42" s="466"/>
      <c r="U42" s="466"/>
      <c r="V42" s="466"/>
    </row>
    <row r="43" spans="1:22" s="547" customFormat="1" x14ac:dyDescent="0.25">
      <c r="A43" s="485"/>
      <c r="B43" s="375"/>
      <c r="C43" s="466"/>
      <c r="D43" s="466"/>
      <c r="E43" s="384"/>
      <c r="F43" s="610" t="s">
        <v>99</v>
      </c>
      <c r="G43" s="611"/>
      <c r="H43" s="611"/>
      <c r="I43" s="611" t="s">
        <v>88</v>
      </c>
      <c r="J43" s="592"/>
      <c r="K43" s="472"/>
      <c r="L43" s="612" t="s">
        <v>89</v>
      </c>
      <c r="M43" s="610"/>
      <c r="N43" s="610" t="s">
        <v>90</v>
      </c>
      <c r="O43" s="466"/>
      <c r="P43" s="466"/>
      <c r="Q43" s="466"/>
      <c r="R43" s="466"/>
      <c r="S43" s="466"/>
      <c r="T43" s="466"/>
      <c r="U43" s="466"/>
      <c r="V43" s="466"/>
    </row>
    <row r="44" spans="1:22" s="547" customFormat="1" x14ac:dyDescent="0.25">
      <c r="A44" s="485"/>
      <c r="B44" s="375"/>
      <c r="C44" s="466"/>
      <c r="D44" s="466"/>
      <c r="E44" s="609" t="s">
        <v>368</v>
      </c>
      <c r="F44" s="464" t="s">
        <v>367</v>
      </c>
      <c r="G44" s="372" t="s">
        <v>79</v>
      </c>
      <c r="H44" s="609" t="s">
        <v>368</v>
      </c>
      <c r="I44" s="464" t="s">
        <v>367</v>
      </c>
      <c r="J44" s="372" t="s">
        <v>79</v>
      </c>
      <c r="K44" s="609" t="s">
        <v>368</v>
      </c>
      <c r="L44" s="464" t="s">
        <v>367</v>
      </c>
      <c r="M44" s="372" t="s">
        <v>79</v>
      </c>
      <c r="N44" s="609" t="s">
        <v>368</v>
      </c>
      <c r="O44" s="464" t="s">
        <v>367</v>
      </c>
      <c r="P44" s="372" t="s">
        <v>79</v>
      </c>
      <c r="Q44" s="466"/>
      <c r="R44" s="466"/>
      <c r="S44" s="466"/>
      <c r="T44" s="466"/>
      <c r="U44" s="466"/>
      <c r="V44" s="466"/>
    </row>
    <row r="45" spans="1:22" s="547" customFormat="1" x14ac:dyDescent="0.25">
      <c r="A45" s="485"/>
      <c r="B45" s="466">
        <v>1</v>
      </c>
      <c r="C45" s="466" t="s">
        <v>388</v>
      </c>
      <c r="D45" s="466"/>
      <c r="E45" s="384">
        <v>45.83</v>
      </c>
      <c r="F45" s="457">
        <f>G45/E45</f>
        <v>58754.265764782896</v>
      </c>
      <c r="G45" s="605">
        <v>2692708</v>
      </c>
      <c r="H45" s="384">
        <v>45.83</v>
      </c>
      <c r="I45" s="457">
        <f>J45/H45</f>
        <v>58754.265764782896</v>
      </c>
      <c r="J45" s="605">
        <v>2692708</v>
      </c>
      <c r="K45" s="384">
        <v>45.83</v>
      </c>
      <c r="L45" s="457">
        <f>M45/K45</f>
        <v>58754.265764782896</v>
      </c>
      <c r="M45" s="605">
        <v>2692708</v>
      </c>
      <c r="N45" s="384">
        <v>45.83</v>
      </c>
      <c r="O45" s="457">
        <f>P45/N45</f>
        <v>58754.265764782896</v>
      </c>
      <c r="P45" s="605">
        <v>2692708</v>
      </c>
      <c r="Q45" s="466"/>
      <c r="R45" s="466"/>
      <c r="S45" s="466"/>
      <c r="T45" s="466"/>
      <c r="U45" s="466"/>
      <c r="V45" s="466"/>
    </row>
    <row r="46" spans="1:22" s="547" customFormat="1" x14ac:dyDescent="0.25">
      <c r="A46" s="485"/>
      <c r="B46" s="466">
        <v>2</v>
      </c>
      <c r="C46" s="466" t="s">
        <v>362</v>
      </c>
      <c r="D46" s="466"/>
      <c r="E46" s="384">
        <v>4</v>
      </c>
      <c r="G46" s="605">
        <v>422000</v>
      </c>
      <c r="H46" s="384">
        <v>4</v>
      </c>
      <c r="J46" s="605">
        <v>422000</v>
      </c>
      <c r="K46" s="384">
        <v>4</v>
      </c>
      <c r="M46" s="605">
        <v>422000</v>
      </c>
      <c r="N46" s="384">
        <v>4</v>
      </c>
      <c r="P46" s="605">
        <v>422000</v>
      </c>
      <c r="Q46" s="466"/>
      <c r="R46" s="466"/>
      <c r="S46" s="466"/>
      <c r="T46" s="466"/>
      <c r="U46" s="466"/>
      <c r="V46" s="466"/>
    </row>
    <row r="47" spans="1:22" s="547" customFormat="1" x14ac:dyDescent="0.25">
      <c r="A47" s="485"/>
      <c r="B47" s="466">
        <v>3</v>
      </c>
      <c r="C47" s="466" t="s">
        <v>363</v>
      </c>
      <c r="D47" s="466"/>
      <c r="E47" s="384"/>
      <c r="G47" s="605">
        <v>7350</v>
      </c>
      <c r="H47" s="385"/>
      <c r="I47" s="385"/>
      <c r="J47" s="457">
        <v>73500</v>
      </c>
      <c r="K47" s="384"/>
      <c r="M47" s="605">
        <f>J47*5</f>
        <v>367500</v>
      </c>
      <c r="N47" s="384"/>
      <c r="P47" s="605">
        <f>M47*2</f>
        <v>735000</v>
      </c>
      <c r="Q47" s="466"/>
      <c r="R47" s="466"/>
      <c r="S47" s="466"/>
      <c r="T47" s="466"/>
      <c r="U47" s="466"/>
      <c r="V47" s="466"/>
    </row>
    <row r="48" spans="1:22" s="547" customFormat="1" x14ac:dyDescent="0.25">
      <c r="A48" s="485"/>
      <c r="B48" s="466">
        <v>4</v>
      </c>
      <c r="C48" s="466" t="s">
        <v>364</v>
      </c>
      <c r="D48" s="466"/>
      <c r="E48" s="384">
        <v>0.37</v>
      </c>
      <c r="F48" s="457">
        <v>70485</v>
      </c>
      <c r="G48" s="605">
        <f>E48*F48</f>
        <v>26079.45</v>
      </c>
      <c r="H48" s="613">
        <v>3.666666666666667</v>
      </c>
      <c r="I48" s="457">
        <v>70485</v>
      </c>
      <c r="J48" s="457">
        <f>H48*I48</f>
        <v>258445.00000000003</v>
      </c>
      <c r="K48" s="615">
        <f>H48*5</f>
        <v>18.333333333333336</v>
      </c>
      <c r="L48" s="457">
        <v>70485</v>
      </c>
      <c r="M48" s="614">
        <f>K48*L48</f>
        <v>1292225.0000000002</v>
      </c>
      <c r="N48" s="616">
        <f>K48*2</f>
        <v>36.666666666666671</v>
      </c>
      <c r="O48" s="614">
        <v>70485</v>
      </c>
      <c r="P48" s="614">
        <f>N48*O48</f>
        <v>2584450.0000000005</v>
      </c>
      <c r="Q48" s="466"/>
      <c r="R48" s="466"/>
      <c r="S48" s="466"/>
      <c r="T48" s="466"/>
      <c r="U48" s="466"/>
      <c r="V48" s="466"/>
    </row>
    <row r="49" spans="1:22" s="547" customFormat="1" x14ac:dyDescent="0.25">
      <c r="A49" s="485"/>
      <c r="B49" s="466">
        <v>5</v>
      </c>
      <c r="C49" s="466" t="s">
        <v>365</v>
      </c>
      <c r="D49" s="466"/>
      <c r="E49" s="384">
        <v>0.24</v>
      </c>
      <c r="F49" s="457">
        <v>76610</v>
      </c>
      <c r="G49" s="605">
        <f t="shared" ref="G49:G50" si="3">E49*F49</f>
        <v>18386.399999999998</v>
      </c>
      <c r="H49" s="613">
        <v>2.4444444444444446</v>
      </c>
      <c r="I49" s="457">
        <v>76610</v>
      </c>
      <c r="J49" s="457">
        <f t="shared" ref="J49:J50" si="4">H49*I49</f>
        <v>187268.88888888891</v>
      </c>
      <c r="K49" s="615">
        <f t="shared" ref="K49:K50" si="5">H49*5</f>
        <v>12.222222222222223</v>
      </c>
      <c r="L49" s="457">
        <v>76610</v>
      </c>
      <c r="M49" s="614">
        <f t="shared" ref="M49:M50" si="6">K49*L49</f>
        <v>936344.4444444445</v>
      </c>
      <c r="N49" s="616">
        <f t="shared" ref="N49:N50" si="7">K49*2</f>
        <v>24.444444444444446</v>
      </c>
      <c r="O49" s="614">
        <v>76610</v>
      </c>
      <c r="P49" s="614">
        <f t="shared" ref="P49:P50" si="8">N49*O49</f>
        <v>1872688.888888889</v>
      </c>
      <c r="Q49" s="466"/>
      <c r="R49" s="466"/>
      <c r="S49" s="466"/>
      <c r="T49" s="466"/>
      <c r="U49" s="466"/>
      <c r="V49" s="466"/>
    </row>
    <row r="50" spans="1:22" s="547" customFormat="1" x14ac:dyDescent="0.25">
      <c r="A50" s="485"/>
      <c r="B50" s="466">
        <v>6</v>
      </c>
      <c r="C50" s="466" t="s">
        <v>366</v>
      </c>
      <c r="D50" s="466"/>
      <c r="E50" s="384">
        <v>0.37</v>
      </c>
      <c r="F50" s="457">
        <v>73810</v>
      </c>
      <c r="G50" s="605">
        <f t="shared" si="3"/>
        <v>27309.7</v>
      </c>
      <c r="H50" s="613">
        <v>3.666666666666667</v>
      </c>
      <c r="I50" s="457">
        <v>73810</v>
      </c>
      <c r="J50" s="457">
        <f t="shared" si="4"/>
        <v>270636.66666666669</v>
      </c>
      <c r="K50" s="615">
        <f t="shared" si="5"/>
        <v>18.333333333333336</v>
      </c>
      <c r="L50" s="457">
        <v>73810</v>
      </c>
      <c r="M50" s="614">
        <f t="shared" si="6"/>
        <v>1353183.3333333335</v>
      </c>
      <c r="N50" s="616">
        <f t="shared" si="7"/>
        <v>36.666666666666671</v>
      </c>
      <c r="O50" s="614">
        <v>73810</v>
      </c>
      <c r="P50" s="614">
        <f t="shared" si="8"/>
        <v>2706366.666666667</v>
      </c>
      <c r="Q50" s="466"/>
      <c r="R50" s="466"/>
      <c r="S50" s="466"/>
      <c r="T50" s="466"/>
      <c r="U50" s="466"/>
      <c r="V50" s="466"/>
    </row>
    <row r="51" spans="1:22" s="547" customFormat="1" x14ac:dyDescent="0.25">
      <c r="A51" s="485"/>
      <c r="B51" s="375"/>
      <c r="C51" s="466"/>
      <c r="D51" s="466"/>
      <c r="E51" s="384"/>
      <c r="F51" s="372"/>
      <c r="G51" s="385"/>
      <c r="H51" s="385"/>
      <c r="I51" s="385"/>
      <c r="K51" s="481"/>
      <c r="L51" s="384"/>
      <c r="M51" s="466"/>
      <c r="N51" s="466"/>
      <c r="O51" s="466"/>
      <c r="P51" s="466"/>
      <c r="Q51" s="466"/>
      <c r="R51" s="466"/>
      <c r="S51" s="466"/>
      <c r="T51" s="466"/>
      <c r="U51" s="466"/>
      <c r="V51" s="466"/>
    </row>
    <row r="52" spans="1:22" s="547" customFormat="1" x14ac:dyDescent="0.25">
      <c r="A52" s="485"/>
      <c r="B52" s="364" t="s">
        <v>81</v>
      </c>
      <c r="C52" s="364"/>
      <c r="D52" s="364"/>
      <c r="E52" s="617">
        <f>SUM(E45:E50)</f>
        <v>50.809999999999995</v>
      </c>
      <c r="F52" s="617"/>
      <c r="G52" s="618">
        <f t="shared" ref="G52:P52" si="9">SUM(G45:G50)</f>
        <v>3193833.5500000003</v>
      </c>
      <c r="H52" s="618">
        <f t="shared" si="9"/>
        <v>59.60777777777777</v>
      </c>
      <c r="I52" s="618"/>
      <c r="J52" s="618">
        <f t="shared" si="9"/>
        <v>3904558.5555555555</v>
      </c>
      <c r="K52" s="619">
        <f t="shared" si="9"/>
        <v>98.718888888888898</v>
      </c>
      <c r="L52" s="618"/>
      <c r="M52" s="618">
        <f t="shared" si="9"/>
        <v>7063960.777777778</v>
      </c>
      <c r="N52" s="619">
        <f t="shared" si="9"/>
        <v>147.60777777777778</v>
      </c>
      <c r="O52" s="618"/>
      <c r="P52" s="618">
        <f t="shared" si="9"/>
        <v>11013213.555555556</v>
      </c>
      <c r="Q52" s="466"/>
      <c r="R52" s="466"/>
      <c r="S52" s="466"/>
      <c r="T52" s="466"/>
      <c r="U52" s="466"/>
      <c r="V52" s="466"/>
    </row>
    <row r="53" spans="1:22" s="547" customFormat="1" x14ac:dyDescent="0.25">
      <c r="A53" s="485"/>
      <c r="B53" s="375"/>
      <c r="C53" s="466"/>
      <c r="D53" s="466"/>
      <c r="E53" s="384"/>
      <c r="F53" s="372"/>
      <c r="G53" s="385"/>
      <c r="H53" s="385"/>
      <c r="I53" s="385"/>
      <c r="K53" s="481"/>
      <c r="L53" s="384"/>
      <c r="M53" s="466"/>
      <c r="N53" s="466"/>
      <c r="O53" s="466"/>
      <c r="P53" s="466"/>
      <c r="Q53" s="466"/>
      <c r="R53" s="466"/>
      <c r="S53" s="466"/>
      <c r="T53" s="466"/>
      <c r="U53" s="466"/>
      <c r="V53" s="466"/>
    </row>
    <row r="54" spans="1:22" x14ac:dyDescent="0.25">
      <c r="A54" s="414"/>
      <c r="B54" s="414"/>
      <c r="C54" s="383"/>
      <c r="D54" s="383"/>
      <c r="E54" s="482"/>
      <c r="F54" s="482"/>
      <c r="G54" s="482"/>
      <c r="H54" s="482"/>
      <c r="I54" s="482"/>
      <c r="J54" s="482"/>
      <c r="K54" s="482"/>
      <c r="L54" s="468"/>
      <c r="M54" s="381"/>
      <c r="N54" s="381"/>
      <c r="O54" s="381"/>
      <c r="P54" s="381"/>
      <c r="Q54" s="381"/>
      <c r="R54" s="381"/>
      <c r="S54" s="381"/>
      <c r="T54" s="381"/>
      <c r="U54" s="381"/>
      <c r="V54" s="414"/>
    </row>
    <row r="55" spans="1:22" s="12" customFormat="1" x14ac:dyDescent="0.25">
      <c r="A55" s="414"/>
      <c r="B55" s="414"/>
      <c r="C55" s="414"/>
      <c r="D55" s="414"/>
      <c r="E55" s="384"/>
      <c r="J55" s="384"/>
      <c r="K55" s="384"/>
      <c r="L55" s="363"/>
      <c r="M55" s="414"/>
      <c r="N55" s="414"/>
      <c r="O55" s="414"/>
      <c r="P55" s="414"/>
      <c r="Q55" s="414"/>
      <c r="R55" s="414"/>
      <c r="S55" s="414"/>
      <c r="T55" s="414"/>
      <c r="U55" s="414"/>
      <c r="V55" s="414"/>
    </row>
    <row r="56" spans="1:22" x14ac:dyDescent="0.25">
      <c r="A56" s="485" t="s">
        <v>76</v>
      </c>
      <c r="B56" s="375" t="s">
        <v>256</v>
      </c>
      <c r="C56" s="414"/>
      <c r="D56" s="414"/>
      <c r="E56" s="384"/>
      <c r="K56" s="384"/>
      <c r="L56" s="384"/>
      <c r="M56" s="414"/>
      <c r="N56" s="414"/>
      <c r="O56" s="414"/>
      <c r="P56" s="414"/>
      <c r="Q56" s="414"/>
      <c r="R56" s="414"/>
      <c r="S56" s="414"/>
      <c r="T56" s="414"/>
      <c r="U56" s="365"/>
      <c r="V56" s="414"/>
    </row>
    <row r="57" spans="1:22" s="547" customFormat="1" x14ac:dyDescent="0.25">
      <c r="A57" s="485"/>
      <c r="B57" s="375"/>
      <c r="C57" s="466"/>
      <c r="D57" s="466"/>
      <c r="E57" s="384"/>
      <c r="F57" s="372"/>
      <c r="G57" s="385"/>
      <c r="H57" s="385"/>
      <c r="I57" s="385"/>
      <c r="K57" s="384"/>
      <c r="L57" s="384"/>
      <c r="M57" s="466"/>
      <c r="N57" s="466"/>
      <c r="O57" s="466"/>
      <c r="P57" s="466"/>
      <c r="Q57" s="466"/>
      <c r="R57" s="466"/>
      <c r="S57" s="466"/>
      <c r="T57" s="466"/>
      <c r="U57" s="365"/>
      <c r="V57" s="466"/>
    </row>
    <row r="58" spans="1:22" s="547" customFormat="1" x14ac:dyDescent="0.25">
      <c r="A58" s="485"/>
      <c r="B58" s="466" t="s">
        <v>350</v>
      </c>
      <c r="C58" s="466"/>
      <c r="D58" s="466"/>
      <c r="E58" s="384"/>
      <c r="F58" s="372"/>
      <c r="G58" s="385"/>
      <c r="H58" s="385"/>
      <c r="I58" s="385"/>
      <c r="K58" s="384"/>
      <c r="L58" s="384"/>
      <c r="M58" s="466"/>
      <c r="N58" s="466"/>
      <c r="O58" s="466"/>
      <c r="P58" s="466"/>
      <c r="Q58" s="466"/>
      <c r="R58" s="466"/>
      <c r="S58" s="466"/>
      <c r="T58" s="466"/>
      <c r="U58" s="365"/>
      <c r="V58" s="466"/>
    </row>
    <row r="59" spans="1:22" s="547" customFormat="1" x14ac:dyDescent="0.25">
      <c r="A59" s="485"/>
      <c r="B59" s="466" t="s">
        <v>369</v>
      </c>
      <c r="C59" s="466"/>
      <c r="D59" s="466"/>
      <c r="E59" s="384"/>
      <c r="F59" s="372"/>
      <c r="G59" s="385"/>
      <c r="H59" s="385"/>
      <c r="I59" s="385"/>
      <c r="K59" s="384"/>
      <c r="L59" s="384"/>
      <c r="M59" s="466"/>
      <c r="N59" s="466"/>
      <c r="O59" s="466"/>
      <c r="P59" s="466"/>
      <c r="Q59" s="466"/>
      <c r="R59" s="466"/>
      <c r="S59" s="466"/>
      <c r="T59" s="466"/>
      <c r="U59" s="365"/>
      <c r="V59" s="466"/>
    </row>
    <row r="60" spans="1:22" s="547" customFormat="1" x14ac:dyDescent="0.25">
      <c r="A60" s="485"/>
      <c r="B60" s="466" t="s">
        <v>370</v>
      </c>
      <c r="C60" s="466"/>
      <c r="D60" s="466"/>
      <c r="E60" s="384"/>
      <c r="F60" s="372"/>
      <c r="G60" s="385"/>
      <c r="H60" s="385"/>
      <c r="I60" s="385"/>
      <c r="K60" s="384"/>
      <c r="L60" s="384"/>
      <c r="M60" s="466"/>
      <c r="N60" s="466"/>
      <c r="O60" s="466"/>
      <c r="P60" s="466"/>
      <c r="Q60" s="466"/>
      <c r="R60" s="466"/>
      <c r="S60" s="466"/>
      <c r="T60" s="466"/>
      <c r="U60" s="365"/>
      <c r="V60" s="466"/>
    </row>
    <row r="61" spans="1:22" s="547" customFormat="1" x14ac:dyDescent="0.25">
      <c r="A61" s="485"/>
      <c r="B61" s="466" t="s">
        <v>371</v>
      </c>
      <c r="C61" s="466"/>
      <c r="D61" s="466"/>
      <c r="E61" s="384"/>
      <c r="F61" s="372"/>
      <c r="G61" s="385"/>
      <c r="H61" s="385"/>
      <c r="I61" s="385"/>
      <c r="K61" s="384"/>
      <c r="L61" s="384"/>
      <c r="M61" s="466"/>
      <c r="N61" s="466"/>
      <c r="O61" s="466"/>
      <c r="P61" s="466"/>
      <c r="Q61" s="466"/>
      <c r="R61" s="466"/>
      <c r="S61" s="466"/>
      <c r="T61" s="466"/>
      <c r="U61" s="365"/>
      <c r="V61" s="466"/>
    </row>
    <row r="62" spans="1:22" s="547" customFormat="1" x14ac:dyDescent="0.25">
      <c r="A62" s="485"/>
      <c r="B62" s="466"/>
      <c r="C62" s="466"/>
      <c r="D62" s="466"/>
      <c r="E62" s="384"/>
      <c r="F62" s="372"/>
      <c r="G62" s="385"/>
      <c r="H62" s="385"/>
      <c r="I62" s="385"/>
      <c r="K62" s="384"/>
      <c r="L62" s="384"/>
      <c r="M62" s="466"/>
      <c r="N62" s="466"/>
      <c r="O62" s="466"/>
      <c r="P62" s="466"/>
      <c r="Q62" s="466"/>
      <c r="R62" s="466"/>
      <c r="S62" s="466"/>
      <c r="T62" s="466"/>
      <c r="U62" s="365"/>
      <c r="V62" s="466"/>
    </row>
    <row r="63" spans="1:22" s="547" customFormat="1" x14ac:dyDescent="0.25">
      <c r="A63" s="485"/>
      <c r="B63" s="466" t="s">
        <v>372</v>
      </c>
      <c r="C63" s="466"/>
      <c r="D63" s="466"/>
      <c r="E63" s="384"/>
      <c r="F63" s="372"/>
      <c r="G63" s="385"/>
      <c r="H63" s="385"/>
      <c r="I63" s="385"/>
      <c r="K63" s="384"/>
      <c r="L63" s="384"/>
      <c r="M63" s="466"/>
      <c r="N63" s="466"/>
      <c r="O63" s="466"/>
      <c r="P63" s="466"/>
      <c r="Q63" s="466"/>
      <c r="R63" s="466"/>
      <c r="S63" s="466"/>
      <c r="T63" s="466"/>
      <c r="U63" s="365"/>
      <c r="V63" s="466"/>
    </row>
    <row r="64" spans="1:22" s="547" customFormat="1" x14ac:dyDescent="0.25">
      <c r="A64" s="485"/>
      <c r="B64" s="466"/>
      <c r="C64" s="466" t="s">
        <v>373</v>
      </c>
      <c r="D64" s="614">
        <v>66350</v>
      </c>
      <c r="E64" s="384"/>
      <c r="F64" s="372"/>
      <c r="G64" s="385"/>
      <c r="H64" s="385"/>
      <c r="I64" s="385"/>
      <c r="K64" s="384"/>
      <c r="L64" s="384"/>
      <c r="M64" s="466"/>
      <c r="N64" s="466"/>
      <c r="O64" s="466"/>
      <c r="P64" s="466"/>
      <c r="Q64" s="466"/>
      <c r="R64" s="466"/>
      <c r="S64" s="466"/>
      <c r="T64" s="466"/>
      <c r="U64" s="365"/>
      <c r="V64" s="466"/>
    </row>
    <row r="65" spans="1:22" s="547" customFormat="1" x14ac:dyDescent="0.25">
      <c r="A65" s="485"/>
      <c r="B65" s="466"/>
      <c r="C65" s="466" t="s">
        <v>374</v>
      </c>
      <c r="D65" s="614">
        <v>75625</v>
      </c>
      <c r="E65" s="384"/>
      <c r="F65" s="372"/>
      <c r="G65" s="385"/>
      <c r="H65" s="385"/>
      <c r="I65" s="385"/>
      <c r="K65" s="384"/>
      <c r="L65" s="384"/>
      <c r="M65" s="466"/>
      <c r="N65" s="466"/>
      <c r="O65" s="466"/>
      <c r="P65" s="466"/>
      <c r="Q65" s="466"/>
      <c r="R65" s="466"/>
      <c r="S65" s="466"/>
      <c r="T65" s="466"/>
      <c r="U65" s="365"/>
      <c r="V65" s="466"/>
    </row>
    <row r="66" spans="1:22" s="547" customFormat="1" x14ac:dyDescent="0.25">
      <c r="A66" s="485"/>
      <c r="B66" s="466"/>
      <c r="C66" s="466" t="s">
        <v>375</v>
      </c>
      <c r="D66" s="614">
        <v>101275</v>
      </c>
      <c r="E66" s="384"/>
      <c r="F66" s="372"/>
      <c r="G66" s="385"/>
      <c r="H66" s="385"/>
      <c r="I66" s="385"/>
      <c r="K66" s="384"/>
      <c r="L66" s="384"/>
      <c r="M66" s="466"/>
      <c r="N66" s="466"/>
      <c r="O66" s="466"/>
      <c r="P66" s="466"/>
      <c r="Q66" s="466"/>
      <c r="R66" s="466"/>
      <c r="S66" s="466"/>
      <c r="T66" s="466"/>
      <c r="U66" s="365"/>
      <c r="V66" s="466"/>
    </row>
    <row r="67" spans="1:22" s="547" customFormat="1" x14ac:dyDescent="0.25">
      <c r="A67" s="485"/>
      <c r="B67" s="466"/>
      <c r="C67" s="466" t="s">
        <v>377</v>
      </c>
      <c r="D67" s="614">
        <v>101075</v>
      </c>
      <c r="E67" s="384"/>
      <c r="F67" s="372"/>
      <c r="G67" s="385"/>
      <c r="H67" s="385"/>
      <c r="I67" s="385"/>
      <c r="K67" s="384"/>
      <c r="L67" s="384"/>
      <c r="M67" s="466"/>
      <c r="N67" s="466"/>
      <c r="O67" s="466"/>
      <c r="P67" s="466"/>
      <c r="Q67" s="466"/>
      <c r="R67" s="466"/>
      <c r="S67" s="466"/>
      <c r="T67" s="466"/>
      <c r="U67" s="365"/>
      <c r="V67" s="466"/>
    </row>
    <row r="68" spans="1:22" s="547" customFormat="1" x14ac:dyDescent="0.25">
      <c r="A68" s="485"/>
      <c r="B68" s="466"/>
      <c r="C68" s="466" t="s">
        <v>376</v>
      </c>
      <c r="D68" s="614">
        <v>87855</v>
      </c>
      <c r="E68" s="384"/>
      <c r="F68" s="610" t="s">
        <v>99</v>
      </c>
      <c r="G68" s="611"/>
      <c r="H68" s="384"/>
      <c r="I68" s="610" t="s">
        <v>385</v>
      </c>
      <c r="J68" s="611"/>
      <c r="K68" s="384"/>
      <c r="L68" s="610" t="s">
        <v>386</v>
      </c>
      <c r="M68" s="611"/>
      <c r="N68" s="384"/>
      <c r="O68" s="610" t="s">
        <v>387</v>
      </c>
      <c r="P68" s="611"/>
      <c r="Q68" s="466"/>
      <c r="R68" s="466"/>
      <c r="S68" s="466"/>
      <c r="T68" s="466"/>
      <c r="U68" s="365"/>
      <c r="V68" s="466"/>
    </row>
    <row r="69" spans="1:22" s="547" customFormat="1" x14ac:dyDescent="0.25">
      <c r="A69" s="485"/>
      <c r="B69" s="466"/>
      <c r="C69" s="466"/>
      <c r="D69" s="466"/>
      <c r="E69" s="609" t="s">
        <v>368</v>
      </c>
      <c r="F69" s="464" t="s">
        <v>367</v>
      </c>
      <c r="G69" s="372" t="s">
        <v>79</v>
      </c>
      <c r="H69" s="609" t="s">
        <v>368</v>
      </c>
      <c r="I69" s="464" t="s">
        <v>367</v>
      </c>
      <c r="J69" s="372" t="s">
        <v>79</v>
      </c>
      <c r="K69" s="609" t="s">
        <v>368</v>
      </c>
      <c r="L69" s="464" t="s">
        <v>367</v>
      </c>
      <c r="M69" s="372" t="s">
        <v>79</v>
      </c>
      <c r="N69" s="609" t="s">
        <v>368</v>
      </c>
      <c r="O69" s="464" t="s">
        <v>367</v>
      </c>
      <c r="P69" s="372" t="s">
        <v>79</v>
      </c>
      <c r="Q69" s="466"/>
      <c r="R69" s="466"/>
      <c r="S69" s="466"/>
      <c r="T69" s="466"/>
      <c r="U69" s="365"/>
      <c r="V69" s="466"/>
    </row>
    <row r="70" spans="1:22" s="547" customFormat="1" x14ac:dyDescent="0.25">
      <c r="A70" s="485"/>
      <c r="B70" s="466" t="s">
        <v>378</v>
      </c>
      <c r="C70" s="466"/>
      <c r="D70" s="466"/>
      <c r="E70" s="604"/>
      <c r="F70" s="604"/>
      <c r="G70" s="604"/>
      <c r="H70" s="604"/>
      <c r="I70" s="385"/>
      <c r="K70" s="384"/>
      <c r="L70" s="384"/>
      <c r="M70" s="466"/>
      <c r="N70" s="466"/>
      <c r="O70" s="466"/>
      <c r="P70" s="466"/>
      <c r="Q70" s="466"/>
      <c r="R70" s="466"/>
      <c r="S70" s="466"/>
      <c r="T70" s="466"/>
      <c r="U70" s="365"/>
      <c r="V70" s="466"/>
    </row>
    <row r="71" spans="1:22" s="547" customFormat="1" x14ac:dyDescent="0.25">
      <c r="A71" s="485"/>
      <c r="B71" s="466"/>
      <c r="C71" s="466" t="s">
        <v>379</v>
      </c>
      <c r="D71" s="466"/>
      <c r="E71" s="384">
        <v>11</v>
      </c>
      <c r="F71" s="605">
        <v>66350</v>
      </c>
      <c r="G71" s="605">
        <f>E71*F71</f>
        <v>729850</v>
      </c>
      <c r="H71" s="384">
        <v>11</v>
      </c>
      <c r="I71" s="605">
        <f>D64</f>
        <v>66350</v>
      </c>
      <c r="J71" s="605">
        <f>H71*I71</f>
        <v>729850</v>
      </c>
      <c r="K71" s="384">
        <v>11</v>
      </c>
      <c r="L71" s="605">
        <v>66350</v>
      </c>
      <c r="M71" s="605">
        <f>K71*L71</f>
        <v>729850</v>
      </c>
      <c r="N71" s="384">
        <v>11</v>
      </c>
      <c r="O71" s="605">
        <v>66350</v>
      </c>
      <c r="P71" s="605">
        <f>N71*O71</f>
        <v>729850</v>
      </c>
      <c r="Q71" s="466"/>
      <c r="R71" s="466"/>
      <c r="S71" s="466"/>
      <c r="T71" s="466"/>
      <c r="U71" s="365"/>
      <c r="V71" s="466"/>
    </row>
    <row r="72" spans="1:22" s="547" customFormat="1" x14ac:dyDescent="0.25">
      <c r="A72" s="485"/>
      <c r="B72" s="466"/>
      <c r="C72" s="466" t="s">
        <v>380</v>
      </c>
      <c r="D72" s="466"/>
      <c r="E72" s="384">
        <v>0.71</v>
      </c>
      <c r="F72" s="605">
        <v>75625</v>
      </c>
      <c r="G72" s="605">
        <f t="shared" ref="G72:G75" si="10">E72*F72</f>
        <v>53693.75</v>
      </c>
      <c r="H72" s="384">
        <v>3.4</v>
      </c>
      <c r="I72" s="605">
        <f>D65</f>
        <v>75625</v>
      </c>
      <c r="J72" s="605">
        <f t="shared" ref="J72:J77" si="11">H72*I72</f>
        <v>257125</v>
      </c>
      <c r="K72" s="384">
        <v>3.4</v>
      </c>
      <c r="L72" s="605">
        <v>75625</v>
      </c>
      <c r="M72" s="605">
        <f t="shared" ref="M72:M75" si="12">K72*L72</f>
        <v>257125</v>
      </c>
      <c r="N72" s="384">
        <v>3.4</v>
      </c>
      <c r="O72" s="605">
        <v>75625</v>
      </c>
      <c r="P72" s="605">
        <f t="shared" ref="P72:P75" si="13">N72*O72</f>
        <v>257125</v>
      </c>
      <c r="Q72" s="466"/>
      <c r="R72" s="466"/>
      <c r="S72" s="466"/>
      <c r="T72" s="466"/>
      <c r="U72" s="365"/>
      <c r="V72" s="466"/>
    </row>
    <row r="73" spans="1:22" s="547" customFormat="1" x14ac:dyDescent="0.25">
      <c r="A73" s="485"/>
      <c r="B73" s="466"/>
      <c r="C73" s="466" t="s">
        <v>381</v>
      </c>
      <c r="D73" s="466"/>
      <c r="E73" s="384">
        <v>2</v>
      </c>
      <c r="F73" s="605">
        <v>101275</v>
      </c>
      <c r="G73" s="605">
        <f t="shared" si="10"/>
        <v>202550</v>
      </c>
      <c r="H73" s="384">
        <v>2</v>
      </c>
      <c r="I73" s="605">
        <f>D66</f>
        <v>101275</v>
      </c>
      <c r="J73" s="605">
        <f t="shared" si="11"/>
        <v>202550</v>
      </c>
      <c r="K73" s="384">
        <v>2</v>
      </c>
      <c r="L73" s="605">
        <v>101275</v>
      </c>
      <c r="M73" s="605">
        <f t="shared" si="12"/>
        <v>202550</v>
      </c>
      <c r="N73" s="384">
        <v>2</v>
      </c>
      <c r="O73" s="605">
        <v>101275</v>
      </c>
      <c r="P73" s="605">
        <f t="shared" si="13"/>
        <v>202550</v>
      </c>
      <c r="Q73" s="466"/>
      <c r="R73" s="466"/>
      <c r="S73" s="466"/>
      <c r="T73" s="466"/>
      <c r="U73" s="365"/>
      <c r="V73" s="466"/>
    </row>
    <row r="74" spans="1:22" s="547" customFormat="1" x14ac:dyDescent="0.25">
      <c r="A74" s="485"/>
      <c r="B74" s="466"/>
      <c r="C74" s="466" t="s">
        <v>382</v>
      </c>
      <c r="D74" s="466"/>
      <c r="E74" s="384">
        <v>0.55000000000000004</v>
      </c>
      <c r="F74" s="605">
        <v>101075</v>
      </c>
      <c r="G74" s="605">
        <f t="shared" si="10"/>
        <v>55591.250000000007</v>
      </c>
      <c r="H74" s="384">
        <v>5.5</v>
      </c>
      <c r="I74" s="605">
        <f>D67</f>
        <v>101075</v>
      </c>
      <c r="J74" s="605">
        <f t="shared" si="11"/>
        <v>555912.5</v>
      </c>
      <c r="K74" s="384">
        <f>H74*5</f>
        <v>27.5</v>
      </c>
      <c r="L74" s="605">
        <v>101075</v>
      </c>
      <c r="M74" s="605">
        <f t="shared" si="12"/>
        <v>2779562.5</v>
      </c>
      <c r="N74" s="384">
        <f>K74*2</f>
        <v>55</v>
      </c>
      <c r="O74" s="605">
        <v>101075</v>
      </c>
      <c r="P74" s="605">
        <f t="shared" si="13"/>
        <v>5559125</v>
      </c>
      <c r="Q74" s="466"/>
      <c r="R74" s="466"/>
      <c r="S74" s="466"/>
      <c r="T74" s="466"/>
      <c r="U74" s="365"/>
      <c r="V74" s="466"/>
    </row>
    <row r="75" spans="1:22" s="547" customFormat="1" x14ac:dyDescent="0.25">
      <c r="A75" s="485"/>
      <c r="B75" s="466"/>
      <c r="C75" s="466" t="s">
        <v>383</v>
      </c>
      <c r="D75" s="466"/>
      <c r="E75" s="384">
        <v>3.1</v>
      </c>
      <c r="F75" s="605">
        <v>101075</v>
      </c>
      <c r="G75" s="605">
        <f t="shared" si="10"/>
        <v>313332.5</v>
      </c>
      <c r="H75" s="384">
        <v>3.1</v>
      </c>
      <c r="I75" s="605">
        <f>D67</f>
        <v>101075</v>
      </c>
      <c r="J75" s="605">
        <f t="shared" si="11"/>
        <v>313332.5</v>
      </c>
      <c r="K75" s="384">
        <v>3.1</v>
      </c>
      <c r="L75" s="605">
        <v>101075</v>
      </c>
      <c r="M75" s="605">
        <f t="shared" si="12"/>
        <v>313332.5</v>
      </c>
      <c r="N75" s="384">
        <f>K75</f>
        <v>3.1</v>
      </c>
      <c r="O75" s="605">
        <v>101075</v>
      </c>
      <c r="P75" s="605">
        <f t="shared" si="13"/>
        <v>313332.5</v>
      </c>
      <c r="Q75" s="466"/>
      <c r="R75" s="466"/>
      <c r="S75" s="466"/>
      <c r="T75" s="466"/>
      <c r="U75" s="365"/>
      <c r="V75" s="466"/>
    </row>
    <row r="76" spans="1:22" s="547" customFormat="1" x14ac:dyDescent="0.25">
      <c r="A76" s="485"/>
      <c r="B76" s="466"/>
      <c r="C76" s="466" t="s">
        <v>384</v>
      </c>
      <c r="D76" s="466"/>
      <c r="E76" s="384"/>
      <c r="F76" s="605"/>
      <c r="G76" s="605"/>
      <c r="H76" s="384"/>
      <c r="I76" s="605"/>
      <c r="J76" s="605"/>
      <c r="K76" s="384"/>
      <c r="L76" s="605"/>
      <c r="M76" s="605"/>
      <c r="N76" s="384"/>
      <c r="O76" s="605"/>
      <c r="P76" s="605"/>
      <c r="Q76" s="466"/>
      <c r="R76" s="466"/>
      <c r="S76" s="466"/>
      <c r="T76" s="466"/>
      <c r="U76" s="365"/>
      <c r="V76" s="466"/>
    </row>
    <row r="77" spans="1:22" s="547" customFormat="1" x14ac:dyDescent="0.25">
      <c r="A77" s="485"/>
      <c r="B77" s="466"/>
      <c r="C77" s="466" t="s">
        <v>144</v>
      </c>
      <c r="D77" s="362">
        <v>0.1</v>
      </c>
      <c r="E77" s="384">
        <f>SUM(E71:E76)*D77</f>
        <v>1.7360000000000004</v>
      </c>
      <c r="F77" s="605">
        <v>87855</v>
      </c>
      <c r="G77" s="605">
        <f t="shared" ref="G77" si="14">E77*F77</f>
        <v>152516.28000000003</v>
      </c>
      <c r="H77" s="384">
        <v>2.52</v>
      </c>
      <c r="I77" s="605">
        <f>D68</f>
        <v>87855</v>
      </c>
      <c r="J77" s="605">
        <f t="shared" si="11"/>
        <v>221394.6</v>
      </c>
      <c r="K77" s="384">
        <v>2.52</v>
      </c>
      <c r="L77" s="605">
        <v>87855</v>
      </c>
      <c r="M77" s="605">
        <f t="shared" ref="M77" si="15">K77*L77</f>
        <v>221394.6</v>
      </c>
      <c r="N77" s="384">
        <v>2.52</v>
      </c>
      <c r="O77" s="605">
        <v>87855</v>
      </c>
      <c r="P77" s="605">
        <f t="shared" ref="P77" si="16">N77*O77</f>
        <v>221394.6</v>
      </c>
      <c r="Q77" s="466"/>
      <c r="R77" s="466"/>
      <c r="S77" s="466"/>
      <c r="T77" s="466"/>
      <c r="U77" s="365"/>
      <c r="V77" s="466"/>
    </row>
    <row r="78" spans="1:22" s="547" customFormat="1" x14ac:dyDescent="0.25">
      <c r="A78" s="485"/>
      <c r="B78" s="466"/>
      <c r="C78" s="466"/>
      <c r="D78" s="466"/>
      <c r="E78" s="384"/>
      <c r="F78" s="372"/>
      <c r="G78" s="605"/>
      <c r="H78" s="384"/>
      <c r="I78" s="372"/>
      <c r="J78" s="605"/>
      <c r="K78" s="384"/>
      <c r="L78" s="372"/>
      <c r="M78" s="605"/>
      <c r="N78" s="466"/>
      <c r="O78" s="466"/>
      <c r="P78" s="466"/>
      <c r="Q78" s="466"/>
      <c r="R78" s="466"/>
      <c r="S78" s="466"/>
      <c r="T78" s="466"/>
      <c r="U78" s="365"/>
      <c r="V78" s="466"/>
    </row>
    <row r="79" spans="1:22" s="547" customFormat="1" x14ac:dyDescent="0.25">
      <c r="A79" s="485"/>
      <c r="B79" s="364" t="s">
        <v>81</v>
      </c>
      <c r="C79" s="364"/>
      <c r="D79" s="364"/>
      <c r="E79" s="620">
        <f>SUM(E71:E77)</f>
        <v>19.096000000000004</v>
      </c>
      <c r="F79" s="621"/>
      <c r="G79" s="622">
        <f>SUM(G71:G77)</f>
        <v>1507533.78</v>
      </c>
      <c r="H79" s="620">
        <f>SUM(H71:H77)</f>
        <v>27.52</v>
      </c>
      <c r="I79" s="621"/>
      <c r="J79" s="622">
        <f>SUM(J71:J77)</f>
        <v>2280164.6</v>
      </c>
      <c r="K79" s="620">
        <f>SUM(K71:K77)</f>
        <v>49.52</v>
      </c>
      <c r="L79" s="621"/>
      <c r="M79" s="622">
        <f>SUM(M71:M77)</f>
        <v>4503814.5999999996</v>
      </c>
      <c r="N79" s="623">
        <f t="shared" ref="N79:P79" si="17">SUM(N71:N77)</f>
        <v>77.02</v>
      </c>
      <c r="O79" s="622"/>
      <c r="P79" s="622">
        <f t="shared" si="17"/>
        <v>7283377.0999999996</v>
      </c>
      <c r="Q79" s="466"/>
      <c r="R79" s="466"/>
      <c r="S79" s="466"/>
      <c r="T79" s="466"/>
      <c r="U79" s="365"/>
      <c r="V79" s="466"/>
    </row>
    <row r="80" spans="1:22" s="547" customFormat="1" x14ac:dyDescent="0.25">
      <c r="A80" s="485"/>
      <c r="B80" s="466"/>
      <c r="C80" s="466"/>
      <c r="D80" s="466"/>
      <c r="E80" s="384"/>
      <c r="F80" s="372"/>
      <c r="G80" s="385"/>
      <c r="H80" s="385"/>
      <c r="I80" s="385"/>
      <c r="K80" s="384"/>
      <c r="L80" s="384"/>
      <c r="M80" s="466"/>
      <c r="N80" s="466"/>
      <c r="O80" s="466"/>
      <c r="P80" s="466"/>
      <c r="Q80" s="466"/>
      <c r="R80" s="466"/>
      <c r="S80" s="466"/>
      <c r="T80" s="466"/>
      <c r="U80" s="365"/>
      <c r="V80" s="466"/>
    </row>
    <row r="81" spans="1:22" x14ac:dyDescent="0.25">
      <c r="A81" s="414"/>
      <c r="B81" s="414"/>
      <c r="C81" s="414"/>
      <c r="D81" s="414"/>
      <c r="E81" s="414"/>
      <c r="F81" s="547"/>
      <c r="G81" s="106" t="s">
        <v>298</v>
      </c>
      <c r="H81" s="443" t="s">
        <v>66</v>
      </c>
      <c r="I81" s="443"/>
      <c r="K81" s="384"/>
      <c r="L81" s="414"/>
      <c r="M81" s="414"/>
      <c r="N81" s="414"/>
      <c r="O81" s="414"/>
      <c r="P81" s="414"/>
      <c r="Q81" s="414"/>
      <c r="R81" s="414"/>
      <c r="S81" s="414"/>
      <c r="T81" s="414"/>
      <c r="U81" s="414"/>
      <c r="V81" s="414"/>
    </row>
    <row r="82" spans="1:22" x14ac:dyDescent="0.25">
      <c r="A82" s="485" t="s">
        <v>77</v>
      </c>
      <c r="B82" s="375" t="s">
        <v>50</v>
      </c>
      <c r="C82" s="414"/>
      <c r="D82" s="414"/>
      <c r="E82" s="414"/>
      <c r="F82" s="604">
        <v>1</v>
      </c>
      <c r="G82" s="604">
        <v>10</v>
      </c>
      <c r="H82" s="604">
        <v>50</v>
      </c>
      <c r="I82" s="604">
        <v>100</v>
      </c>
      <c r="K82" s="384"/>
      <c r="L82" s="414"/>
      <c r="M82" s="414"/>
      <c r="N82" s="414"/>
      <c r="O82" s="414"/>
      <c r="P82" s="414"/>
      <c r="Q82" s="414"/>
      <c r="R82" s="414"/>
      <c r="S82" s="414"/>
      <c r="T82" s="414"/>
      <c r="U82" s="414"/>
      <c r="V82" s="414"/>
    </row>
    <row r="83" spans="1:22" s="547" customFormat="1" x14ac:dyDescent="0.25">
      <c r="A83" s="485"/>
      <c r="B83" s="375"/>
      <c r="C83" s="466"/>
      <c r="D83" s="466"/>
      <c r="E83" s="466"/>
      <c r="F83" s="604"/>
      <c r="G83" s="604"/>
      <c r="H83" s="604"/>
      <c r="I83" s="604"/>
      <c r="K83" s="384"/>
      <c r="L83" s="466"/>
      <c r="M83" s="466"/>
      <c r="N83" s="466"/>
      <c r="O83" s="466"/>
      <c r="P83" s="466"/>
      <c r="Q83" s="466"/>
      <c r="R83" s="466"/>
      <c r="S83" s="466"/>
      <c r="T83" s="466"/>
      <c r="U83" s="466"/>
      <c r="V83" s="466"/>
    </row>
    <row r="84" spans="1:22" s="547" customFormat="1" x14ac:dyDescent="0.25">
      <c r="A84" s="485"/>
      <c r="B84" s="466" t="s">
        <v>350</v>
      </c>
      <c r="C84" s="466"/>
      <c r="D84" s="466"/>
      <c r="E84" s="466"/>
      <c r="F84" s="604"/>
      <c r="G84" s="604"/>
      <c r="H84" s="604"/>
      <c r="I84" s="604"/>
      <c r="K84" s="384"/>
      <c r="L84" s="466"/>
      <c r="M84" s="466"/>
      <c r="N84" s="466"/>
      <c r="O84" s="466"/>
      <c r="P84" s="466"/>
      <c r="Q84" s="466"/>
      <c r="R84" s="466"/>
      <c r="S84" s="466"/>
      <c r="T84" s="466"/>
      <c r="U84" s="466"/>
      <c r="V84" s="466"/>
    </row>
    <row r="85" spans="1:22" s="547" customFormat="1" x14ac:dyDescent="0.25">
      <c r="A85" s="485"/>
      <c r="B85" s="466" t="s">
        <v>389</v>
      </c>
      <c r="C85" s="466"/>
      <c r="D85" s="466"/>
      <c r="E85" s="466"/>
      <c r="F85" s="604"/>
      <c r="G85" s="604"/>
      <c r="H85" s="604"/>
      <c r="I85" s="604"/>
      <c r="K85" s="384"/>
      <c r="L85" s="466"/>
      <c r="M85" s="466"/>
      <c r="N85" s="466"/>
      <c r="O85" s="466"/>
      <c r="P85" s="466"/>
      <c r="Q85" s="466"/>
      <c r="R85" s="466"/>
      <c r="S85" s="466"/>
      <c r="T85" s="466"/>
      <c r="U85" s="466"/>
      <c r="V85" s="466"/>
    </row>
    <row r="86" spans="1:22" s="547" customFormat="1" x14ac:dyDescent="0.25">
      <c r="A86" s="485"/>
      <c r="B86" s="466" t="s">
        <v>393</v>
      </c>
      <c r="C86" s="466"/>
      <c r="D86" s="466"/>
      <c r="E86" s="466"/>
      <c r="F86" s="604"/>
      <c r="G86" s="604"/>
      <c r="H86" s="604"/>
      <c r="I86" s="604"/>
      <c r="K86" s="384"/>
      <c r="L86" s="466"/>
      <c r="M86" s="466"/>
      <c r="N86" s="466"/>
      <c r="O86" s="466"/>
      <c r="P86" s="466"/>
      <c r="Q86" s="466"/>
      <c r="R86" s="466"/>
      <c r="S86" s="466"/>
      <c r="T86" s="466"/>
      <c r="U86" s="466"/>
      <c r="V86" s="466"/>
    </row>
    <row r="87" spans="1:22" s="547" customFormat="1" x14ac:dyDescent="0.25">
      <c r="A87" s="485"/>
      <c r="B87" s="466" t="s">
        <v>390</v>
      </c>
      <c r="C87" s="466"/>
      <c r="D87" s="466"/>
      <c r="E87" s="466"/>
      <c r="F87" s="604"/>
      <c r="G87" s="604"/>
      <c r="H87" s="604"/>
      <c r="I87" s="604"/>
      <c r="K87" s="384"/>
      <c r="L87" s="466"/>
      <c r="M87" s="466"/>
      <c r="N87" s="466"/>
      <c r="O87" s="466"/>
      <c r="P87" s="466"/>
      <c r="Q87" s="466"/>
      <c r="R87" s="466"/>
      <c r="S87" s="466"/>
      <c r="T87" s="466"/>
      <c r="U87" s="466"/>
      <c r="V87" s="466"/>
    </row>
    <row r="88" spans="1:22" s="547" customFormat="1" x14ac:dyDescent="0.25">
      <c r="A88" s="485"/>
      <c r="B88" s="466" t="s">
        <v>391</v>
      </c>
      <c r="C88" s="466"/>
      <c r="D88" s="466"/>
      <c r="E88" s="466"/>
      <c r="F88" s="604"/>
      <c r="G88" s="604"/>
      <c r="H88" s="604"/>
      <c r="I88" s="604"/>
      <c r="K88" s="384"/>
      <c r="L88" s="466"/>
      <c r="M88" s="466"/>
      <c r="N88" s="466"/>
      <c r="O88" s="466"/>
      <c r="P88" s="466"/>
      <c r="Q88" s="466"/>
      <c r="R88" s="466"/>
      <c r="S88" s="466"/>
      <c r="T88" s="466"/>
      <c r="U88" s="466"/>
      <c r="V88" s="466"/>
    </row>
    <row r="89" spans="1:22" s="547" customFormat="1" x14ac:dyDescent="0.25">
      <c r="A89" s="485"/>
      <c r="B89" s="466" t="s">
        <v>392</v>
      </c>
      <c r="C89" s="466"/>
      <c r="D89" s="466"/>
      <c r="E89" s="384"/>
      <c r="F89" s="610" t="s">
        <v>99</v>
      </c>
      <c r="G89" s="611"/>
      <c r="H89" s="384"/>
      <c r="I89" s="610" t="s">
        <v>397</v>
      </c>
      <c r="J89" s="611"/>
      <c r="K89" s="384"/>
      <c r="L89" s="610" t="s">
        <v>386</v>
      </c>
      <c r="M89" s="611"/>
      <c r="N89" s="384"/>
      <c r="O89" s="610" t="s">
        <v>387</v>
      </c>
      <c r="P89" s="611"/>
      <c r="Q89" s="466"/>
      <c r="R89" s="466"/>
      <c r="S89" s="466"/>
      <c r="T89" s="466"/>
      <c r="U89" s="466"/>
      <c r="V89" s="466"/>
    </row>
    <row r="90" spans="1:22" s="547" customFormat="1" x14ac:dyDescent="0.25">
      <c r="A90" s="485"/>
      <c r="B90" s="375"/>
      <c r="C90" s="466"/>
      <c r="D90" s="466"/>
      <c r="E90" s="609" t="s">
        <v>368</v>
      </c>
      <c r="F90" s="464" t="s">
        <v>367</v>
      </c>
      <c r="G90" s="372" t="s">
        <v>79</v>
      </c>
      <c r="H90" s="609" t="s">
        <v>368</v>
      </c>
      <c r="I90" s="464" t="s">
        <v>367</v>
      </c>
      <c r="J90" s="372" t="s">
        <v>79</v>
      </c>
      <c r="K90" s="609" t="s">
        <v>368</v>
      </c>
      <c r="L90" s="464" t="s">
        <v>367</v>
      </c>
      <c r="M90" s="372" t="s">
        <v>79</v>
      </c>
      <c r="N90" s="609" t="s">
        <v>368</v>
      </c>
      <c r="O90" s="464" t="s">
        <v>367</v>
      </c>
      <c r="P90" s="372" t="s">
        <v>79</v>
      </c>
      <c r="Q90" s="466"/>
      <c r="R90" s="466"/>
      <c r="S90" s="466"/>
      <c r="T90" s="466"/>
      <c r="U90" s="466"/>
      <c r="V90" s="466"/>
    </row>
    <row r="91" spans="1:22" s="547" customFormat="1" x14ac:dyDescent="0.25">
      <c r="A91" s="485"/>
      <c r="B91" s="466" t="s">
        <v>394</v>
      </c>
      <c r="C91" s="466"/>
      <c r="D91" s="466"/>
      <c r="E91" s="466"/>
      <c r="F91" s="604"/>
      <c r="G91" s="604"/>
      <c r="H91" s="604"/>
      <c r="I91" s="604"/>
      <c r="K91" s="384"/>
      <c r="L91" s="466"/>
      <c r="M91" s="466"/>
      <c r="N91" s="466"/>
      <c r="O91" s="466"/>
      <c r="P91" s="466"/>
      <c r="Q91" s="466"/>
      <c r="R91" s="466"/>
      <c r="S91" s="466"/>
      <c r="T91" s="466"/>
      <c r="U91" s="466"/>
      <c r="V91" s="466"/>
    </row>
    <row r="92" spans="1:22" s="547" customFormat="1" x14ac:dyDescent="0.25">
      <c r="A92" s="485"/>
      <c r="B92" s="466">
        <v>1</v>
      </c>
      <c r="C92" s="466" t="s">
        <v>395</v>
      </c>
      <c r="D92" s="466"/>
      <c r="E92" s="466"/>
      <c r="F92" s="604"/>
      <c r="G92" s="605">
        <v>181750</v>
      </c>
      <c r="H92" s="604"/>
      <c r="I92" s="604"/>
      <c r="J92" s="456">
        <f>G92</f>
        <v>181750</v>
      </c>
      <c r="K92" s="384"/>
      <c r="L92" s="466"/>
      <c r="M92" s="614">
        <v>181750</v>
      </c>
      <c r="N92" s="466"/>
      <c r="O92" s="466"/>
      <c r="P92" s="614">
        <v>181750</v>
      </c>
      <c r="Q92" s="466"/>
      <c r="R92" s="466"/>
      <c r="S92" s="466"/>
      <c r="T92" s="466"/>
      <c r="U92" s="466"/>
      <c r="V92" s="466"/>
    </row>
    <row r="93" spans="1:22" s="547" customFormat="1" x14ac:dyDescent="0.25">
      <c r="A93" s="485"/>
      <c r="B93" s="466">
        <v>2</v>
      </c>
      <c r="C93" s="466" t="s">
        <v>47</v>
      </c>
      <c r="D93" s="372" t="s">
        <v>396</v>
      </c>
      <c r="E93" s="466">
        <v>1</v>
      </c>
      <c r="F93" s="605">
        <v>66775</v>
      </c>
      <c r="G93" s="605">
        <f>F93*E93</f>
        <v>66775</v>
      </c>
      <c r="H93" s="604">
        <v>10</v>
      </c>
      <c r="I93" s="605">
        <v>66775</v>
      </c>
      <c r="J93" s="456">
        <f>I93*H93</f>
        <v>667750</v>
      </c>
      <c r="K93" s="384">
        <v>50</v>
      </c>
      <c r="L93" s="614">
        <v>66775</v>
      </c>
      <c r="M93" s="624">
        <f>L93*K93</f>
        <v>3338750</v>
      </c>
      <c r="N93" s="466">
        <v>100</v>
      </c>
      <c r="O93" s="614">
        <v>66775</v>
      </c>
      <c r="P93" s="624">
        <f>O93*N93</f>
        <v>6677500</v>
      </c>
      <c r="Q93" s="466"/>
      <c r="R93" s="466"/>
      <c r="S93" s="466"/>
      <c r="T93" s="466"/>
      <c r="U93" s="466"/>
      <c r="V93" s="466"/>
    </row>
    <row r="94" spans="1:22" s="547" customFormat="1" x14ac:dyDescent="0.25">
      <c r="A94" s="485"/>
      <c r="B94" s="466">
        <v>3</v>
      </c>
      <c r="C94" s="466" t="s">
        <v>144</v>
      </c>
      <c r="D94" s="362">
        <v>0.1</v>
      </c>
      <c r="E94" s="466">
        <f>D94*E93</f>
        <v>0.1</v>
      </c>
      <c r="F94" s="605">
        <f>F93</f>
        <v>66775</v>
      </c>
      <c r="G94" s="605">
        <f>F94*E94</f>
        <v>6677.5</v>
      </c>
      <c r="H94" s="604">
        <v>1</v>
      </c>
      <c r="I94" s="605">
        <v>66775</v>
      </c>
      <c r="J94" s="456">
        <f>I94*H94</f>
        <v>66775</v>
      </c>
      <c r="K94" s="384">
        <v>5</v>
      </c>
      <c r="L94" s="614">
        <v>66775</v>
      </c>
      <c r="M94" s="624">
        <f>L94*K94</f>
        <v>333875</v>
      </c>
      <c r="N94" s="466">
        <v>10</v>
      </c>
      <c r="O94" s="614">
        <v>66775</v>
      </c>
      <c r="P94" s="624">
        <f>O94*N94</f>
        <v>667750</v>
      </c>
      <c r="Q94" s="466"/>
      <c r="R94" s="466"/>
      <c r="S94" s="466"/>
      <c r="T94" s="466"/>
      <c r="U94" s="466"/>
      <c r="V94" s="466"/>
    </row>
    <row r="95" spans="1:22" s="547" customFormat="1" x14ac:dyDescent="0.25">
      <c r="A95" s="485"/>
      <c r="B95" s="375"/>
      <c r="C95" s="466"/>
      <c r="D95" s="466"/>
      <c r="E95" s="466"/>
      <c r="F95" s="604"/>
      <c r="G95" s="604"/>
      <c r="H95" s="604"/>
      <c r="I95" s="604"/>
      <c r="K95" s="384"/>
      <c r="L95" s="466"/>
      <c r="M95" s="466"/>
      <c r="N95" s="466"/>
      <c r="O95" s="466"/>
      <c r="P95" s="466"/>
      <c r="Q95" s="466"/>
      <c r="R95" s="466"/>
      <c r="S95" s="466"/>
      <c r="T95" s="466"/>
      <c r="U95" s="466"/>
      <c r="V95" s="466"/>
    </row>
    <row r="96" spans="1:22" s="547" customFormat="1" x14ac:dyDescent="0.25">
      <c r="A96" s="485"/>
      <c r="B96" s="364" t="s">
        <v>81</v>
      </c>
      <c r="C96" s="364"/>
      <c r="D96" s="364"/>
      <c r="E96" s="364">
        <f>SUM(E92:E94)</f>
        <v>1.1000000000000001</v>
      </c>
      <c r="F96" s="364"/>
      <c r="G96" s="625">
        <f t="shared" ref="G96:P96" si="18">SUM(G92:G94)</f>
        <v>255202.5</v>
      </c>
      <c r="H96" s="625">
        <f t="shared" si="18"/>
        <v>11</v>
      </c>
      <c r="I96" s="625"/>
      <c r="J96" s="625">
        <f t="shared" si="18"/>
        <v>916275</v>
      </c>
      <c r="K96" s="625">
        <f t="shared" si="18"/>
        <v>55</v>
      </c>
      <c r="L96" s="625"/>
      <c r="M96" s="625">
        <f t="shared" si="18"/>
        <v>3854375</v>
      </c>
      <c r="N96" s="625">
        <f t="shared" si="18"/>
        <v>110</v>
      </c>
      <c r="O96" s="625"/>
      <c r="P96" s="625">
        <f t="shared" si="18"/>
        <v>7527000</v>
      </c>
      <c r="Q96" s="466"/>
      <c r="R96" s="466"/>
      <c r="S96" s="466"/>
      <c r="T96" s="466"/>
      <c r="U96" s="466"/>
      <c r="V96" s="466"/>
    </row>
    <row r="97" spans="1:22" s="547" customFormat="1" x14ac:dyDescent="0.25">
      <c r="A97" s="485"/>
      <c r="B97" s="375"/>
      <c r="C97" s="466"/>
      <c r="D97" s="466"/>
      <c r="E97" s="466"/>
      <c r="F97" s="604"/>
      <c r="G97" s="604"/>
      <c r="H97" s="604"/>
      <c r="I97" s="604"/>
      <c r="K97" s="384"/>
      <c r="L97" s="466"/>
      <c r="M97" s="466"/>
      <c r="N97" s="466"/>
      <c r="O97" s="466"/>
      <c r="P97" s="466"/>
      <c r="Q97" s="466"/>
      <c r="R97" s="466"/>
      <c r="S97" s="466"/>
      <c r="T97" s="466"/>
      <c r="U97" s="466"/>
      <c r="V97" s="466"/>
    </row>
    <row r="98" spans="1:22" x14ac:dyDescent="0.25">
      <c r="A98" s="413"/>
      <c r="B98" s="413"/>
      <c r="C98" s="383"/>
      <c r="D98" s="383"/>
      <c r="E98" s="383"/>
      <c r="F98" s="383"/>
      <c r="G98" s="383"/>
      <c r="H98" s="383"/>
      <c r="I98" s="383"/>
      <c r="K98" s="413"/>
      <c r="L98" s="413"/>
      <c r="M98" s="413"/>
      <c r="N98" s="413"/>
      <c r="O98" s="413"/>
      <c r="P98" s="413"/>
      <c r="Q98" s="413"/>
      <c r="R98" s="339"/>
      <c r="S98" s="339"/>
      <c r="T98" s="339"/>
      <c r="U98" s="339"/>
      <c r="V98" s="339"/>
    </row>
    <row r="99" spans="1:22" x14ac:dyDescent="0.25">
      <c r="A99" s="375" t="s">
        <v>78</v>
      </c>
      <c r="B99" s="375" t="s">
        <v>51</v>
      </c>
      <c r="C99" s="423"/>
      <c r="D99" s="423"/>
      <c r="E99" s="423"/>
      <c r="F99" s="372" t="s">
        <v>85</v>
      </c>
      <c r="G99" s="385" t="s">
        <v>108</v>
      </c>
      <c r="H99" s="385" t="s">
        <v>110</v>
      </c>
      <c r="I99" s="385" t="s">
        <v>109</v>
      </c>
      <c r="K99" s="423"/>
      <c r="L99" s="339"/>
      <c r="M99" s="339"/>
      <c r="N99" s="339"/>
      <c r="O99" s="339"/>
      <c r="P99" s="339"/>
      <c r="Q99" s="339"/>
      <c r="R99" s="339"/>
      <c r="S99" s="339"/>
      <c r="T99" s="339"/>
      <c r="U99" s="339"/>
      <c r="V99" s="339"/>
    </row>
    <row r="100" spans="1:22" s="547" customFormat="1" x14ac:dyDescent="0.25">
      <c r="A100" s="375"/>
      <c r="B100" s="375"/>
      <c r="C100" s="466"/>
      <c r="D100" s="466"/>
      <c r="E100" s="466"/>
      <c r="F100" s="372"/>
      <c r="G100" s="385"/>
      <c r="H100" s="385"/>
      <c r="I100" s="385"/>
      <c r="K100" s="466"/>
      <c r="L100" s="339"/>
      <c r="M100" s="339"/>
      <c r="N100" s="339"/>
      <c r="O100" s="339"/>
      <c r="P100" s="339"/>
      <c r="Q100" s="339"/>
      <c r="R100" s="339"/>
      <c r="S100" s="339"/>
      <c r="T100" s="339"/>
      <c r="U100" s="339"/>
      <c r="V100" s="339"/>
    </row>
    <row r="101" spans="1:22" s="547" customFormat="1" x14ac:dyDescent="0.25">
      <c r="A101" s="375"/>
      <c r="B101" s="466" t="s">
        <v>398</v>
      </c>
      <c r="C101" s="466"/>
      <c r="D101" s="466"/>
      <c r="E101" s="466"/>
      <c r="F101" s="372"/>
      <c r="G101" s="385"/>
      <c r="H101" s="385"/>
      <c r="I101" s="385"/>
      <c r="K101" s="466"/>
      <c r="L101" s="339"/>
      <c r="M101" s="339"/>
      <c r="N101" s="339"/>
      <c r="O101" s="339"/>
      <c r="P101" s="339"/>
      <c r="Q101" s="339"/>
      <c r="R101" s="339"/>
      <c r="S101" s="339"/>
      <c r="T101" s="339"/>
      <c r="U101" s="339"/>
      <c r="V101" s="339"/>
    </row>
    <row r="102" spans="1:22" s="547" customFormat="1" x14ac:dyDescent="0.25">
      <c r="A102" s="375"/>
      <c r="B102" s="466" t="s">
        <v>399</v>
      </c>
      <c r="C102" s="466"/>
      <c r="D102" s="466"/>
      <c r="E102" s="466"/>
      <c r="F102" s="372"/>
      <c r="G102" s="385"/>
      <c r="H102" s="385"/>
      <c r="I102" s="385"/>
      <c r="K102" s="466"/>
      <c r="L102" s="339"/>
      <c r="M102" s="339"/>
      <c r="N102" s="339"/>
      <c r="O102" s="339"/>
      <c r="P102" s="339"/>
      <c r="Q102" s="339"/>
      <c r="R102" s="339"/>
      <c r="S102" s="339"/>
      <c r="T102" s="339"/>
      <c r="U102" s="339"/>
      <c r="V102" s="339"/>
    </row>
    <row r="103" spans="1:22" x14ac:dyDescent="0.25">
      <c r="A103" s="423"/>
      <c r="B103" s="375"/>
      <c r="C103" s="423"/>
      <c r="D103" s="423"/>
      <c r="E103" s="423"/>
      <c r="F103" s="386"/>
      <c r="G103" s="386"/>
      <c r="H103" s="386"/>
      <c r="I103" s="386"/>
      <c r="K103" s="423"/>
      <c r="L103" s="339"/>
      <c r="M103" s="339"/>
      <c r="N103" s="339"/>
      <c r="O103" s="339"/>
      <c r="P103" s="339"/>
      <c r="Q103" s="339"/>
      <c r="R103" s="339"/>
      <c r="S103" s="339"/>
      <c r="T103" s="339"/>
      <c r="U103" s="339"/>
      <c r="V103" s="339"/>
    </row>
    <row r="104" spans="1:22" x14ac:dyDescent="0.25">
      <c r="A104" s="423"/>
      <c r="B104" s="364" t="s">
        <v>81</v>
      </c>
      <c r="C104" s="364"/>
      <c r="D104" s="364"/>
      <c r="E104" s="364"/>
      <c r="F104" s="368">
        <f>G96</f>
        <v>255202.5</v>
      </c>
      <c r="G104" s="368">
        <f>J96</f>
        <v>916275</v>
      </c>
      <c r="H104" s="368">
        <f>M96</f>
        <v>3854375</v>
      </c>
      <c r="I104" s="368">
        <f>P96</f>
        <v>7527000</v>
      </c>
      <c r="K104" s="423"/>
      <c r="L104" s="339"/>
      <c r="M104" s="339"/>
      <c r="N104" s="339"/>
      <c r="O104" s="339"/>
      <c r="P104" s="339"/>
      <c r="Q104" s="339"/>
      <c r="R104" s="339"/>
      <c r="S104" s="339"/>
      <c r="T104" s="339"/>
      <c r="U104" s="339"/>
      <c r="V104" s="339"/>
    </row>
    <row r="105" spans="1:22" x14ac:dyDescent="0.25">
      <c r="A105" s="423"/>
      <c r="B105" s="423"/>
      <c r="C105" s="423"/>
      <c r="D105" s="423"/>
      <c r="E105" s="423"/>
      <c r="F105" s="423"/>
      <c r="G105" s="423"/>
      <c r="H105" s="423"/>
      <c r="I105" s="423"/>
      <c r="J105" s="423"/>
      <c r="K105" s="423"/>
      <c r="L105" s="339"/>
      <c r="M105" s="339"/>
      <c r="N105" s="339"/>
      <c r="O105" s="339"/>
      <c r="P105" s="339"/>
      <c r="Q105" s="339"/>
      <c r="R105" s="339"/>
      <c r="S105" s="339"/>
      <c r="T105" s="339"/>
      <c r="U105" s="339"/>
      <c r="V105" s="339"/>
    </row>
    <row r="106" spans="1:22" x14ac:dyDescent="0.25">
      <c r="A106" s="423"/>
      <c r="B106" s="423"/>
      <c r="C106" s="423"/>
      <c r="D106" s="423"/>
      <c r="E106" s="423"/>
      <c r="F106" s="423"/>
      <c r="G106" s="423"/>
      <c r="H106" s="423"/>
      <c r="I106" s="423"/>
      <c r="J106" s="423"/>
      <c r="K106" s="423"/>
      <c r="L106" s="339"/>
      <c r="M106" s="339"/>
      <c r="N106" s="339"/>
      <c r="O106" s="339"/>
      <c r="P106" s="339"/>
      <c r="Q106" s="339"/>
      <c r="R106" s="339"/>
      <c r="S106" s="339"/>
      <c r="T106" s="339"/>
      <c r="U106" s="339"/>
      <c r="V106" s="339"/>
    </row>
    <row r="107" spans="1:22" s="295" customFormat="1" x14ac:dyDescent="0.25">
      <c r="A107" s="375" t="s">
        <v>150</v>
      </c>
      <c r="B107" s="414"/>
      <c r="C107" s="414"/>
      <c r="D107" s="414"/>
      <c r="E107" s="414"/>
      <c r="F107" s="414"/>
      <c r="G107" s="414"/>
      <c r="H107" s="414"/>
      <c r="I107" s="414"/>
      <c r="J107" s="414"/>
      <c r="K107" s="414"/>
      <c r="L107" s="339"/>
      <c r="M107" s="339"/>
      <c r="N107" s="339"/>
      <c r="O107" s="339"/>
      <c r="P107" s="339"/>
      <c r="Q107" s="339"/>
      <c r="R107" s="339"/>
      <c r="S107" s="339"/>
      <c r="T107" s="339"/>
      <c r="U107" s="339"/>
      <c r="V107" s="339"/>
    </row>
    <row r="108" spans="1:22" s="726" customFormat="1" x14ac:dyDescent="0.25">
      <c r="A108" s="727" t="s">
        <v>73</v>
      </c>
      <c r="B108" s="727"/>
      <c r="C108" s="727"/>
      <c r="D108" s="727"/>
      <c r="E108" s="727"/>
      <c r="F108" s="727"/>
      <c r="G108" s="727"/>
      <c r="H108" s="727"/>
      <c r="I108" s="727"/>
      <c r="J108" s="727"/>
      <c r="K108" s="727"/>
      <c r="L108" s="728"/>
      <c r="M108" s="728"/>
      <c r="N108" s="728"/>
      <c r="O108" s="728"/>
      <c r="P108" s="728"/>
      <c r="Q108" s="728"/>
      <c r="R108" s="728"/>
      <c r="S108" s="728"/>
      <c r="T108" s="728"/>
      <c r="U108" s="728"/>
      <c r="V108" s="728"/>
    </row>
    <row r="109" spans="1:22" s="726" customFormat="1" x14ac:dyDescent="0.25">
      <c r="A109" s="727" t="s">
        <v>74</v>
      </c>
      <c r="B109" s="727" t="s">
        <v>514</v>
      </c>
      <c r="C109" s="727"/>
      <c r="D109" s="727"/>
      <c r="E109" s="727"/>
      <c r="F109" s="727"/>
      <c r="G109" s="727"/>
      <c r="H109" s="727"/>
      <c r="I109" s="727"/>
      <c r="J109" s="727"/>
      <c r="K109" s="727"/>
      <c r="L109" s="728"/>
      <c r="M109" s="728"/>
      <c r="N109" s="728"/>
      <c r="O109" s="728"/>
      <c r="P109" s="728"/>
      <c r="Q109" s="728"/>
      <c r="R109" s="728"/>
      <c r="S109" s="728"/>
      <c r="T109" s="728"/>
      <c r="U109" s="728"/>
      <c r="V109" s="728"/>
    </row>
    <row r="110" spans="1:22" s="726" customFormat="1" x14ac:dyDescent="0.25">
      <c r="A110" s="727" t="s">
        <v>75</v>
      </c>
      <c r="B110" s="727" t="s">
        <v>514</v>
      </c>
      <c r="C110" s="727"/>
      <c r="D110" s="727"/>
      <c r="E110" s="727"/>
      <c r="F110" s="727"/>
      <c r="G110" s="727"/>
      <c r="H110" s="727"/>
      <c r="I110" s="727"/>
      <c r="J110" s="727"/>
      <c r="K110" s="727"/>
      <c r="L110" s="728"/>
      <c r="M110" s="728"/>
      <c r="N110" s="728"/>
      <c r="O110" s="728"/>
      <c r="P110" s="728"/>
      <c r="Q110" s="728"/>
      <c r="R110" s="728"/>
      <c r="S110" s="728"/>
      <c r="T110" s="728"/>
      <c r="U110" s="728"/>
      <c r="V110" s="728"/>
    </row>
    <row r="111" spans="1:22" s="726" customFormat="1" x14ac:dyDescent="0.25">
      <c r="A111" s="727" t="s">
        <v>76</v>
      </c>
      <c r="B111" s="727" t="s">
        <v>514</v>
      </c>
      <c r="C111" s="727"/>
      <c r="D111" s="727"/>
      <c r="E111" s="727"/>
      <c r="F111" s="727"/>
      <c r="G111" s="727"/>
      <c r="H111" s="727"/>
      <c r="I111" s="727"/>
      <c r="J111" s="727"/>
      <c r="K111" s="727"/>
      <c r="L111" s="728"/>
      <c r="M111" s="728"/>
      <c r="N111" s="728"/>
      <c r="O111" s="728"/>
      <c r="P111" s="728"/>
      <c r="Q111" s="728"/>
      <c r="R111" s="728"/>
      <c r="S111" s="728"/>
      <c r="T111" s="728"/>
      <c r="U111" s="728"/>
      <c r="V111" s="728"/>
    </row>
    <row r="112" spans="1:22" s="726" customFormat="1" x14ac:dyDescent="0.25">
      <c r="A112" s="727" t="s">
        <v>77</v>
      </c>
      <c r="B112" s="727" t="s">
        <v>514</v>
      </c>
      <c r="C112" s="727"/>
      <c r="D112" s="727"/>
      <c r="E112" s="727"/>
      <c r="F112" s="727"/>
      <c r="G112" s="727"/>
      <c r="H112" s="727"/>
      <c r="I112" s="727"/>
      <c r="J112" s="727"/>
      <c r="K112" s="727"/>
      <c r="L112" s="728"/>
      <c r="M112" s="728"/>
      <c r="N112" s="728"/>
      <c r="O112" s="728"/>
      <c r="P112" s="728"/>
      <c r="Q112" s="728"/>
      <c r="R112" s="728"/>
      <c r="S112" s="728"/>
      <c r="T112" s="728"/>
      <c r="U112" s="728"/>
      <c r="V112" s="728"/>
    </row>
    <row r="113" spans="1:22" x14ac:dyDescent="0.25">
      <c r="A113" s="727" t="s">
        <v>78</v>
      </c>
      <c r="B113" s="727" t="s">
        <v>514</v>
      </c>
      <c r="C113" s="414"/>
      <c r="D113" s="414"/>
      <c r="E113" s="414"/>
      <c r="F113" s="414"/>
      <c r="G113" s="414"/>
      <c r="H113" s="414"/>
      <c r="I113" s="414"/>
      <c r="J113" s="414"/>
      <c r="K113" s="414"/>
      <c r="L113" s="339"/>
      <c r="M113" s="339"/>
      <c r="N113" s="339"/>
      <c r="O113" s="339"/>
      <c r="P113" s="339"/>
      <c r="Q113" s="339"/>
      <c r="R113" s="339"/>
      <c r="S113" s="339"/>
      <c r="T113" s="339"/>
      <c r="U113" s="339"/>
      <c r="V113" s="339"/>
    </row>
    <row r="114" spans="1:22" x14ac:dyDescent="0.25">
      <c r="A114" s="414"/>
      <c r="B114" s="727"/>
      <c r="C114" s="414"/>
      <c r="D114" s="414"/>
      <c r="E114" s="414"/>
      <c r="F114" s="414"/>
      <c r="G114" s="414"/>
      <c r="H114" s="414"/>
      <c r="I114" s="414"/>
      <c r="J114" s="414"/>
      <c r="K114" s="414"/>
      <c r="L114" s="339"/>
      <c r="M114" s="339"/>
      <c r="N114" s="339"/>
      <c r="O114" s="339"/>
      <c r="P114" s="339"/>
      <c r="Q114" s="339"/>
      <c r="R114" s="339"/>
      <c r="S114" s="339"/>
      <c r="T114" s="339"/>
      <c r="U114" s="339"/>
      <c r="V114" s="339"/>
    </row>
    <row r="115" spans="1:22" x14ac:dyDescent="0.25">
      <c r="A115" s="375" t="s">
        <v>235</v>
      </c>
      <c r="B115" s="414"/>
      <c r="C115" s="414"/>
      <c r="D115" s="414"/>
      <c r="E115" s="414"/>
      <c r="F115" s="414"/>
      <c r="G115" s="414"/>
      <c r="H115" s="414"/>
      <c r="I115" s="414"/>
      <c r="J115" s="414"/>
      <c r="K115" s="414"/>
      <c r="L115" s="339"/>
      <c r="M115" s="339"/>
      <c r="N115" s="339"/>
      <c r="O115" s="339"/>
      <c r="P115" s="339"/>
      <c r="Q115" s="339"/>
      <c r="R115" s="339"/>
      <c r="S115" s="339"/>
      <c r="T115" s="339"/>
      <c r="U115" s="339"/>
      <c r="V115" s="339"/>
    </row>
    <row r="116" spans="1:22" x14ac:dyDescent="0.25">
      <c r="A116" s="414" t="s">
        <v>73</v>
      </c>
      <c r="B116" s="727" t="s">
        <v>513</v>
      </c>
      <c r="C116" s="414"/>
      <c r="D116" s="414"/>
      <c r="E116" s="414"/>
      <c r="F116" s="414"/>
      <c r="G116" s="414"/>
      <c r="H116" s="414"/>
      <c r="I116" s="414"/>
      <c r="J116" s="414"/>
      <c r="K116" s="414"/>
    </row>
    <row r="117" spans="1:22" x14ac:dyDescent="0.25">
      <c r="A117" s="414" t="s">
        <v>74</v>
      </c>
      <c r="B117" s="727" t="s">
        <v>513</v>
      </c>
      <c r="C117" s="414"/>
      <c r="D117" s="414"/>
      <c r="E117" s="414"/>
      <c r="F117" s="414"/>
      <c r="G117" s="414"/>
      <c r="H117" s="414"/>
      <c r="I117" s="414"/>
      <c r="J117" s="414"/>
      <c r="K117" s="414"/>
    </row>
    <row r="118" spans="1:22" x14ac:dyDescent="0.25">
      <c r="A118" s="414" t="s">
        <v>75</v>
      </c>
      <c r="B118" s="727" t="s">
        <v>513</v>
      </c>
      <c r="C118" s="414"/>
      <c r="D118" s="414"/>
      <c r="E118" s="414"/>
      <c r="F118" s="414"/>
      <c r="G118" s="414"/>
      <c r="H118" s="414"/>
      <c r="I118" s="414"/>
      <c r="J118" s="414"/>
      <c r="K118" s="414"/>
    </row>
    <row r="119" spans="1:22" x14ac:dyDescent="0.25">
      <c r="A119" s="414" t="s">
        <v>76</v>
      </c>
      <c r="B119" s="727" t="s">
        <v>513</v>
      </c>
      <c r="C119" s="414"/>
      <c r="D119" s="414"/>
      <c r="E119" s="414"/>
      <c r="F119" s="414"/>
      <c r="G119" s="414"/>
      <c r="H119" s="414"/>
      <c r="I119" s="414"/>
      <c r="J119" s="414"/>
      <c r="K119" s="414"/>
    </row>
    <row r="120" spans="1:22" x14ac:dyDescent="0.25">
      <c r="A120" s="414" t="s">
        <v>77</v>
      </c>
      <c r="B120" s="727" t="s">
        <v>513</v>
      </c>
      <c r="C120" s="414"/>
      <c r="D120" s="414"/>
      <c r="E120" s="414"/>
      <c r="F120" s="414"/>
      <c r="G120" s="414"/>
      <c r="H120" s="414"/>
      <c r="I120" s="414"/>
      <c r="J120" s="414"/>
      <c r="K120" s="414"/>
    </row>
    <row r="121" spans="1:22" x14ac:dyDescent="0.25">
      <c r="A121" s="414" t="s">
        <v>78</v>
      </c>
      <c r="B121" s="727" t="s">
        <v>513</v>
      </c>
      <c r="C121" s="414"/>
      <c r="D121" s="414"/>
      <c r="E121" s="414"/>
      <c r="F121" s="414"/>
      <c r="G121" s="414"/>
      <c r="H121" s="414"/>
      <c r="I121" s="414"/>
      <c r="J121" s="414"/>
      <c r="K121" s="414"/>
    </row>
    <row r="122" spans="1:22" x14ac:dyDescent="0.25">
      <c r="A122" s="414"/>
      <c r="B122" s="414"/>
      <c r="C122" s="414"/>
      <c r="D122" s="414"/>
      <c r="E122" s="414"/>
      <c r="F122" s="414"/>
      <c r="G122" s="414"/>
      <c r="H122" s="414"/>
      <c r="I122" s="414"/>
      <c r="J122" s="414"/>
      <c r="K122" s="414"/>
    </row>
    <row r="123" spans="1:22" x14ac:dyDescent="0.25">
      <c r="A123" s="414"/>
      <c r="B123" s="414"/>
      <c r="C123" s="414"/>
      <c r="D123" s="414"/>
      <c r="E123" s="414"/>
      <c r="F123" s="414"/>
      <c r="G123" s="414"/>
      <c r="H123" s="414"/>
      <c r="I123" s="414"/>
      <c r="J123" s="414"/>
      <c r="K123" s="4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8"/>
  <sheetViews>
    <sheetView zoomScale="70" zoomScaleNormal="70" workbookViewId="0">
      <selection activeCell="A9" sqref="A9"/>
    </sheetView>
  </sheetViews>
  <sheetFormatPr defaultRowHeight="15" x14ac:dyDescent="0.25"/>
  <cols>
    <col min="1" max="1" width="5.85546875" customWidth="1"/>
  </cols>
  <sheetData>
    <row r="1" spans="1:2" x14ac:dyDescent="0.25">
      <c r="A1" s="61" t="s">
        <v>164</v>
      </c>
    </row>
    <row r="3" spans="1:2" s="295" customFormat="1" x14ac:dyDescent="0.25">
      <c r="A3" s="213" t="s">
        <v>150</v>
      </c>
    </row>
    <row r="4" spans="1:2" s="295" customFormat="1" x14ac:dyDescent="0.25">
      <c r="A4" s="295">
        <v>1.8</v>
      </c>
      <c r="B4" s="295" t="s">
        <v>240</v>
      </c>
    </row>
    <row r="5" spans="1:2" s="295" customFormat="1" x14ac:dyDescent="0.25">
      <c r="B5" s="295" t="s">
        <v>166</v>
      </c>
    </row>
    <row r="7" spans="1:2" x14ac:dyDescent="0.25">
      <c r="A7" s="439" t="s">
        <v>235</v>
      </c>
    </row>
    <row r="8" spans="1:2" x14ac:dyDescent="0.25">
      <c r="A8">
        <v>1.8</v>
      </c>
      <c r="B8" t="s">
        <v>515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15"/>
  <sheetViews>
    <sheetView zoomScale="70" zoomScaleNormal="70" workbookViewId="0">
      <selection activeCell="A9" sqref="A9"/>
    </sheetView>
  </sheetViews>
  <sheetFormatPr defaultRowHeight="15" x14ac:dyDescent="0.25"/>
  <sheetData>
    <row r="1" spans="1:3" x14ac:dyDescent="0.25">
      <c r="A1" s="61" t="s">
        <v>165</v>
      </c>
    </row>
    <row r="3" spans="1:3" s="295" customFormat="1" x14ac:dyDescent="0.25">
      <c r="A3" s="213" t="s">
        <v>150</v>
      </c>
    </row>
    <row r="4" spans="1:3" s="295" customFormat="1" x14ac:dyDescent="0.25">
      <c r="A4" s="295">
        <v>1.9</v>
      </c>
      <c r="B4" s="295" t="s">
        <v>241</v>
      </c>
    </row>
    <row r="5" spans="1:3" s="295" customFormat="1" x14ac:dyDescent="0.25">
      <c r="B5" s="295" t="s">
        <v>211</v>
      </c>
    </row>
    <row r="7" spans="1:3" x14ac:dyDescent="0.25">
      <c r="A7" s="439" t="s">
        <v>235</v>
      </c>
    </row>
    <row r="8" spans="1:3" x14ac:dyDescent="0.25">
      <c r="A8">
        <v>1.9</v>
      </c>
      <c r="B8" t="s">
        <v>516</v>
      </c>
    </row>
    <row r="11" spans="1:3" x14ac:dyDescent="0.25">
      <c r="A11" s="439"/>
      <c r="B11" s="437"/>
      <c r="C11" s="437"/>
    </row>
    <row r="12" spans="1:3" x14ac:dyDescent="0.25">
      <c r="A12" s="437"/>
      <c r="B12" s="438"/>
      <c r="C12" s="440"/>
    </row>
    <row r="13" spans="1:3" x14ac:dyDescent="0.25">
      <c r="A13" s="437"/>
      <c r="B13" s="437"/>
      <c r="C13" s="437"/>
    </row>
    <row r="14" spans="1:3" x14ac:dyDescent="0.25">
      <c r="B14" s="437"/>
      <c r="C14" s="437"/>
    </row>
    <row r="15" spans="1:3" x14ac:dyDescent="0.25">
      <c r="A15" s="437"/>
      <c r="B15" s="438"/>
      <c r="C15" s="43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H21"/>
  <sheetViews>
    <sheetView zoomScale="70" zoomScaleNormal="70" workbookViewId="0">
      <selection activeCell="E24" sqref="E24"/>
    </sheetView>
  </sheetViews>
  <sheetFormatPr defaultRowHeight="15" x14ac:dyDescent="0.25"/>
  <cols>
    <col min="1" max="1" width="7" customWidth="1"/>
    <col min="3" max="3" width="14.28515625" customWidth="1"/>
    <col min="4" max="4" width="7.5703125" customWidth="1"/>
    <col min="5" max="5" width="13.42578125" bestFit="1" customWidth="1"/>
    <col min="6" max="6" width="17" customWidth="1"/>
    <col min="7" max="7" width="19.85546875" customWidth="1"/>
    <col min="8" max="8" width="16.85546875" customWidth="1"/>
  </cols>
  <sheetData>
    <row r="1" spans="1:8" x14ac:dyDescent="0.25">
      <c r="A1" s="488" t="s">
        <v>408</v>
      </c>
    </row>
    <row r="3" spans="1:8" x14ac:dyDescent="0.25">
      <c r="A3" s="61" t="s">
        <v>111</v>
      </c>
      <c r="D3" t="s">
        <v>66</v>
      </c>
      <c r="E3" s="48">
        <v>1</v>
      </c>
      <c r="F3" s="48">
        <v>10</v>
      </c>
      <c r="G3" s="48">
        <v>50</v>
      </c>
      <c r="H3" s="48">
        <v>100</v>
      </c>
    </row>
    <row r="4" spans="1:8" x14ac:dyDescent="0.25">
      <c r="B4">
        <v>2.1</v>
      </c>
      <c r="C4" t="s">
        <v>52</v>
      </c>
      <c r="E4" s="41">
        <f>('CBS (Total)'!J12+'CBS (Total)'!J24+'CBS (Total)'!J29+'CBS (Total)'!J43+'CBS (Total)'!J44+'CBS (Total)'!J18)*E6</f>
        <v>226841.2989948538</v>
      </c>
      <c r="F4" s="41">
        <f>('CBS (Total)'!L12+'CBS (Total)'!L24+'CBS (Total)'!L29+'CBS (Total)'!L43+'CBS (Total)'!L44+'CBS (Total)'!L18)*F6</f>
        <v>936752.48384630634</v>
      </c>
      <c r="G4" s="41">
        <f>('CBS (Total)'!N12+'CBS (Total)'!N24+'CBS (Total)'!N29+'CBS (Total)'!N43+'CBS (Total)'!N44+'CBS (Total)'!N18)*G6</f>
        <v>1772683.4293970102</v>
      </c>
      <c r="H4" s="41">
        <f>('CBS (Total)'!P12+'CBS (Total)'!P24+'CBS (Total)'!P29+'CBS (Total)'!P43+'CBS (Total)'!P44+'CBS (Total)'!P18)*H6</f>
        <v>1717691.4905751015</v>
      </c>
    </row>
    <row r="6" spans="1:8" x14ac:dyDescent="0.25">
      <c r="C6" t="s">
        <v>400</v>
      </c>
      <c r="E6" s="46">
        <f>C10</f>
        <v>0.02</v>
      </c>
      <c r="F6" s="46">
        <f>C11</f>
        <v>0.02</v>
      </c>
      <c r="G6" s="46">
        <f>C12</f>
        <v>0.01</v>
      </c>
      <c r="H6" s="49">
        <f>C13</f>
        <v>5.0000000000000001E-3</v>
      </c>
    </row>
    <row r="7" spans="1:8" s="547" customFormat="1" x14ac:dyDescent="0.25">
      <c r="E7" s="465"/>
      <c r="F7" s="426"/>
      <c r="G7" s="426"/>
      <c r="H7" s="49"/>
    </row>
    <row r="9" spans="1:8" x14ac:dyDescent="0.25">
      <c r="A9" s="61" t="s">
        <v>82</v>
      </c>
    </row>
    <row r="10" spans="1:8" x14ac:dyDescent="0.25">
      <c r="B10" t="s">
        <v>92</v>
      </c>
      <c r="C10" s="19">
        <v>0.02</v>
      </c>
      <c r="D10" t="s">
        <v>96</v>
      </c>
    </row>
    <row r="11" spans="1:8" x14ac:dyDescent="0.25">
      <c r="B11" t="s">
        <v>93</v>
      </c>
      <c r="C11" s="19">
        <v>0.02</v>
      </c>
    </row>
    <row r="12" spans="1:8" x14ac:dyDescent="0.25">
      <c r="B12" t="s">
        <v>95</v>
      </c>
      <c r="C12" s="19">
        <v>0.01</v>
      </c>
    </row>
    <row r="13" spans="1:8" x14ac:dyDescent="0.25">
      <c r="B13" t="s">
        <v>94</v>
      </c>
      <c r="C13" s="24">
        <v>5.0000000000000001E-3</v>
      </c>
      <c r="D13" t="s">
        <v>97</v>
      </c>
    </row>
    <row r="15" spans="1:8" s="295" customFormat="1" x14ac:dyDescent="0.25">
      <c r="A15" s="213" t="s">
        <v>150</v>
      </c>
    </row>
    <row r="16" spans="1:8" s="295" customFormat="1" x14ac:dyDescent="0.25">
      <c r="A16" s="295">
        <v>2.1</v>
      </c>
      <c r="B16" s="295" t="s">
        <v>242</v>
      </c>
    </row>
    <row r="17" spans="1:2" s="295" customFormat="1" x14ac:dyDescent="0.25">
      <c r="B17" s="295" t="s">
        <v>243</v>
      </c>
    </row>
    <row r="18" spans="1:2" s="295" customFormat="1" x14ac:dyDescent="0.25">
      <c r="B18" s="295" t="s">
        <v>244</v>
      </c>
    </row>
    <row r="19" spans="1:2" s="295" customFormat="1" x14ac:dyDescent="0.25"/>
    <row r="20" spans="1:2" s="295" customFormat="1" x14ac:dyDescent="0.25">
      <c r="A20" s="213" t="s">
        <v>235</v>
      </c>
    </row>
    <row r="21" spans="1:2" s="295" customFormat="1" x14ac:dyDescent="0.25">
      <c r="A21" s="295">
        <v>2.1</v>
      </c>
      <c r="B21" s="295" t="s">
        <v>245</v>
      </c>
    </row>
  </sheetData>
  <pageMargins left="0.7" right="0.7" top="0.75" bottom="0.75" header="0.3" footer="0.3"/>
  <pageSetup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dimension ref="A1:T23"/>
  <sheetViews>
    <sheetView zoomScale="70" zoomScaleNormal="70" workbookViewId="0">
      <selection activeCell="E15" sqref="E15"/>
    </sheetView>
  </sheetViews>
  <sheetFormatPr defaultRowHeight="15" x14ac:dyDescent="0.25"/>
  <cols>
    <col min="1" max="1" width="4.140625" customWidth="1"/>
    <col min="2" max="2" width="4.42578125" customWidth="1"/>
    <col min="3" max="3" width="55.42578125" customWidth="1"/>
    <col min="4" max="4" width="14.7109375" customWidth="1"/>
    <col min="5" max="7" width="14.140625" customWidth="1"/>
    <col min="8" max="8" width="15.28515625" customWidth="1"/>
    <col min="9" max="9" width="16.42578125" customWidth="1"/>
    <col min="10" max="10" width="25.42578125" customWidth="1"/>
    <col min="12" max="12" width="9.140625" style="295"/>
    <col min="13" max="13" width="21.85546875" customWidth="1"/>
    <col min="14" max="14" width="20.42578125" customWidth="1"/>
    <col min="15" max="15" width="14" customWidth="1"/>
  </cols>
  <sheetData>
    <row r="1" spans="1:20" s="547" customFormat="1" x14ac:dyDescent="0.25">
      <c r="A1" s="488" t="s">
        <v>409</v>
      </c>
    </row>
    <row r="3" spans="1:20" x14ac:dyDescent="0.25">
      <c r="A3" s="61" t="s">
        <v>111</v>
      </c>
      <c r="B3" s="60"/>
      <c r="C3" s="60"/>
      <c r="E3" s="65">
        <v>1</v>
      </c>
      <c r="F3" s="65">
        <v>10</v>
      </c>
      <c r="G3" s="65">
        <v>50</v>
      </c>
      <c r="H3" s="65">
        <v>100</v>
      </c>
    </row>
    <row r="4" spans="1:20" x14ac:dyDescent="0.25">
      <c r="A4" s="61"/>
      <c r="B4" s="60">
        <v>2.2000000000000002</v>
      </c>
      <c r="C4" s="60" t="s">
        <v>53</v>
      </c>
      <c r="E4" s="200">
        <f>E17</f>
        <v>710000</v>
      </c>
      <c r="F4" s="218">
        <f>F17</f>
        <v>1121000</v>
      </c>
      <c r="G4" s="218">
        <f>G17</f>
        <v>1121000</v>
      </c>
      <c r="H4" s="200">
        <f>G17</f>
        <v>1121000</v>
      </c>
    </row>
    <row r="6" spans="1:20" x14ac:dyDescent="0.25">
      <c r="H6" s="216"/>
      <c r="I6" s="216"/>
      <c r="J6" s="254"/>
      <c r="K6" s="254"/>
      <c r="L6" s="254"/>
      <c r="M6" s="254"/>
      <c r="N6" s="254"/>
      <c r="O6" s="216"/>
      <c r="P6" s="216"/>
      <c r="Q6" s="216"/>
      <c r="R6" s="216"/>
      <c r="S6" s="216"/>
      <c r="T6" s="216"/>
    </row>
    <row r="7" spans="1:20" x14ac:dyDescent="0.25">
      <c r="H7" s="216"/>
      <c r="I7" s="216"/>
      <c r="J7" s="216"/>
      <c r="K7" s="254"/>
      <c r="L7" s="254"/>
      <c r="M7" s="254"/>
      <c r="N7" s="254"/>
      <c r="O7" s="216"/>
      <c r="P7" s="216"/>
      <c r="Q7" s="216"/>
      <c r="R7" s="216"/>
      <c r="S7" s="216"/>
      <c r="T7" s="216"/>
    </row>
    <row r="8" spans="1:20" ht="15" customHeight="1" x14ac:dyDescent="0.25">
      <c r="A8" s="198" t="s">
        <v>250</v>
      </c>
      <c r="C8" s="199"/>
      <c r="D8" s="215"/>
      <c r="E8" s="215" t="s">
        <v>85</v>
      </c>
      <c r="F8" s="230" t="s">
        <v>88</v>
      </c>
      <c r="G8" s="317" t="s">
        <v>246</v>
      </c>
      <c r="H8" s="312"/>
      <c r="I8" s="310"/>
      <c r="J8" s="751"/>
      <c r="K8" s="751"/>
      <c r="L8" s="751"/>
      <c r="M8" s="216"/>
      <c r="N8" s="216"/>
      <c r="O8" s="216"/>
      <c r="P8" s="216"/>
      <c r="Q8" s="216"/>
    </row>
    <row r="9" spans="1:20" x14ac:dyDescent="0.25">
      <c r="A9" s="213"/>
      <c r="B9" s="54"/>
      <c r="C9" s="57"/>
      <c r="E9" s="295"/>
      <c r="F9" s="307"/>
      <c r="G9" s="311"/>
      <c r="H9" s="311"/>
      <c r="I9" s="305"/>
      <c r="J9" s="752"/>
      <c r="K9" s="752"/>
      <c r="L9" s="752"/>
      <c r="M9" s="216"/>
      <c r="N9" s="216"/>
      <c r="O9" s="216"/>
      <c r="P9" s="216"/>
      <c r="Q9" s="216"/>
    </row>
    <row r="10" spans="1:20" ht="15" customHeight="1" x14ac:dyDescent="0.25">
      <c r="A10" s="213"/>
      <c r="B10" s="54"/>
      <c r="C10" s="431" t="s">
        <v>264</v>
      </c>
      <c r="D10" s="66"/>
      <c r="E10" s="66">
        <v>237500</v>
      </c>
      <c r="F10" s="465">
        <f>E10</f>
        <v>237500</v>
      </c>
      <c r="G10" s="465">
        <f>E10</f>
        <v>237500</v>
      </c>
      <c r="H10" s="308"/>
      <c r="I10" s="308"/>
      <c r="J10" s="309"/>
      <c r="K10" s="309"/>
      <c r="L10" s="308"/>
      <c r="M10" s="216"/>
      <c r="N10" s="216"/>
      <c r="O10" s="216"/>
      <c r="P10" s="216"/>
      <c r="Q10" s="216"/>
    </row>
    <row r="11" spans="1:20" x14ac:dyDescent="0.25">
      <c r="A11" s="213"/>
      <c r="B11" s="54"/>
      <c r="C11" s="431" t="s">
        <v>265</v>
      </c>
      <c r="D11" s="66"/>
      <c r="E11" s="66">
        <v>237500</v>
      </c>
      <c r="F11" s="465">
        <f t="shared" ref="F11:F14" si="0">E11</f>
        <v>237500</v>
      </c>
      <c r="G11" s="465">
        <f t="shared" ref="G11:G14" si="1">E11</f>
        <v>237500</v>
      </c>
      <c r="H11" s="308"/>
      <c r="I11" s="308"/>
      <c r="J11" s="308"/>
      <c r="K11" s="31"/>
      <c r="L11" s="50"/>
      <c r="M11" s="216"/>
      <c r="N11" s="216"/>
      <c r="O11" s="216"/>
      <c r="P11" s="216"/>
      <c r="Q11" s="216"/>
    </row>
    <row r="12" spans="1:20" x14ac:dyDescent="0.25">
      <c r="A12" s="213"/>
      <c r="B12" s="54"/>
      <c r="C12" s="431" t="s">
        <v>261</v>
      </c>
      <c r="D12" s="66"/>
      <c r="E12" s="66">
        <v>112500</v>
      </c>
      <c r="F12" s="465">
        <f t="shared" si="0"/>
        <v>112500</v>
      </c>
      <c r="G12" s="465">
        <f t="shared" si="1"/>
        <v>112500</v>
      </c>
      <c r="H12" s="308"/>
      <c r="I12" s="308"/>
      <c r="J12" s="308"/>
      <c r="K12" s="31"/>
      <c r="L12" s="50"/>
      <c r="M12" s="216"/>
      <c r="N12" s="216"/>
      <c r="O12" s="216"/>
      <c r="P12" s="216"/>
      <c r="Q12" s="216"/>
    </row>
    <row r="13" spans="1:20" s="420" customFormat="1" x14ac:dyDescent="0.25">
      <c r="A13" s="425"/>
      <c r="B13" s="430"/>
      <c r="C13" s="431" t="s">
        <v>266</v>
      </c>
      <c r="D13" s="422"/>
      <c r="E13" s="422">
        <v>80000</v>
      </c>
      <c r="F13" s="465">
        <f t="shared" si="0"/>
        <v>80000</v>
      </c>
      <c r="G13" s="465">
        <f t="shared" si="1"/>
        <v>80000</v>
      </c>
      <c r="H13" s="408"/>
      <c r="I13" s="408"/>
      <c r="J13" s="408"/>
      <c r="K13" s="429"/>
      <c r="L13" s="428"/>
      <c r="M13" s="427"/>
      <c r="N13" s="427"/>
      <c r="O13" s="427"/>
      <c r="P13" s="427"/>
      <c r="Q13" s="427"/>
    </row>
    <row r="14" spans="1:20" x14ac:dyDescent="0.25">
      <c r="A14" s="213"/>
      <c r="B14" s="54"/>
      <c r="C14" s="431" t="s">
        <v>267</v>
      </c>
      <c r="D14" s="66"/>
      <c r="E14" s="66">
        <v>42500</v>
      </c>
      <c r="F14" s="465">
        <f t="shared" si="0"/>
        <v>42500</v>
      </c>
      <c r="G14" s="465">
        <f t="shared" si="1"/>
        <v>42500</v>
      </c>
      <c r="H14" s="308"/>
      <c r="I14" s="308"/>
      <c r="J14" s="308"/>
      <c r="K14" s="31"/>
      <c r="L14" s="50"/>
      <c r="M14" s="216"/>
      <c r="N14" s="216"/>
      <c r="O14" s="216"/>
      <c r="P14" s="216"/>
      <c r="Q14" s="216"/>
    </row>
    <row r="15" spans="1:20" s="295" customFormat="1" x14ac:dyDescent="0.25">
      <c r="A15" s="213"/>
      <c r="B15" s="54"/>
      <c r="C15" s="431" t="s">
        <v>249</v>
      </c>
      <c r="D15" s="66"/>
      <c r="E15" s="66"/>
      <c r="F15" s="422">
        <f>411000</f>
        <v>411000</v>
      </c>
      <c r="G15" s="465">
        <f>411000</f>
        <v>411000</v>
      </c>
      <c r="H15" s="308"/>
      <c r="I15" s="308"/>
      <c r="J15" s="308"/>
      <c r="K15" s="31"/>
      <c r="L15" s="50"/>
      <c r="M15" s="216"/>
      <c r="N15" s="216"/>
      <c r="O15" s="216"/>
      <c r="P15" s="216"/>
      <c r="Q15" s="216"/>
    </row>
    <row r="16" spans="1:20" s="295" customFormat="1" ht="15.75" x14ac:dyDescent="0.25">
      <c r="A16" s="213"/>
      <c r="B16" s="54"/>
      <c r="C16" s="306"/>
      <c r="D16" s="66"/>
      <c r="E16" s="66"/>
      <c r="F16" s="307"/>
      <c r="G16" s="309"/>
      <c r="H16" s="308"/>
      <c r="I16" s="308"/>
      <c r="J16" s="308"/>
      <c r="K16" s="31"/>
      <c r="L16" s="50"/>
      <c r="M16" s="216"/>
      <c r="N16" s="216"/>
      <c r="O16" s="216"/>
      <c r="P16" s="216"/>
      <c r="Q16" s="216"/>
    </row>
    <row r="17" spans="1:20" s="295" customFormat="1" x14ac:dyDescent="0.25">
      <c r="A17" s="213"/>
      <c r="B17" s="40"/>
      <c r="C17" s="318" t="s">
        <v>81</v>
      </c>
      <c r="D17" s="208"/>
      <c r="E17" s="208">
        <f>SUM(E10:E15)</f>
        <v>710000</v>
      </c>
      <c r="F17" s="208">
        <f>SUM(F10:F15)</f>
        <v>1121000</v>
      </c>
      <c r="G17" s="208">
        <f>SUM(G10:G15)</f>
        <v>1121000</v>
      </c>
      <c r="H17" s="31"/>
      <c r="I17" s="31"/>
      <c r="J17" s="31"/>
      <c r="K17" s="31"/>
      <c r="L17" s="50"/>
      <c r="M17" s="216"/>
      <c r="N17" s="216"/>
      <c r="O17" s="216"/>
      <c r="P17" s="216"/>
      <c r="Q17" s="216"/>
    </row>
    <row r="18" spans="1:20" s="295" customFormat="1" x14ac:dyDescent="0.25">
      <c r="A18" s="213"/>
      <c r="B18" s="40"/>
      <c r="C18" s="55"/>
      <c r="E18" s="307"/>
      <c r="F18" s="307"/>
      <c r="G18" s="388"/>
      <c r="H18" s="307"/>
      <c r="I18" s="31"/>
      <c r="J18" s="31"/>
      <c r="K18" s="31"/>
      <c r="L18" s="31"/>
      <c r="M18" s="31"/>
      <c r="N18" s="31"/>
      <c r="O18" s="50"/>
      <c r="P18" s="216"/>
      <c r="Q18" s="216"/>
      <c r="R18" s="216"/>
      <c r="S18" s="216"/>
      <c r="T18" s="216"/>
    </row>
    <row r="19" spans="1:20" x14ac:dyDescent="0.25">
      <c r="A19" s="213" t="s">
        <v>150</v>
      </c>
      <c r="B19" s="295"/>
      <c r="C19" s="295"/>
      <c r="H19" s="216"/>
      <c r="I19" s="216"/>
      <c r="J19" s="216"/>
      <c r="K19" s="216"/>
      <c r="L19" s="216"/>
      <c r="M19" s="216"/>
      <c r="N19" s="216"/>
      <c r="O19" s="216"/>
      <c r="P19" s="216"/>
      <c r="Q19" s="216"/>
      <c r="R19" s="216"/>
      <c r="S19" s="216"/>
      <c r="T19" s="216"/>
    </row>
    <row r="20" spans="1:20" x14ac:dyDescent="0.25">
      <c r="A20" s="295"/>
      <c r="B20" s="40">
        <v>2.2000000000000002</v>
      </c>
      <c r="C20" s="254" t="s">
        <v>251</v>
      </c>
      <c r="H20" s="216"/>
      <c r="I20" s="216"/>
      <c r="J20" s="216"/>
      <c r="K20" s="216"/>
      <c r="L20" s="216"/>
      <c r="M20" s="216"/>
      <c r="N20" s="216"/>
      <c r="O20" s="216"/>
      <c r="P20" s="216"/>
      <c r="Q20" s="216"/>
      <c r="R20" s="216"/>
      <c r="S20" s="216"/>
      <c r="T20" s="216"/>
    </row>
    <row r="21" spans="1:20" s="295" customFormat="1" x14ac:dyDescent="0.25"/>
    <row r="22" spans="1:20" x14ac:dyDescent="0.25">
      <c r="A22" s="213" t="s">
        <v>235</v>
      </c>
      <c r="B22" s="295"/>
      <c r="C22" s="295"/>
    </row>
    <row r="23" spans="1:20" x14ac:dyDescent="0.25">
      <c r="B23" s="40">
        <v>2.2000000000000002</v>
      </c>
      <c r="C23" s="295" t="s">
        <v>253</v>
      </c>
    </row>
  </sheetData>
  <mergeCells count="2">
    <mergeCell ref="J8:L8"/>
    <mergeCell ref="J9:L9"/>
  </mergeCell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dimension ref="A1:I80"/>
  <sheetViews>
    <sheetView topLeftCell="A20" zoomScale="70" zoomScaleNormal="70" workbookViewId="0">
      <selection activeCell="B77" sqref="B77"/>
    </sheetView>
  </sheetViews>
  <sheetFormatPr defaultRowHeight="15" x14ac:dyDescent="0.25"/>
  <cols>
    <col min="1" max="1" width="5.140625" customWidth="1"/>
    <col min="2" max="2" width="3.7109375" style="547" customWidth="1"/>
    <col min="3" max="3" width="37.42578125" customWidth="1"/>
    <col min="4" max="4" width="31.7109375" customWidth="1"/>
    <col min="5" max="5" width="18" bestFit="1" customWidth="1"/>
    <col min="6" max="7" width="14.5703125" customWidth="1"/>
    <col min="8" max="8" width="17.140625" customWidth="1"/>
    <col min="9" max="9" width="20.140625" customWidth="1"/>
    <col min="12" max="12" width="17.28515625" customWidth="1"/>
    <col min="13" max="13" width="25.7109375" customWidth="1"/>
    <col min="14" max="14" width="22.28515625" customWidth="1"/>
  </cols>
  <sheetData>
    <row r="1" spans="1:9" s="547" customFormat="1" x14ac:dyDescent="0.25">
      <c r="A1" s="488" t="s">
        <v>410</v>
      </c>
      <c r="B1" s="488"/>
    </row>
    <row r="2" spans="1:9" s="60" customFormat="1" x14ac:dyDescent="0.25">
      <c r="B2" s="547"/>
    </row>
    <row r="3" spans="1:9" s="60" customFormat="1" x14ac:dyDescent="0.25">
      <c r="A3" s="61" t="s">
        <v>111</v>
      </c>
      <c r="B3" s="488"/>
    </row>
    <row r="4" spans="1:9" s="60" customFormat="1" x14ac:dyDescent="0.25">
      <c r="B4" s="547"/>
      <c r="E4" s="60" t="s">
        <v>66</v>
      </c>
      <c r="F4" s="60">
        <v>1</v>
      </c>
      <c r="G4" s="60">
        <v>10</v>
      </c>
      <c r="H4" s="60">
        <v>50</v>
      </c>
      <c r="I4" s="60">
        <v>100</v>
      </c>
    </row>
    <row r="5" spans="1:9" x14ac:dyDescent="0.25">
      <c r="C5">
        <v>2.2999999999999998</v>
      </c>
      <c r="D5" t="s">
        <v>54</v>
      </c>
      <c r="F5" s="43">
        <f>D72</f>
        <v>26569</v>
      </c>
      <c r="G5" s="525">
        <f t="shared" ref="G5:I5" si="0">E72</f>
        <v>265690</v>
      </c>
      <c r="H5" s="525">
        <f t="shared" si="0"/>
        <v>562320</v>
      </c>
      <c r="I5" s="525">
        <f t="shared" si="0"/>
        <v>1124640</v>
      </c>
    </row>
    <row r="6" spans="1:9" s="547" customFormat="1" x14ac:dyDescent="0.25">
      <c r="F6" s="525"/>
      <c r="G6" s="525"/>
      <c r="H6" s="525"/>
      <c r="I6" s="525"/>
    </row>
    <row r="8" spans="1:9" s="547" customFormat="1" x14ac:dyDescent="0.25">
      <c r="A8" s="488"/>
      <c r="B8" s="488"/>
    </row>
    <row r="9" spans="1:9" s="547" customFormat="1" x14ac:dyDescent="0.25">
      <c r="A9" s="488" t="s">
        <v>442</v>
      </c>
      <c r="B9" s="488"/>
    </row>
    <row r="10" spans="1:9" s="547" customFormat="1" x14ac:dyDescent="0.25">
      <c r="D10" s="464"/>
    </row>
    <row r="11" spans="1:9" s="547" customFormat="1" x14ac:dyDescent="0.25">
      <c r="C11" s="547" t="s">
        <v>438</v>
      </c>
      <c r="D11" s="86">
        <v>8000</v>
      </c>
    </row>
    <row r="12" spans="1:9" s="547" customFormat="1" x14ac:dyDescent="0.25">
      <c r="C12" s="547" t="s">
        <v>439</v>
      </c>
      <c r="D12" s="86">
        <v>3000</v>
      </c>
    </row>
    <row r="13" spans="1:9" s="547" customFormat="1" x14ac:dyDescent="0.25">
      <c r="C13" s="547" t="s">
        <v>440</v>
      </c>
      <c r="D13" s="86">
        <v>3000</v>
      </c>
    </row>
    <row r="14" spans="1:9" s="547" customFormat="1" x14ac:dyDescent="0.25">
      <c r="C14" s="547" t="s">
        <v>415</v>
      </c>
      <c r="D14" s="86">
        <v>800</v>
      </c>
    </row>
    <row r="15" spans="1:9" s="547" customFormat="1" x14ac:dyDescent="0.25">
      <c r="C15" s="547" t="s">
        <v>441</v>
      </c>
      <c r="D15" s="86">
        <v>1500</v>
      </c>
    </row>
    <row r="16" spans="1:9" s="547" customFormat="1" x14ac:dyDescent="0.25">
      <c r="D16" s="86"/>
    </row>
    <row r="17" spans="1:4" s="547" customFormat="1" x14ac:dyDescent="0.25">
      <c r="C17" s="331" t="s">
        <v>81</v>
      </c>
      <c r="D17" s="668">
        <f>SUM(D11:D15)</f>
        <v>16300</v>
      </c>
    </row>
    <row r="18" spans="1:4" s="547" customFormat="1" x14ac:dyDescent="0.25">
      <c r="D18" s="464"/>
    </row>
    <row r="19" spans="1:4" s="547" customFormat="1" ht="17.25" customHeight="1" x14ac:dyDescent="0.25">
      <c r="A19" s="488" t="s">
        <v>443</v>
      </c>
      <c r="B19" s="488"/>
      <c r="D19" s="464"/>
    </row>
    <row r="20" spans="1:4" s="547" customFormat="1" x14ac:dyDescent="0.25">
      <c r="D20" s="464"/>
    </row>
    <row r="21" spans="1:4" s="547" customFormat="1" x14ac:dyDescent="0.25">
      <c r="C21" s="547" t="s">
        <v>438</v>
      </c>
      <c r="D21" s="86">
        <v>8000</v>
      </c>
    </row>
    <row r="22" spans="1:4" s="547" customFormat="1" x14ac:dyDescent="0.25">
      <c r="C22" s="547" t="s">
        <v>439</v>
      </c>
      <c r="D22" s="86">
        <v>3000</v>
      </c>
    </row>
    <row r="23" spans="1:4" s="547" customFormat="1" x14ac:dyDescent="0.25">
      <c r="C23" s="547" t="s">
        <v>415</v>
      </c>
      <c r="D23" s="86">
        <v>800</v>
      </c>
    </row>
    <row r="24" spans="1:4" s="547" customFormat="1" x14ac:dyDescent="0.25">
      <c r="C24" s="547" t="s">
        <v>441</v>
      </c>
      <c r="D24" s="86">
        <v>1000</v>
      </c>
    </row>
    <row r="25" spans="1:4" s="547" customFormat="1" x14ac:dyDescent="0.25">
      <c r="D25" s="86"/>
    </row>
    <row r="26" spans="1:4" s="547" customFormat="1" x14ac:dyDescent="0.25">
      <c r="C26" s="331" t="s">
        <v>81</v>
      </c>
      <c r="D26" s="668">
        <f>SUM(D21:D24)</f>
        <v>12800</v>
      </c>
    </row>
    <row r="27" spans="1:4" s="547" customFormat="1" x14ac:dyDescent="0.25">
      <c r="A27" s="488"/>
      <c r="B27" s="488"/>
    </row>
    <row r="28" spans="1:4" s="547" customFormat="1" x14ac:dyDescent="0.25">
      <c r="A28" s="488" t="s">
        <v>444</v>
      </c>
      <c r="B28" s="488"/>
    </row>
    <row r="29" spans="1:4" s="547" customFormat="1" x14ac:dyDescent="0.25">
      <c r="A29" s="488"/>
      <c r="B29" s="488"/>
      <c r="C29" s="547" t="s">
        <v>445</v>
      </c>
      <c r="D29" s="547">
        <v>10</v>
      </c>
    </row>
    <row r="30" spans="1:4" s="547" customFormat="1" x14ac:dyDescent="0.25">
      <c r="A30" s="488"/>
      <c r="B30" s="488"/>
      <c r="C30" s="547" t="s">
        <v>446</v>
      </c>
      <c r="D30" s="595">
        <v>30</v>
      </c>
    </row>
    <row r="31" spans="1:4" s="547" customFormat="1" x14ac:dyDescent="0.25">
      <c r="A31" s="488"/>
      <c r="B31" s="488"/>
      <c r="C31" s="547" t="s">
        <v>447</v>
      </c>
      <c r="D31" s="547">
        <v>12</v>
      </c>
    </row>
    <row r="32" spans="1:4" s="547" customFormat="1" x14ac:dyDescent="0.25">
      <c r="A32" s="488"/>
      <c r="B32" s="488"/>
      <c r="C32" s="547" t="s">
        <v>466</v>
      </c>
      <c r="D32" s="426">
        <v>0.3</v>
      </c>
    </row>
    <row r="33" spans="1:5" s="547" customFormat="1" x14ac:dyDescent="0.25">
      <c r="A33" s="488"/>
      <c r="B33" s="488"/>
      <c r="C33" s="547" t="s">
        <v>448</v>
      </c>
      <c r="D33" s="457">
        <f>D29*D30*D31*(1+D32)</f>
        <v>4680</v>
      </c>
    </row>
    <row r="34" spans="1:5" s="547" customFormat="1" x14ac:dyDescent="0.25">
      <c r="A34" s="488"/>
      <c r="B34" s="488"/>
      <c r="C34" s="547" t="s">
        <v>441</v>
      </c>
      <c r="D34" s="457">
        <v>1000</v>
      </c>
    </row>
    <row r="35" spans="1:5" s="547" customFormat="1" x14ac:dyDescent="0.25">
      <c r="A35" s="488"/>
      <c r="B35" s="488"/>
    </row>
    <row r="36" spans="1:5" s="547" customFormat="1" x14ac:dyDescent="0.25">
      <c r="A36" s="488"/>
      <c r="B36" s="488"/>
      <c r="C36" s="331" t="s">
        <v>81</v>
      </c>
      <c r="D36" s="208">
        <f>D34+D33</f>
        <v>5680</v>
      </c>
    </row>
    <row r="37" spans="1:5" s="547" customFormat="1" x14ac:dyDescent="0.25">
      <c r="A37" s="488"/>
      <c r="B37" s="488"/>
      <c r="C37" s="548"/>
      <c r="D37" s="669"/>
    </row>
    <row r="38" spans="1:5" s="547" customFormat="1" x14ac:dyDescent="0.25">
      <c r="A38" s="488" t="s">
        <v>462</v>
      </c>
      <c r="B38" s="488"/>
      <c r="C38" s="548"/>
      <c r="D38" s="670" t="s">
        <v>463</v>
      </c>
      <c r="E38" s="101"/>
    </row>
    <row r="39" spans="1:5" s="547" customFormat="1" x14ac:dyDescent="0.25">
      <c r="A39" s="488"/>
      <c r="B39" s="462" t="s">
        <v>38</v>
      </c>
      <c r="C39" s="548"/>
      <c r="D39" s="669"/>
    </row>
    <row r="40" spans="1:5" s="547" customFormat="1" x14ac:dyDescent="0.25">
      <c r="A40" s="488"/>
      <c r="B40" s="488"/>
      <c r="C40" s="548" t="s">
        <v>464</v>
      </c>
      <c r="D40" s="671">
        <v>0.13</v>
      </c>
    </row>
    <row r="41" spans="1:5" s="547" customFormat="1" x14ac:dyDescent="0.25">
      <c r="A41" s="488"/>
      <c r="B41" s="488"/>
      <c r="C41" s="550" t="s">
        <v>332</v>
      </c>
      <c r="D41" s="671">
        <v>0.2</v>
      </c>
    </row>
    <row r="42" spans="1:5" s="547" customFormat="1" x14ac:dyDescent="0.25">
      <c r="A42" s="488"/>
      <c r="B42" s="488"/>
      <c r="C42" s="550" t="s">
        <v>34</v>
      </c>
      <c r="D42" s="671">
        <v>0.1</v>
      </c>
    </row>
    <row r="43" spans="1:5" s="547" customFormat="1" x14ac:dyDescent="0.25">
      <c r="A43" s="488"/>
      <c r="B43" s="488"/>
      <c r="C43" s="550" t="s">
        <v>39</v>
      </c>
      <c r="D43" s="671">
        <v>0.13</v>
      </c>
    </row>
    <row r="44" spans="1:5" s="547" customFormat="1" x14ac:dyDescent="0.25">
      <c r="A44" s="488"/>
      <c r="B44" s="488"/>
      <c r="C44" s="550" t="s">
        <v>41</v>
      </c>
      <c r="D44" s="671">
        <v>7.0000000000000007E-2</v>
      </c>
    </row>
    <row r="45" spans="1:5" s="547" customFormat="1" x14ac:dyDescent="0.25">
      <c r="A45" s="488"/>
      <c r="B45" s="488"/>
      <c r="C45" s="548"/>
      <c r="D45" s="669"/>
    </row>
    <row r="46" spans="1:5" s="547" customFormat="1" x14ac:dyDescent="0.25">
      <c r="A46" s="488"/>
      <c r="B46" s="222" t="s">
        <v>81</v>
      </c>
      <c r="C46" s="222"/>
      <c r="D46" s="672">
        <f>SUM(D40:D44)</f>
        <v>0.63000000000000012</v>
      </c>
    </row>
    <row r="47" spans="1:5" s="547" customFormat="1" x14ac:dyDescent="0.25">
      <c r="A47" s="488"/>
      <c r="B47" s="488"/>
      <c r="C47" s="548"/>
      <c r="D47" s="669"/>
    </row>
    <row r="48" spans="1:5" s="547" customFormat="1" x14ac:dyDescent="0.25">
      <c r="A48" s="488" t="s">
        <v>458</v>
      </c>
    </row>
    <row r="49" spans="1:7" s="547" customFormat="1" x14ac:dyDescent="0.25">
      <c r="B49" s="547" t="s">
        <v>450</v>
      </c>
      <c r="D49" s="547">
        <v>0.1</v>
      </c>
    </row>
    <row r="50" spans="1:7" s="547" customFormat="1" x14ac:dyDescent="0.25">
      <c r="B50" s="547" t="s">
        <v>451</v>
      </c>
      <c r="D50" s="547">
        <v>0.25</v>
      </c>
    </row>
    <row r="51" spans="1:7" s="547" customFormat="1" x14ac:dyDescent="0.25"/>
    <row r="52" spans="1:7" s="547" customFormat="1" x14ac:dyDescent="0.25">
      <c r="B52" s="547" t="s">
        <v>81</v>
      </c>
      <c r="D52" s="547">
        <f>D49+D50</f>
        <v>0.35</v>
      </c>
    </row>
    <row r="53" spans="1:7" s="547" customFormat="1" x14ac:dyDescent="0.25"/>
    <row r="54" spans="1:7" s="547" customFormat="1" x14ac:dyDescent="0.25">
      <c r="D54" s="547" t="s">
        <v>99</v>
      </c>
      <c r="E54" s="547" t="s">
        <v>88</v>
      </c>
      <c r="F54" s="547" t="s">
        <v>89</v>
      </c>
      <c r="G54" s="547" t="s">
        <v>90</v>
      </c>
    </row>
    <row r="55" spans="1:7" s="547" customFormat="1" x14ac:dyDescent="0.25">
      <c r="B55" s="547" t="s">
        <v>452</v>
      </c>
      <c r="D55" s="547">
        <f>D52*1</f>
        <v>0.35</v>
      </c>
      <c r="E55" s="547">
        <f>D55*10</f>
        <v>3.5</v>
      </c>
      <c r="F55" s="547">
        <f>D55*50</f>
        <v>17.5</v>
      </c>
      <c r="G55" s="547">
        <f>D55*100</f>
        <v>35</v>
      </c>
    </row>
    <row r="56" spans="1:7" s="547" customFormat="1" x14ac:dyDescent="0.25">
      <c r="B56" s="547" t="s">
        <v>437</v>
      </c>
      <c r="D56" s="525">
        <f>D17</f>
        <v>16300</v>
      </c>
      <c r="E56" s="525">
        <f>D17</f>
        <v>16300</v>
      </c>
      <c r="F56" s="525">
        <f>D36</f>
        <v>5680</v>
      </c>
      <c r="G56" s="525">
        <f t="shared" ref="G56" si="1">F56</f>
        <v>5680</v>
      </c>
    </row>
    <row r="57" spans="1:7" s="547" customFormat="1" x14ac:dyDescent="0.25">
      <c r="B57" s="547" t="s">
        <v>453</v>
      </c>
      <c r="D57" s="525">
        <f>D56*D55</f>
        <v>5705</v>
      </c>
      <c r="E57" s="525">
        <f t="shared" ref="E57:G57" si="2">E56*E55</f>
        <v>57050</v>
      </c>
      <c r="F57" s="525">
        <f t="shared" si="2"/>
        <v>99400</v>
      </c>
      <c r="G57" s="525">
        <f t="shared" si="2"/>
        <v>198800</v>
      </c>
    </row>
    <row r="58" spans="1:7" s="547" customFormat="1" x14ac:dyDescent="0.25"/>
    <row r="59" spans="1:7" s="547" customFormat="1" x14ac:dyDescent="0.25">
      <c r="A59" s="488" t="s">
        <v>459</v>
      </c>
    </row>
    <row r="60" spans="1:7" s="547" customFormat="1" x14ac:dyDescent="0.25">
      <c r="B60" s="547" t="s">
        <v>455</v>
      </c>
      <c r="D60" s="547">
        <v>1</v>
      </c>
    </row>
    <row r="61" spans="1:7" s="547" customFormat="1" x14ac:dyDescent="0.25">
      <c r="B61" s="547" t="s">
        <v>449</v>
      </c>
      <c r="D61" s="547">
        <v>0.5</v>
      </c>
    </row>
    <row r="62" spans="1:7" s="547" customFormat="1" x14ac:dyDescent="0.25">
      <c r="B62" s="547" t="s">
        <v>456</v>
      </c>
      <c r="D62" s="547">
        <v>2</v>
      </c>
    </row>
    <row r="63" spans="1:7" s="547" customFormat="1" x14ac:dyDescent="0.25">
      <c r="B63" s="547" t="s">
        <v>460</v>
      </c>
      <c r="D63" s="673">
        <f>D46</f>
        <v>0.63000000000000012</v>
      </c>
    </row>
    <row r="64" spans="1:7" s="547" customFormat="1" x14ac:dyDescent="0.25"/>
    <row r="65" spans="1:7" s="547" customFormat="1" x14ac:dyDescent="0.25">
      <c r="B65" s="547" t="s">
        <v>81</v>
      </c>
      <c r="D65" s="290">
        <f>D60/D62+D61+D63</f>
        <v>1.6300000000000001</v>
      </c>
    </row>
    <row r="66" spans="1:7" s="547" customFormat="1" x14ac:dyDescent="0.25"/>
    <row r="67" spans="1:7" s="547" customFormat="1" x14ac:dyDescent="0.25">
      <c r="D67" s="547" t="s">
        <v>99</v>
      </c>
      <c r="E67" s="547" t="s">
        <v>88</v>
      </c>
      <c r="F67" s="547" t="s">
        <v>89</v>
      </c>
      <c r="G67" s="547" t="s">
        <v>90</v>
      </c>
    </row>
    <row r="68" spans="1:7" s="547" customFormat="1" x14ac:dyDescent="0.25">
      <c r="B68" s="547" t="s">
        <v>457</v>
      </c>
      <c r="D68" s="290">
        <f>D65</f>
        <v>1.6300000000000001</v>
      </c>
      <c r="E68" s="547">
        <f>D68*10</f>
        <v>16.3</v>
      </c>
      <c r="F68" s="547">
        <f>E68*5</f>
        <v>81.5</v>
      </c>
      <c r="G68" s="547">
        <f>F68*2</f>
        <v>163</v>
      </c>
    </row>
    <row r="69" spans="1:7" s="547" customFormat="1" x14ac:dyDescent="0.25">
      <c r="B69" s="547" t="s">
        <v>437</v>
      </c>
      <c r="D69" s="525">
        <f>D26</f>
        <v>12800</v>
      </c>
      <c r="E69" s="525">
        <f>D69</f>
        <v>12800</v>
      </c>
      <c r="F69" s="525">
        <f>D36</f>
        <v>5680</v>
      </c>
      <c r="G69" s="525">
        <f t="shared" ref="G69" si="3">F69</f>
        <v>5680</v>
      </c>
    </row>
    <row r="70" spans="1:7" s="547" customFormat="1" x14ac:dyDescent="0.25">
      <c r="B70" s="547" t="s">
        <v>453</v>
      </c>
      <c r="D70" s="525">
        <f>D69*D68</f>
        <v>20864</v>
      </c>
      <c r="E70" s="525">
        <f t="shared" ref="E70:G70" si="4">E69*E68</f>
        <v>208640</v>
      </c>
      <c r="F70" s="525">
        <f t="shared" si="4"/>
        <v>462920</v>
      </c>
      <c r="G70" s="525">
        <f t="shared" si="4"/>
        <v>925840</v>
      </c>
    </row>
    <row r="71" spans="1:7" s="547" customFormat="1" x14ac:dyDescent="0.25">
      <c r="D71" s="525"/>
      <c r="E71" s="525"/>
      <c r="F71" s="525"/>
      <c r="G71" s="525"/>
    </row>
    <row r="72" spans="1:7" s="547" customFormat="1" x14ac:dyDescent="0.25">
      <c r="B72" s="331" t="s">
        <v>461</v>
      </c>
      <c r="C72" s="331"/>
      <c r="D72" s="334">
        <f>D70+D57</f>
        <v>26569</v>
      </c>
      <c r="E72" s="334">
        <f t="shared" ref="E72:G72" si="5">E70+E57</f>
        <v>265690</v>
      </c>
      <c r="F72" s="334">
        <f t="shared" si="5"/>
        <v>562320</v>
      </c>
      <c r="G72" s="334">
        <f t="shared" si="5"/>
        <v>1124640</v>
      </c>
    </row>
    <row r="73" spans="1:7" s="547" customFormat="1" x14ac:dyDescent="0.25">
      <c r="D73" s="525"/>
      <c r="E73" s="525"/>
      <c r="F73" s="525"/>
      <c r="G73" s="525"/>
    </row>
    <row r="74" spans="1:7" s="547" customFormat="1" x14ac:dyDescent="0.25">
      <c r="D74" s="525"/>
      <c r="E74" s="525"/>
      <c r="F74" s="525"/>
      <c r="G74" s="525"/>
    </row>
    <row r="75" spans="1:7" s="547" customFormat="1" x14ac:dyDescent="0.25">
      <c r="A75" s="488" t="s">
        <v>150</v>
      </c>
      <c r="D75" s="525"/>
      <c r="E75" s="525"/>
      <c r="F75" s="525"/>
      <c r="G75" s="525"/>
    </row>
    <row r="76" spans="1:7" s="547" customFormat="1" x14ac:dyDescent="0.25">
      <c r="A76" s="547">
        <v>2.2999999999999998</v>
      </c>
      <c r="B76" s="547" t="s">
        <v>521</v>
      </c>
      <c r="D76" s="525"/>
      <c r="E76" s="525"/>
      <c r="F76" s="525"/>
      <c r="G76" s="525"/>
    </row>
    <row r="78" spans="1:7" s="547" customFormat="1" x14ac:dyDescent="0.25"/>
    <row r="79" spans="1:7" x14ac:dyDescent="0.25">
      <c r="A79" s="439" t="s">
        <v>235</v>
      </c>
      <c r="B79" s="488"/>
    </row>
    <row r="80" spans="1:7" x14ac:dyDescent="0.25">
      <c r="A80">
        <v>2.2999999999999998</v>
      </c>
      <c r="B80" s="547" t="s">
        <v>323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N180"/>
  <sheetViews>
    <sheetView zoomScale="80" zoomScaleNormal="80" workbookViewId="0">
      <selection activeCell="H24" sqref="H24"/>
    </sheetView>
  </sheetViews>
  <sheetFormatPr defaultRowHeight="15" x14ac:dyDescent="0.25"/>
  <cols>
    <col min="1" max="1" width="35.7109375" customWidth="1"/>
    <col min="2" max="2" width="30.85546875" customWidth="1"/>
    <col min="3" max="3" width="21.28515625" customWidth="1"/>
    <col min="4" max="5" width="14.7109375" customWidth="1"/>
    <col min="6" max="7" width="12.7109375" customWidth="1"/>
    <col min="8" max="8" width="35.7109375" customWidth="1"/>
    <col min="9" max="14" width="12.7109375" customWidth="1"/>
  </cols>
  <sheetData>
    <row r="2" spans="1:14" x14ac:dyDescent="0.25">
      <c r="A2" s="259" t="s">
        <v>217</v>
      </c>
      <c r="B2">
        <v>0</v>
      </c>
      <c r="C2" t="s">
        <v>218</v>
      </c>
      <c r="D2" s="254"/>
      <c r="E2" s="254"/>
    </row>
    <row r="3" spans="1:14" x14ac:dyDescent="0.25">
      <c r="A3" s="254" t="s">
        <v>216</v>
      </c>
      <c r="B3" s="254">
        <v>1000</v>
      </c>
      <c r="C3" s="254"/>
      <c r="D3" s="252"/>
      <c r="E3" s="246"/>
    </row>
    <row r="4" spans="1:14" x14ac:dyDescent="0.25">
      <c r="A4" s="244" t="str">
        <f>IF(B3=1,"Total Cost ($)",IF(B3=1000,"Total Cost in Thousands ($)",IF(B3=1000000,"Total Cost in Millions ($)","CostBasisnotspecified")))</f>
        <v>Total Cost in Thousands ($)</v>
      </c>
      <c r="B4" s="246"/>
      <c r="C4" s="246"/>
      <c r="D4" s="246"/>
      <c r="E4" s="246"/>
    </row>
    <row r="5" spans="1:14" x14ac:dyDescent="0.25">
      <c r="A5" s="739"/>
      <c r="B5" s="320" t="s">
        <v>99</v>
      </c>
      <c r="C5" s="321" t="s">
        <v>88</v>
      </c>
      <c r="D5" s="322" t="s">
        <v>89</v>
      </c>
      <c r="E5" s="320" t="s">
        <v>90</v>
      </c>
    </row>
    <row r="6" spans="1:14" x14ac:dyDescent="0.25">
      <c r="A6" s="740"/>
      <c r="B6" s="320" t="s">
        <v>80</v>
      </c>
      <c r="C6" s="320" t="s">
        <v>80</v>
      </c>
      <c r="D6" s="320" t="s">
        <v>80</v>
      </c>
      <c r="E6" s="320" t="s">
        <v>80</v>
      </c>
    </row>
    <row r="7" spans="1:14" x14ac:dyDescent="0.25">
      <c r="A7" s="255" t="s">
        <v>101</v>
      </c>
      <c r="B7" s="256">
        <f>ROUND('CBS (Total)'!J4/B3,-B2)</f>
        <v>4553</v>
      </c>
      <c r="C7" s="256">
        <f>ROUND('CBS (Total)'!L4/B3,-B2)</f>
        <v>8774</v>
      </c>
      <c r="D7" s="256">
        <f>ROUND('CBS (Total)'!N4/B3,-B2)</f>
        <v>11003</v>
      </c>
      <c r="E7" s="256">
        <f>ROUND('CBS (Total)'!P4/B3,-B2)</f>
        <v>10820</v>
      </c>
    </row>
    <row r="8" spans="1:14" x14ac:dyDescent="0.25">
      <c r="A8" s="255" t="s">
        <v>10</v>
      </c>
      <c r="B8" s="256">
        <f>ROUND('CBS (Total)'!J12/B3,-B2)</f>
        <v>990</v>
      </c>
      <c r="C8" s="256">
        <f>ROUND('CBS (Total)'!L12/B3,-B2)</f>
        <v>4860</v>
      </c>
      <c r="D8" s="256">
        <f>ROUND('CBS (Total)'!N12/B3,-B2)</f>
        <v>7566</v>
      </c>
      <c r="E8" s="256">
        <f>ROUND('CBS (Total)'!P12/B3,-B2)</f>
        <v>17310</v>
      </c>
    </row>
    <row r="9" spans="1:14" x14ac:dyDescent="0.25">
      <c r="A9" s="255" t="s">
        <v>18</v>
      </c>
      <c r="B9" s="256">
        <f>ROUND('CBS (Total)'!J18/B3,-B2)</f>
        <v>525</v>
      </c>
      <c r="C9" s="256">
        <f>ROUND('CBS (Total)'!L18/B3,-B2)</f>
        <v>4723</v>
      </c>
      <c r="D9" s="256">
        <f>ROUND('CBS (Total)'!N18/B3,-B2)</f>
        <v>23615</v>
      </c>
      <c r="E9" s="256">
        <f>ROUND('CBS (Total)'!P18/B3,-B2)</f>
        <v>47230</v>
      </c>
    </row>
    <row r="10" spans="1:14" x14ac:dyDescent="0.25">
      <c r="A10" s="255" t="s">
        <v>27</v>
      </c>
      <c r="B10" s="256">
        <f>ROUND('CBS (Total)'!J24/B3,-B2)</f>
        <v>2939</v>
      </c>
      <c r="C10" s="256">
        <f>ROUND('CBS (Total)'!L24/B3,-B2)</f>
        <v>20675</v>
      </c>
      <c r="D10" s="256">
        <f>ROUND('CBS (Total)'!N24/B3,-B2)</f>
        <v>91548</v>
      </c>
      <c r="E10" s="256">
        <f>ROUND('CBS (Total)'!P24/B3,-B2)</f>
        <v>177933</v>
      </c>
    </row>
    <row r="11" spans="1:14" x14ac:dyDescent="0.25">
      <c r="A11" s="255" t="s">
        <v>32</v>
      </c>
      <c r="B11" s="256">
        <f>ROUND('CBS (Total)'!J29/B3,-B2)</f>
        <v>623</v>
      </c>
      <c r="C11" s="256">
        <f>ROUND('CBS (Total)'!L29/B3,-B2)</f>
        <v>4937</v>
      </c>
      <c r="D11" s="256">
        <f>ROUND('CBS (Total)'!N29/B3,-B2)</f>
        <v>21685</v>
      </c>
      <c r="E11" s="256">
        <f>ROUND('CBS (Total)'!P29/B3,-B2)</f>
        <v>41284</v>
      </c>
    </row>
    <row r="12" spans="1:14" s="253" customFormat="1" x14ac:dyDescent="0.25">
      <c r="A12" s="255" t="s">
        <v>72</v>
      </c>
      <c r="B12" s="256">
        <f>ROUND('CBS (Total)'!J43/B3,-B2)</f>
        <v>356</v>
      </c>
      <c r="C12" s="256">
        <f>ROUND('CBS (Total)'!L43/B3,-B2)</f>
        <v>2561</v>
      </c>
      <c r="D12" s="256">
        <f>ROUND('CBS (Total)'!N43/B3,-B2)</f>
        <v>11323</v>
      </c>
      <c r="E12" s="256">
        <f>ROUND('CBS (Total)'!P43/B3,-B2)</f>
        <v>21922</v>
      </c>
    </row>
    <row r="13" spans="1:14" x14ac:dyDescent="0.25">
      <c r="A13" s="255" t="s">
        <v>47</v>
      </c>
      <c r="B13" s="256">
        <f>ROUND('CBS (Total)'!J44/B3,-B2)</f>
        <v>5909</v>
      </c>
      <c r="C13" s="256">
        <f>ROUND('CBS (Total)'!L44/B3,-B2)</f>
        <v>9082</v>
      </c>
      <c r="D13" s="256">
        <f>ROUND('CBS (Total)'!N44/B3,-B2)</f>
        <v>21531</v>
      </c>
      <c r="E13" s="256">
        <f>ROUND('CBS (Total)'!P44/B3,-B2)</f>
        <v>37860</v>
      </c>
    </row>
    <row r="14" spans="1:14" x14ac:dyDescent="0.25">
      <c r="A14" s="255" t="s">
        <v>144</v>
      </c>
      <c r="B14" s="256">
        <f>ROUND('CBS (Total)'!J52/B3,-B2)</f>
        <v>1590</v>
      </c>
      <c r="C14" s="256">
        <f>ROUND('CBS (Total)'!L52/B3,-B2)</f>
        <v>5561</v>
      </c>
      <c r="D14" s="256">
        <f>ROUND('CBS (Total)'!N52/B3,-B2)</f>
        <v>18827</v>
      </c>
      <c r="E14" s="256">
        <f>ROUND('CBS (Total)'!P52/B3,-B2)</f>
        <v>35436</v>
      </c>
    </row>
    <row r="15" spans="1:14" x14ac:dyDescent="0.25">
      <c r="A15" s="255" t="s">
        <v>81</v>
      </c>
      <c r="B15" s="256">
        <f>SUM(B7:B14)</f>
        <v>17485</v>
      </c>
      <c r="C15" s="256">
        <f>SUM(C7:C14)</f>
        <v>61173</v>
      </c>
      <c r="D15" s="256">
        <f>SUM(D7:D14)</f>
        <v>207098</v>
      </c>
      <c r="E15" s="256">
        <f>SUM(E7:E14)</f>
        <v>389795</v>
      </c>
    </row>
    <row r="16" spans="1:14" s="257" customFormat="1" x14ac:dyDescent="0.25">
      <c r="A16" s="245"/>
      <c r="B16" s="248"/>
      <c r="C16" s="248"/>
      <c r="D16" s="248"/>
      <c r="E16" s="248"/>
      <c r="J16" s="272"/>
      <c r="L16" s="272"/>
      <c r="N16" s="272"/>
    </row>
    <row r="17" spans="1:14" s="257" customFormat="1" x14ac:dyDescent="0.25">
      <c r="A17" s="257" t="s">
        <v>217</v>
      </c>
      <c r="B17">
        <v>1</v>
      </c>
      <c r="C17" s="257" t="s">
        <v>218</v>
      </c>
      <c r="D17" s="248"/>
      <c r="E17" s="248"/>
      <c r="N17" s="272"/>
    </row>
    <row r="19" spans="1:14" s="257" customFormat="1" x14ac:dyDescent="0.25">
      <c r="A19" s="281" t="s">
        <v>0</v>
      </c>
    </row>
    <row r="20" spans="1:14" x14ac:dyDescent="0.25">
      <c r="A20" s="249"/>
      <c r="B20" s="320" t="s">
        <v>99</v>
      </c>
      <c r="C20" s="321" t="s">
        <v>88</v>
      </c>
      <c r="D20" s="322" t="s">
        <v>89</v>
      </c>
      <c r="E20" s="320" t="s">
        <v>90</v>
      </c>
    </row>
    <row r="21" spans="1:14" x14ac:dyDescent="0.25">
      <c r="A21" s="247"/>
      <c r="B21" s="320" t="s">
        <v>219</v>
      </c>
      <c r="C21" s="320" t="s">
        <v>219</v>
      </c>
      <c r="D21" s="320" t="s">
        <v>219</v>
      </c>
      <c r="E21" s="320" t="s">
        <v>219</v>
      </c>
    </row>
    <row r="22" spans="1:14" x14ac:dyDescent="0.25">
      <c r="A22" s="255" t="s">
        <v>101</v>
      </c>
      <c r="B22" s="258">
        <f>ROUND('CBS ($ per kW)'!J6,-B17)</f>
        <v>15920</v>
      </c>
      <c r="C22" s="258">
        <f>ROUND('CBS ($ per kW)'!L6,-B17)</f>
        <v>3070</v>
      </c>
      <c r="D22" s="258">
        <f>ROUND('CBS ($ per kW)'!N6,-B17)</f>
        <v>770</v>
      </c>
      <c r="E22" s="258">
        <f>ROUND('CBS ($ per kW)'!P6,-B17)</f>
        <v>380</v>
      </c>
    </row>
    <row r="23" spans="1:14" x14ac:dyDescent="0.25">
      <c r="A23" s="255" t="s">
        <v>10</v>
      </c>
      <c r="B23" s="258">
        <f>ROUND('CBS ($ per kW)'!J14,-B17)</f>
        <v>3460</v>
      </c>
      <c r="C23" s="258">
        <f>ROUND('CBS ($ per kW)'!L14,-B17)</f>
        <v>1700</v>
      </c>
      <c r="D23" s="258">
        <f>ROUND('CBS ($ per kW)'!N14,-B17)</f>
        <v>530</v>
      </c>
      <c r="E23" s="258">
        <f>ROUND('CBS ($ per kW)'!P14,-B17)</f>
        <v>610</v>
      </c>
    </row>
    <row r="24" spans="1:14" x14ac:dyDescent="0.25">
      <c r="A24" s="255" t="s">
        <v>18</v>
      </c>
      <c r="B24" s="258">
        <f>ROUND('CBS ($ per kW)'!J20,-B17)</f>
        <v>1830</v>
      </c>
      <c r="C24" s="258">
        <f>ROUND('CBS ($ per kW)'!L20,-B17)</f>
        <v>1650</v>
      </c>
      <c r="D24" s="258">
        <f>ROUND('CBS ($ per kW)'!N20,-B17)</f>
        <v>1650</v>
      </c>
      <c r="E24" s="258">
        <f>ROUND('CBS ($ per kW)'!P20,-B17)</f>
        <v>1650</v>
      </c>
    </row>
    <row r="25" spans="1:14" x14ac:dyDescent="0.25">
      <c r="A25" s="255" t="s">
        <v>27</v>
      </c>
      <c r="B25" s="258">
        <f>ROUND('CBS ($ per kW)'!J26,-B17)</f>
        <v>10280</v>
      </c>
      <c r="C25" s="258">
        <f>ROUND('CBS ($ per kW)'!L26,-B17)</f>
        <v>7230</v>
      </c>
      <c r="D25" s="258">
        <f>ROUND('CBS ($ per kW)'!N26,-B17)</f>
        <v>6400</v>
      </c>
      <c r="E25" s="258">
        <f>ROUND('CBS ($ per kW)'!P26,-B17)</f>
        <v>6220</v>
      </c>
    </row>
    <row r="26" spans="1:14" x14ac:dyDescent="0.25">
      <c r="A26" s="255" t="s">
        <v>32</v>
      </c>
      <c r="B26" s="258">
        <f>ROUND('CBS ($ per kW)'!J31,-B17)</f>
        <v>2180</v>
      </c>
      <c r="C26" s="258">
        <f>ROUND('CBS ($ per kW)'!L31,-B17)</f>
        <v>1730</v>
      </c>
      <c r="D26" s="258">
        <f>ROUND('CBS ($ per kW)'!N31,-B17)</f>
        <v>1520</v>
      </c>
      <c r="E26" s="258">
        <f>ROUND('CBS ($ per kW)'!P31,-B17)</f>
        <v>1440</v>
      </c>
    </row>
    <row r="27" spans="1:14" x14ac:dyDescent="0.25">
      <c r="A27" s="255" t="s">
        <v>72</v>
      </c>
      <c r="B27" s="258">
        <f>ROUND('CBS ($ per kW)'!J45,-B17)</f>
        <v>1250</v>
      </c>
      <c r="C27" s="258">
        <f>ROUND('CBS ($ per kW)'!L45,-B17)</f>
        <v>900</v>
      </c>
      <c r="D27" s="258">
        <f>ROUND('CBS ($ per kW)'!N45,-B17)</f>
        <v>790</v>
      </c>
      <c r="E27" s="258">
        <f>ROUND('CBS ($ per kW)'!P45,-B17)</f>
        <v>770</v>
      </c>
    </row>
    <row r="28" spans="1:14" x14ac:dyDescent="0.25">
      <c r="A28" s="255" t="s">
        <v>47</v>
      </c>
      <c r="B28" s="258">
        <f>ROUND('CBS ($ per kW)'!J46,-B17)</f>
        <v>20660</v>
      </c>
      <c r="C28" s="258">
        <f>ROUND('CBS ($ per kW)'!L46,-B17)</f>
        <v>3180</v>
      </c>
      <c r="D28" s="258">
        <f>ROUND('CBS ($ per kW)'!N46,-B17)</f>
        <v>1510</v>
      </c>
      <c r="E28" s="258">
        <f>ROUND('CBS ($ per kW)'!P46,-B17)</f>
        <v>1320</v>
      </c>
    </row>
    <row r="29" spans="1:14" x14ac:dyDescent="0.25">
      <c r="A29" s="255" t="s">
        <v>144</v>
      </c>
      <c r="B29" s="258">
        <f>ROUND('CBS ($ per kW)'!J54,-B17)</f>
        <v>5560</v>
      </c>
      <c r="C29" s="258">
        <f>ROUND('CBS ($ per kW)'!L54,-B17)</f>
        <v>1940</v>
      </c>
      <c r="D29" s="258">
        <f>ROUND('CBS ($ per kW)'!N54,-B17)</f>
        <v>1320</v>
      </c>
      <c r="E29" s="258">
        <f>ROUND('CBS ($ per kW)'!P54,-B17)</f>
        <v>1240</v>
      </c>
    </row>
    <row r="30" spans="1:14" x14ac:dyDescent="0.25">
      <c r="A30" s="255" t="s">
        <v>81</v>
      </c>
      <c r="B30" s="250">
        <f>SUM(B22:B29)</f>
        <v>61140</v>
      </c>
      <c r="C30" s="250">
        <f>SUM(C22:C29)</f>
        <v>21400</v>
      </c>
      <c r="D30" s="250">
        <f>SUM(D22:D29)</f>
        <v>14490</v>
      </c>
      <c r="E30" s="250">
        <f>SUM(E22:E29)</f>
        <v>13630</v>
      </c>
    </row>
    <row r="31" spans="1:14" s="295" customFormat="1" x14ac:dyDescent="0.25">
      <c r="A31" s="245"/>
      <c r="B31" s="303"/>
      <c r="C31" s="303"/>
      <c r="D31" s="303"/>
      <c r="E31" s="303"/>
    </row>
    <row r="32" spans="1:14" s="295" customFormat="1" x14ac:dyDescent="0.25">
      <c r="A32" s="245"/>
      <c r="B32" s="303"/>
      <c r="C32" s="303"/>
      <c r="D32" s="303"/>
      <c r="E32" s="303"/>
    </row>
    <row r="33" spans="1:7" s="295" customFormat="1" x14ac:dyDescent="0.25">
      <c r="A33" s="245"/>
      <c r="B33" s="303"/>
      <c r="C33" s="303"/>
      <c r="D33" s="303"/>
      <c r="E33" s="303"/>
    </row>
    <row r="34" spans="1:7" s="295" customFormat="1" x14ac:dyDescent="0.25">
      <c r="A34" t="s">
        <v>0</v>
      </c>
      <c r="B34"/>
      <c r="C34"/>
      <c r="D34"/>
      <c r="E34"/>
      <c r="F34"/>
      <c r="G34"/>
    </row>
    <row r="35" spans="1:7" s="295" customFormat="1" x14ac:dyDescent="0.25">
      <c r="A35" s="267"/>
      <c r="B35" s="741" t="s">
        <v>88</v>
      </c>
      <c r="C35" s="742"/>
      <c r="D35" s="741" t="s">
        <v>89</v>
      </c>
      <c r="E35" s="742"/>
      <c r="F35" s="741" t="s">
        <v>90</v>
      </c>
      <c r="G35" s="742"/>
    </row>
    <row r="36" spans="1:7" s="295" customFormat="1" x14ac:dyDescent="0.25">
      <c r="A36" s="265"/>
      <c r="B36" s="266" t="s">
        <v>220</v>
      </c>
      <c r="C36" s="266" t="s">
        <v>221</v>
      </c>
      <c r="D36" s="266" t="s">
        <v>220</v>
      </c>
      <c r="E36" s="266" t="s">
        <v>221</v>
      </c>
      <c r="F36" s="266" t="s">
        <v>220</v>
      </c>
      <c r="G36" s="266" t="s">
        <v>221</v>
      </c>
    </row>
    <row r="37" spans="1:7" s="295" customFormat="1" x14ac:dyDescent="0.25">
      <c r="A37" s="262" t="s">
        <v>101</v>
      </c>
      <c r="B37" s="264">
        <f>'CBS (CoE)'!L6</f>
        <v>14.095594212262061</v>
      </c>
      <c r="C37" s="263">
        <f t="shared" ref="C37:C44" si="0">B37/B$45</f>
        <v>0.14342719651329047</v>
      </c>
      <c r="D37" s="264">
        <f>'CBS (CoE)'!N6</f>
        <v>3.5354318802450253</v>
      </c>
      <c r="E37" s="274">
        <f t="shared" ref="E37:E44" si="1">D37/D$45</f>
        <v>5.3130037114327074E-2</v>
      </c>
      <c r="F37" s="261">
        <f>'CBS (CoE)'!P6</f>
        <v>1.7383000350521189</v>
      </c>
      <c r="G37" s="274">
        <f t="shared" ref="G37:G44" si="2">F37/F$45</f>
        <v>2.7758390895052016E-2</v>
      </c>
    </row>
    <row r="38" spans="1:7" s="295" customFormat="1" x14ac:dyDescent="0.25">
      <c r="A38" s="262" t="s">
        <v>10</v>
      </c>
      <c r="B38" s="264">
        <f>'CBS (CoE)'!L14</f>
        <v>7.807848098418134</v>
      </c>
      <c r="C38" s="274">
        <f t="shared" si="0"/>
        <v>7.9447361118238677E-2</v>
      </c>
      <c r="D38" s="264">
        <f>'CBS (CoE)'!N14</f>
        <v>2.4310361610136457</v>
      </c>
      <c r="E38" s="274">
        <f t="shared" si="1"/>
        <v>3.653331356280428E-2</v>
      </c>
      <c r="F38" s="261">
        <f>'CBS (CoE)'!P14</f>
        <v>2.7809434276464584</v>
      </c>
      <c r="G38" s="274">
        <f t="shared" si="2"/>
        <v>4.4408049913731776E-2</v>
      </c>
    </row>
    <row r="39" spans="1:7" s="295" customFormat="1" x14ac:dyDescent="0.25">
      <c r="A39" s="262" t="s">
        <v>18</v>
      </c>
      <c r="B39" s="264">
        <f>'CBS (CoE)'!L20</f>
        <v>7.5877101589766216</v>
      </c>
      <c r="C39" s="274">
        <f t="shared" si="0"/>
        <v>7.7207386908932765E-2</v>
      </c>
      <c r="D39" s="264">
        <f>'CBS (CoE)'!N20</f>
        <v>7.5877101589766198</v>
      </c>
      <c r="E39" s="274">
        <f t="shared" si="1"/>
        <v>0.11402717857803694</v>
      </c>
      <c r="F39" s="261">
        <f>'CBS (CoE)'!P20</f>
        <v>7.5877101589766198</v>
      </c>
      <c r="G39" s="274">
        <f t="shared" si="2"/>
        <v>0.12116586339763565</v>
      </c>
    </row>
    <row r="40" spans="1:7" s="295" customFormat="1" x14ac:dyDescent="0.25">
      <c r="A40" s="262" t="s">
        <v>27</v>
      </c>
      <c r="B40" s="264">
        <f>'CBS (CoE)'!L26</f>
        <v>33.214987764945512</v>
      </c>
      <c r="C40" s="274">
        <f t="shared" si="0"/>
        <v>0.33797316421078089</v>
      </c>
      <c r="D40" s="264">
        <f>'CBS (CoE)'!N26</f>
        <v>29.415466550481995</v>
      </c>
      <c r="E40" s="274">
        <f t="shared" si="1"/>
        <v>0.44205202716394615</v>
      </c>
      <c r="F40" s="261">
        <f>'CBS (CoE)'!P26</f>
        <v>28.585935060472888</v>
      </c>
      <c r="G40" s="274">
        <f t="shared" si="2"/>
        <v>0.45648020681618839</v>
      </c>
    </row>
    <row r="41" spans="1:7" s="295" customFormat="1" x14ac:dyDescent="0.25">
      <c r="A41" s="262" t="s">
        <v>32</v>
      </c>
      <c r="B41" s="264">
        <f>'CBS (CoE)'!L31</f>
        <v>7.9312851533045476</v>
      </c>
      <c r="C41" s="274">
        <f t="shared" si="0"/>
        <v>8.0703372781288266E-2</v>
      </c>
      <c r="D41" s="264">
        <f>'CBS (CoE)'!N31</f>
        <v>6.9674822573451678</v>
      </c>
      <c r="E41" s="274">
        <f t="shared" si="1"/>
        <v>0.10470646966630522</v>
      </c>
      <c r="F41" s="261">
        <f>'CBS (CoE)'!P31</f>
        <v>6.6324777800510972</v>
      </c>
      <c r="G41" s="274">
        <f t="shared" si="2"/>
        <v>0.10591204458894529</v>
      </c>
    </row>
    <row r="42" spans="1:7" s="295" customFormat="1" x14ac:dyDescent="0.25">
      <c r="A42" s="262" t="s">
        <v>72</v>
      </c>
      <c r="B42" s="264">
        <f>'CBS (CoE)'!L45</f>
        <v>4.1146272918250064</v>
      </c>
      <c r="C42" s="274">
        <f t="shared" si="0"/>
        <v>4.1867653699206919E-2</v>
      </c>
      <c r="D42" s="264">
        <f>'CBS (CoE)'!N45</f>
        <v>3.6382948807827162</v>
      </c>
      <c r="E42" s="274">
        <f t="shared" si="1"/>
        <v>5.4675849683025135E-2</v>
      </c>
      <c r="F42" s="261">
        <f>'CBS (CoE)'!P45</f>
        <v>3.5218412840523987</v>
      </c>
      <c r="G42" s="274">
        <f t="shared" si="2"/>
        <v>5.6239225140513376E-2</v>
      </c>
    </row>
    <row r="43" spans="1:7" s="295" customFormat="1" x14ac:dyDescent="0.25">
      <c r="A43" s="262" t="s">
        <v>47</v>
      </c>
      <c r="B43" s="264">
        <f>'CBS (CoE)'!L46</f>
        <v>14.590672187754933</v>
      </c>
      <c r="C43" s="274">
        <f t="shared" si="0"/>
        <v>0.14846477385917115</v>
      </c>
      <c r="D43" s="264">
        <f>'CBS (CoE)'!N46</f>
        <v>6.9182114042178782</v>
      </c>
      <c r="E43" s="274">
        <f t="shared" si="1"/>
        <v>0.10396603332246424</v>
      </c>
      <c r="F43" s="261">
        <f>'CBS (CoE)'!P46</f>
        <v>6.0823442984952329</v>
      </c>
      <c r="G43" s="274">
        <f t="shared" si="2"/>
        <v>9.712712833884253E-2</v>
      </c>
    </row>
    <row r="44" spans="1:7" s="295" customFormat="1" x14ac:dyDescent="0.25">
      <c r="A44" s="262" t="s">
        <v>144</v>
      </c>
      <c r="B44" s="264">
        <f>'CBS (CoE)'!L54</f>
        <v>8.9342724867486805</v>
      </c>
      <c r="C44" s="274">
        <f t="shared" si="0"/>
        <v>9.0909090909090898E-2</v>
      </c>
      <c r="D44" s="264">
        <f>'CBS (CoE)'!N54</f>
        <v>6.0493633293063054</v>
      </c>
      <c r="E44" s="274">
        <f t="shared" si="1"/>
        <v>9.0909090909090912E-2</v>
      </c>
      <c r="F44" s="261">
        <f>'CBS (CoE)'!P54</f>
        <v>5.692955204474683</v>
      </c>
      <c r="G44" s="274">
        <f t="shared" si="2"/>
        <v>9.0909090909090925E-2</v>
      </c>
    </row>
    <row r="45" spans="1:7" s="295" customFormat="1" x14ac:dyDescent="0.25">
      <c r="A45" s="262" t="s">
        <v>81</v>
      </c>
      <c r="B45" s="264">
        <f>SUM(B37:B44)</f>
        <v>98.27699735423549</v>
      </c>
      <c r="C45" s="260"/>
      <c r="D45" s="264">
        <f>SUM(D37:D44)</f>
        <v>66.542996622369358</v>
      </c>
      <c r="E45" s="260"/>
      <c r="F45" s="264">
        <f>SUM(F37:F44)</f>
        <v>62.622507249221499</v>
      </c>
      <c r="G45" s="260"/>
    </row>
    <row r="46" spans="1:7" s="295" customFormat="1" x14ac:dyDescent="0.25">
      <c r="A46" s="245"/>
      <c r="B46" s="303"/>
      <c r="C46" s="303"/>
      <c r="D46" s="303"/>
      <c r="E46" s="303"/>
    </row>
    <row r="47" spans="1:7" x14ac:dyDescent="0.25">
      <c r="A47" t="s">
        <v>217</v>
      </c>
      <c r="B47">
        <v>0</v>
      </c>
      <c r="C47" t="s">
        <v>218</v>
      </c>
    </row>
    <row r="48" spans="1:7" x14ac:dyDescent="0.25">
      <c r="A48" t="s">
        <v>216</v>
      </c>
      <c r="B48">
        <v>1000</v>
      </c>
    </row>
    <row r="49" spans="1:5" x14ac:dyDescent="0.25">
      <c r="A49" s="280" t="str">
        <f>IF(B48=1,"Annual Cost ($)",IF(B48=1000,"Annual Cost in Thousands ($)",IF(B48=1000000,"Annual Cost in Millions ($)","CostBasisnotspecified")))</f>
        <v>Annual Cost in Thousands ($)</v>
      </c>
    </row>
    <row r="50" spans="1:5" x14ac:dyDescent="0.25">
      <c r="A50" s="745"/>
      <c r="B50" s="320" t="s">
        <v>99</v>
      </c>
      <c r="C50" s="321" t="s">
        <v>88</v>
      </c>
      <c r="D50" s="322" t="s">
        <v>89</v>
      </c>
      <c r="E50" s="320" t="s">
        <v>90</v>
      </c>
    </row>
    <row r="51" spans="1:5" x14ac:dyDescent="0.25">
      <c r="A51" s="746"/>
      <c r="B51" s="320" t="s">
        <v>224</v>
      </c>
      <c r="C51" s="320" t="s">
        <v>224</v>
      </c>
      <c r="D51" s="320" t="s">
        <v>224</v>
      </c>
      <c r="E51" s="320" t="s">
        <v>224</v>
      </c>
    </row>
    <row r="52" spans="1:5" x14ac:dyDescent="0.25">
      <c r="A52" s="268" t="s">
        <v>52</v>
      </c>
      <c r="B52" s="269">
        <f>ROUND('CBS (Total)'!J57/B48,-B47)</f>
        <v>227</v>
      </c>
      <c r="C52" s="269">
        <f>ROUND('CBS (Total)'!L57/B48,-B47)</f>
        <v>937</v>
      </c>
      <c r="D52" s="269">
        <f>ROUND('CBS (Total)'!N57/B48,-B47)</f>
        <v>1773</v>
      </c>
      <c r="E52" s="269">
        <f>ROUND('CBS (Total)'!P57/B48,-B47)</f>
        <v>1718</v>
      </c>
    </row>
    <row r="53" spans="1:5" x14ac:dyDescent="0.25">
      <c r="A53" s="268" t="s">
        <v>223</v>
      </c>
      <c r="B53" s="269">
        <f>ROUND('CBS (Total)'!J58/B48,-B47)</f>
        <v>710</v>
      </c>
      <c r="C53" s="269">
        <f>ROUND('CBS (Total)'!L58/B48,-B47)</f>
        <v>1121</v>
      </c>
      <c r="D53" s="269">
        <f>ROUND('CBS (Total)'!N58/B48,-B47)</f>
        <v>1121</v>
      </c>
      <c r="E53" s="269">
        <f>ROUND('CBS (Total)'!P58/B48,-B47)</f>
        <v>1121</v>
      </c>
    </row>
    <row r="54" spans="1:5" x14ac:dyDescent="0.25">
      <c r="A54" s="268" t="s">
        <v>54</v>
      </c>
      <c r="B54" s="269">
        <f>ROUND('CBS (Total)'!J59/B48,-B47)</f>
        <v>27</v>
      </c>
      <c r="C54" s="269">
        <f>ROUND('CBS (Total)'!L59/B48,-B47)</f>
        <v>266</v>
      </c>
      <c r="D54" s="269">
        <f>ROUND('CBS (Total)'!N59/B48,-B47)</f>
        <v>562</v>
      </c>
      <c r="E54" s="269">
        <f>ROUND('CBS (Total)'!P59/B48,-B47)</f>
        <v>1125</v>
      </c>
    </row>
    <row r="55" spans="1:5" x14ac:dyDescent="0.25">
      <c r="A55" s="268" t="s">
        <v>55</v>
      </c>
      <c r="B55" s="269">
        <f>ROUND('CBS (Total)'!J60/B48,-B47)</f>
        <v>142</v>
      </c>
      <c r="C55" s="269">
        <f>ROUND('CBS (Total)'!L60/B48,-B47)</f>
        <v>400</v>
      </c>
      <c r="D55" s="269">
        <f>ROUND('CBS (Total)'!N60/B48,-B47)</f>
        <v>455</v>
      </c>
      <c r="E55" s="269">
        <f>ROUND('CBS (Total)'!P60/B48,-B47)</f>
        <v>675</v>
      </c>
    </row>
    <row r="56" spans="1:5" x14ac:dyDescent="0.25">
      <c r="A56" s="268" t="s">
        <v>56</v>
      </c>
      <c r="B56" s="269">
        <f>ROUND('CBS (Total)'!J61/B48,-B47)</f>
        <v>54</v>
      </c>
      <c r="C56" s="269">
        <f>ROUND('CBS (Total)'!L61/B48,-B47)</f>
        <v>491</v>
      </c>
      <c r="D56" s="269">
        <f>ROUND('CBS (Total)'!N61/B48,-B47)</f>
        <v>2305</v>
      </c>
      <c r="E56" s="269">
        <f>ROUND('CBS (Total)'!P61/B48,-B47)</f>
        <v>3921</v>
      </c>
    </row>
    <row r="57" spans="1:5" x14ac:dyDescent="0.25">
      <c r="A57" s="268" t="s">
        <v>57</v>
      </c>
      <c r="B57" s="269">
        <f>ROUND('CBS (Total)'!J62/B48,-B47)</f>
        <v>8</v>
      </c>
      <c r="C57" s="269">
        <f>ROUND('CBS (Total)'!L62/B48,-B47)</f>
        <v>80</v>
      </c>
      <c r="D57" s="269">
        <f>ROUND('CBS (Total)'!N62/B48,-B47)</f>
        <v>400</v>
      </c>
      <c r="E57" s="269">
        <f>ROUND('CBS (Total)'!P62/B48,-B47)</f>
        <v>800</v>
      </c>
    </row>
    <row r="58" spans="1:5" x14ac:dyDescent="0.25">
      <c r="A58" s="268" t="s">
        <v>81</v>
      </c>
      <c r="B58" s="269">
        <f>SUM(B52:B57)</f>
        <v>1168</v>
      </c>
      <c r="C58" s="269">
        <f t="shared" ref="C58:E58" si="3">SUM(C52:C57)</f>
        <v>3295</v>
      </c>
      <c r="D58" s="269">
        <f t="shared" si="3"/>
        <v>6616</v>
      </c>
      <c r="E58" s="269">
        <f t="shared" si="3"/>
        <v>9360</v>
      </c>
    </row>
    <row r="60" spans="1:5" x14ac:dyDescent="0.25">
      <c r="A60" t="s">
        <v>217</v>
      </c>
      <c r="B60">
        <v>1</v>
      </c>
      <c r="C60" t="s">
        <v>218</v>
      </c>
    </row>
    <row r="62" spans="1:5" x14ac:dyDescent="0.25">
      <c r="A62" t="s">
        <v>227</v>
      </c>
    </row>
    <row r="63" spans="1:5" x14ac:dyDescent="0.25">
      <c r="A63" s="745"/>
      <c r="B63" s="320" t="s">
        <v>99</v>
      </c>
      <c r="C63" s="321" t="s">
        <v>88</v>
      </c>
      <c r="D63" s="322" t="s">
        <v>89</v>
      </c>
      <c r="E63" s="320" t="s">
        <v>90</v>
      </c>
    </row>
    <row r="64" spans="1:5" x14ac:dyDescent="0.25">
      <c r="A64" s="746"/>
      <c r="B64" s="320" t="s">
        <v>222</v>
      </c>
      <c r="C64" s="320" t="s">
        <v>222</v>
      </c>
      <c r="D64" s="320" t="s">
        <v>222</v>
      </c>
      <c r="E64" s="320" t="s">
        <v>222</v>
      </c>
    </row>
    <row r="65" spans="1:7" x14ac:dyDescent="0.25">
      <c r="A65" s="270" t="s">
        <v>52</v>
      </c>
      <c r="B65" s="271">
        <f>ROUND('CBS ($ per kW)'!J59,-B60)</f>
        <v>790</v>
      </c>
      <c r="C65" s="271">
        <f>ROUND('CBS ($ per kW)'!L59,-B60)</f>
        <v>330</v>
      </c>
      <c r="D65" s="271">
        <f>ROUND('CBS ($ per kW)'!N59,-B60)</f>
        <v>120</v>
      </c>
      <c r="E65" s="271">
        <f>ROUND('CBS ($ per kW)'!P59,-B60)</f>
        <v>60</v>
      </c>
    </row>
    <row r="66" spans="1:7" x14ac:dyDescent="0.25">
      <c r="A66" s="270" t="s">
        <v>223</v>
      </c>
      <c r="B66" s="271">
        <f>ROUND('CBS ($ per kW)'!J60,-B60)</f>
        <v>2480</v>
      </c>
      <c r="C66" s="271">
        <f>ROUND('CBS ($ per kW)'!L60,-B60)</f>
        <v>390</v>
      </c>
      <c r="D66" s="271">
        <f>ROUND('CBS ($ per kW)'!N60,-B60)</f>
        <v>80</v>
      </c>
      <c r="E66" s="271">
        <f>ROUND('CBS ($ per kW)'!P60,-B60)</f>
        <v>40</v>
      </c>
    </row>
    <row r="67" spans="1:7" x14ac:dyDescent="0.25">
      <c r="A67" s="270" t="s">
        <v>54</v>
      </c>
      <c r="B67" s="271">
        <f>ROUND('CBS ($ per kW)'!J61,-B60)</f>
        <v>90</v>
      </c>
      <c r="C67" s="271">
        <f>ROUND('CBS ($ per kW)'!L61,-B60)</f>
        <v>90</v>
      </c>
      <c r="D67" s="271">
        <f>ROUND('CBS ($ per kW)'!N61,-B60)</f>
        <v>40</v>
      </c>
      <c r="E67" s="271">
        <f>ROUND('CBS ($ per kW)'!P61,-B60)</f>
        <v>40</v>
      </c>
    </row>
    <row r="68" spans="1:7" x14ac:dyDescent="0.25">
      <c r="A68" s="270" t="s">
        <v>55</v>
      </c>
      <c r="B68" s="271">
        <f>ROUND('CBS ($ per kW)'!J62,-B60)</f>
        <v>490</v>
      </c>
      <c r="C68" s="271">
        <f>ROUND('CBS ($ per kW)'!L62,-B60)</f>
        <v>140</v>
      </c>
      <c r="D68" s="271">
        <f>ROUND('CBS ($ per kW)'!N62,-B60)</f>
        <v>30</v>
      </c>
      <c r="E68" s="271">
        <f>ROUND('CBS ($ per kW)'!P62,-B60)</f>
        <v>20</v>
      </c>
    </row>
    <row r="69" spans="1:7" x14ac:dyDescent="0.25">
      <c r="A69" s="270" t="s">
        <v>56</v>
      </c>
      <c r="B69" s="271">
        <f>ROUND('CBS ($ per kW)'!J63,-B60)</f>
        <v>190</v>
      </c>
      <c r="C69" s="271">
        <f>ROUND('CBS ($ per kW)'!L63,-B60)</f>
        <v>170</v>
      </c>
      <c r="D69" s="271">
        <f>ROUND('CBS ($ per kW)'!N63,-B60)</f>
        <v>160</v>
      </c>
      <c r="E69" s="271">
        <f>ROUND('CBS ($ per kW)'!P63,-B60)</f>
        <v>140</v>
      </c>
    </row>
    <row r="70" spans="1:7" x14ac:dyDescent="0.25">
      <c r="A70" s="270" t="s">
        <v>57</v>
      </c>
      <c r="B70" s="271">
        <f>ROUND('CBS ($ per kW)'!J64,-B60)</f>
        <v>30</v>
      </c>
      <c r="C70" s="271">
        <f>ROUND('CBS ($ per kW)'!L64,-B60)</f>
        <v>30</v>
      </c>
      <c r="D70" s="271">
        <f>ROUND('CBS ($ per kW)'!N64,-B60)</f>
        <v>30</v>
      </c>
      <c r="E70" s="271">
        <f>ROUND('CBS ($ per kW)'!P64,-B60)</f>
        <v>30</v>
      </c>
    </row>
    <row r="71" spans="1:7" x14ac:dyDescent="0.25">
      <c r="A71" s="270" t="s">
        <v>81</v>
      </c>
      <c r="B71" s="271">
        <f>SUM(B65:B70)</f>
        <v>4070</v>
      </c>
      <c r="C71" s="271">
        <f t="shared" ref="C71:E71" si="4">SUM(C65:C70)</f>
        <v>1150</v>
      </c>
      <c r="D71" s="271">
        <f t="shared" si="4"/>
        <v>460</v>
      </c>
      <c r="E71" s="271">
        <f t="shared" si="4"/>
        <v>330</v>
      </c>
    </row>
    <row r="73" spans="1:7" x14ac:dyDescent="0.25">
      <c r="A73" s="281"/>
    </row>
    <row r="76" spans="1:7" x14ac:dyDescent="0.25">
      <c r="A76" t="s">
        <v>227</v>
      </c>
    </row>
    <row r="77" spans="1:7" x14ac:dyDescent="0.25">
      <c r="A77" s="743"/>
      <c r="B77" s="741" t="s">
        <v>88</v>
      </c>
      <c r="C77" s="742"/>
      <c r="D77" s="741" t="s">
        <v>89</v>
      </c>
      <c r="E77" s="742"/>
      <c r="F77" s="741" t="s">
        <v>90</v>
      </c>
      <c r="G77" s="742"/>
    </row>
    <row r="78" spans="1:7" x14ac:dyDescent="0.25">
      <c r="A78" s="744"/>
      <c r="B78" s="279" t="s">
        <v>220</v>
      </c>
      <c r="C78" s="279" t="s">
        <v>221</v>
      </c>
      <c r="D78" s="279" t="s">
        <v>220</v>
      </c>
      <c r="E78" s="279" t="s">
        <v>221</v>
      </c>
      <c r="F78" s="279" t="s">
        <v>220</v>
      </c>
      <c r="G78" s="279" t="s">
        <v>221</v>
      </c>
    </row>
    <row r="79" spans="1:7" x14ac:dyDescent="0.25">
      <c r="A79" s="275" t="s">
        <v>52</v>
      </c>
      <c r="B79" s="276">
        <f>'CBS (CoE)'!L59</f>
        <v>13.368137316315858</v>
      </c>
      <c r="C79" s="274">
        <f t="shared" ref="C79:C84" si="5">B79/B$85</f>
        <v>0.28432167324832686</v>
      </c>
      <c r="D79" s="276">
        <f>'CBS (CoE)'!N59</f>
        <v>5.0594956322368301</v>
      </c>
      <c r="E79" s="274">
        <f t="shared" ref="E79:E84" si="6">D79/D$85</f>
        <v>0.26793891096989364</v>
      </c>
      <c r="F79" s="276">
        <f>'CBS (CoE)'!P59</f>
        <v>2.4512703311756225</v>
      </c>
      <c r="G79" s="274">
        <f t="shared" ref="G79:G84" si="7">F79/F$85</f>
        <v>0.18353678649172359</v>
      </c>
    </row>
    <row r="80" spans="1:7" x14ac:dyDescent="0.25">
      <c r="A80" s="275" t="s">
        <v>223</v>
      </c>
      <c r="B80" s="276">
        <f>'CBS (CoE)'!L60</f>
        <v>15.997482995784392</v>
      </c>
      <c r="C80" s="274">
        <f t="shared" si="5"/>
        <v>0.34024419599368561</v>
      </c>
      <c r="D80" s="276">
        <f>'CBS (CoE)'!N60</f>
        <v>3.1994965991568778</v>
      </c>
      <c r="E80" s="274">
        <f t="shared" si="6"/>
        <v>0.16943776548947601</v>
      </c>
      <c r="F80" s="276">
        <f>'CBS (CoE)'!P60</f>
        <v>1.5997482995784389</v>
      </c>
      <c r="G80" s="274">
        <f t="shared" si="7"/>
        <v>0.11977979677150091</v>
      </c>
    </row>
    <row r="81" spans="1:7" x14ac:dyDescent="0.25">
      <c r="A81" s="275" t="s">
        <v>54</v>
      </c>
      <c r="B81" s="276">
        <f>'CBS (CoE)'!L61</f>
        <v>3.7915889894290409</v>
      </c>
      <c r="C81" s="274">
        <f t="shared" si="5"/>
        <v>8.0641820190510555E-2</v>
      </c>
      <c r="D81" s="276">
        <f>'CBS (CoE)'!N61</f>
        <v>1.6049428435663653</v>
      </c>
      <c r="E81" s="274">
        <f t="shared" si="6"/>
        <v>8.4993973496915384E-2</v>
      </c>
      <c r="F81" s="276">
        <f>'CBS (CoE)'!P61</f>
        <v>1.6049428435663653</v>
      </c>
      <c r="G81" s="274">
        <f t="shared" si="7"/>
        <v>0.12016873384576342</v>
      </c>
    </row>
    <row r="82" spans="1:7" x14ac:dyDescent="0.25">
      <c r="A82" s="275" t="s">
        <v>55</v>
      </c>
      <c r="B82" s="276">
        <f>'CBS (CoE)'!L62</f>
        <v>5.7073767702069818</v>
      </c>
      <c r="C82" s="274">
        <f t="shared" si="5"/>
        <v>0.12138795965114242</v>
      </c>
      <c r="D82" s="276">
        <f>'CBS (CoE)'!N62</f>
        <v>1.2977569203067254</v>
      </c>
      <c r="E82" s="274">
        <f t="shared" si="6"/>
        <v>6.8726134224746507E-2</v>
      </c>
      <c r="F82" s="276">
        <f>'CBS (CoE)'!P62</f>
        <v>0.96275164526119583</v>
      </c>
      <c r="G82" s="274">
        <f t="shared" si="7"/>
        <v>7.2085212680771407E-2</v>
      </c>
    </row>
    <row r="83" spans="1:7" x14ac:dyDescent="0.25">
      <c r="A83" s="275" t="s">
        <v>56</v>
      </c>
      <c r="B83" s="276">
        <f>'CBS (CoE)'!L63</f>
        <v>7.0114073021206185</v>
      </c>
      <c r="C83" s="274">
        <f t="shared" si="5"/>
        <v>0.14912287394979135</v>
      </c>
      <c r="D83" s="276">
        <f>'CBS (CoE)'!N63</f>
        <v>6.5796693047091832</v>
      </c>
      <c r="E83" s="274">
        <f t="shared" si="6"/>
        <v>0.34844370984591727</v>
      </c>
      <c r="F83" s="276">
        <f>'CBS (CoE)'!P63</f>
        <v>5.5953728404413763</v>
      </c>
      <c r="G83" s="274">
        <f t="shared" si="7"/>
        <v>0.41894879454815259</v>
      </c>
    </row>
    <row r="84" spans="1:7" x14ac:dyDescent="0.25">
      <c r="A84" s="275" t="s">
        <v>57</v>
      </c>
      <c r="B84" s="276">
        <f>'CBS (CoE)'!L64</f>
        <v>1.1416580193244883</v>
      </c>
      <c r="C84" s="274">
        <f t="shared" si="5"/>
        <v>2.428147696654313E-2</v>
      </c>
      <c r="D84" s="276">
        <f>'CBS (CoE)'!N64</f>
        <v>1.1416580193244881</v>
      </c>
      <c r="E84" s="274">
        <f t="shared" si="6"/>
        <v>6.0459505973051206E-2</v>
      </c>
      <c r="F84" s="276">
        <f>'CBS (CoE)'!P64</f>
        <v>1.1416580193244881</v>
      </c>
      <c r="G84" s="274">
        <f t="shared" si="7"/>
        <v>8.5480675662088071E-2</v>
      </c>
    </row>
    <row r="85" spans="1:7" x14ac:dyDescent="0.25">
      <c r="A85" s="275" t="s">
        <v>81</v>
      </c>
      <c r="B85" s="276">
        <f>SUM(B79:B84)</f>
        <v>47.017651393181382</v>
      </c>
      <c r="C85" s="273"/>
      <c r="D85" s="276">
        <f>SUM(D79:D84)</f>
        <v>18.88301931930047</v>
      </c>
      <c r="E85" s="277"/>
      <c r="F85" s="276">
        <f>SUM(F79:F84)</f>
        <v>13.355743979347487</v>
      </c>
      <c r="G85" s="278"/>
    </row>
    <row r="89" spans="1:7" x14ac:dyDescent="0.25">
      <c r="A89" t="s">
        <v>228</v>
      </c>
    </row>
    <row r="90" spans="1:7" x14ac:dyDescent="0.25">
      <c r="A90" s="304"/>
      <c r="B90" s="741" t="s">
        <v>88</v>
      </c>
      <c r="C90" s="742"/>
      <c r="D90" s="741" t="s">
        <v>89</v>
      </c>
      <c r="E90" s="742"/>
      <c r="F90" s="741" t="s">
        <v>90</v>
      </c>
      <c r="G90" s="742"/>
    </row>
    <row r="91" spans="1:7" x14ac:dyDescent="0.25">
      <c r="A91" s="288"/>
      <c r="B91" s="289" t="s">
        <v>220</v>
      </c>
      <c r="C91" s="289" t="s">
        <v>221</v>
      </c>
      <c r="D91" s="289" t="s">
        <v>220</v>
      </c>
      <c r="E91" s="289" t="s">
        <v>221</v>
      </c>
      <c r="F91" s="289" t="s">
        <v>220</v>
      </c>
      <c r="G91" s="289" t="s">
        <v>221</v>
      </c>
    </row>
    <row r="92" spans="1:7" x14ac:dyDescent="0.25">
      <c r="A92" s="284" t="s">
        <v>225</v>
      </c>
      <c r="B92" s="285">
        <f>B39+B40+B41+B42</f>
        <v>52.848610369051691</v>
      </c>
      <c r="C92" s="283">
        <f t="shared" ref="C92:C97" si="8">B92/B$98</f>
        <v>0.3637340454356634</v>
      </c>
      <c r="D92" s="285">
        <f>D39+D40+D41+D42</f>
        <v>47.608953847586498</v>
      </c>
      <c r="E92" s="283">
        <f t="shared" ref="E92:E97" si="9">D92/D$98</f>
        <v>0.55731211765856681</v>
      </c>
      <c r="F92" s="285">
        <f>F39+F40+F41+F42</f>
        <v>46.327964283553008</v>
      </c>
      <c r="G92" s="283">
        <f t="shared" ref="G92:G97" si="10">F92/F$98</f>
        <v>0.60975296923039723</v>
      </c>
    </row>
    <row r="93" spans="1:7" x14ac:dyDescent="0.25">
      <c r="A93" s="284" t="s">
        <v>10</v>
      </c>
      <c r="B93" s="285">
        <f>B38</f>
        <v>7.807848098418134</v>
      </c>
      <c r="C93" s="283">
        <f t="shared" si="8"/>
        <v>5.3738029347463807E-2</v>
      </c>
      <c r="D93" s="285">
        <f>D38</f>
        <v>2.4310361610136457</v>
      </c>
      <c r="E93" s="283">
        <f t="shared" si="9"/>
        <v>2.8457796307316891E-2</v>
      </c>
      <c r="F93" s="285">
        <f>F38</f>
        <v>2.7809434276464584</v>
      </c>
      <c r="G93" s="283">
        <f t="shared" si="10"/>
        <v>3.6601835165703069E-2</v>
      </c>
    </row>
    <row r="94" spans="1:7" x14ac:dyDescent="0.25">
      <c r="A94" s="284" t="s">
        <v>101</v>
      </c>
      <c r="B94" s="285">
        <f>B37</f>
        <v>14.095594212262061</v>
      </c>
      <c r="C94" s="283">
        <f t="shared" si="8"/>
        <v>9.7013856558242018E-2</v>
      </c>
      <c r="D94" s="285">
        <f>D37</f>
        <v>3.5354318802450253</v>
      </c>
      <c r="E94" s="283">
        <f t="shared" si="9"/>
        <v>4.1385892122829088E-2</v>
      </c>
      <c r="F94" s="285">
        <f>F37</f>
        <v>1.7383000350521189</v>
      </c>
      <c r="G94" s="283">
        <f t="shared" si="10"/>
        <v>2.2878916096959228E-2</v>
      </c>
    </row>
    <row r="95" spans="1:7" x14ac:dyDescent="0.25">
      <c r="A95" s="284" t="s">
        <v>47</v>
      </c>
      <c r="B95" s="285">
        <f>B43</f>
        <v>14.590672187754933</v>
      </c>
      <c r="C95" s="283">
        <f t="shared" si="8"/>
        <v>0.10042126336751499</v>
      </c>
      <c r="D95" s="285">
        <f>D43</f>
        <v>6.9182114042178782</v>
      </c>
      <c r="E95" s="283">
        <f t="shared" si="9"/>
        <v>8.0984830299726696E-2</v>
      </c>
      <c r="F95" s="285">
        <f>F43</f>
        <v>6.0823442984952329</v>
      </c>
      <c r="G95" s="283">
        <f t="shared" si="10"/>
        <v>8.0053754859366638E-2</v>
      </c>
    </row>
    <row r="96" spans="1:7" x14ac:dyDescent="0.25">
      <c r="A96" s="284" t="s">
        <v>144</v>
      </c>
      <c r="B96" s="285">
        <f>B44</f>
        <v>8.9342724867486805</v>
      </c>
      <c r="C96" s="283">
        <f t="shared" si="8"/>
        <v>6.1490719470888411E-2</v>
      </c>
      <c r="D96" s="285">
        <f>D44</f>
        <v>6.0493633293063054</v>
      </c>
      <c r="E96" s="283">
        <f t="shared" si="9"/>
        <v>7.0814063638843947E-2</v>
      </c>
      <c r="F96" s="285">
        <f>F44</f>
        <v>5.692955204474683</v>
      </c>
      <c r="G96" s="283">
        <f t="shared" si="10"/>
        <v>7.4928747535242632E-2</v>
      </c>
    </row>
    <row r="97" spans="1:8" x14ac:dyDescent="0.25">
      <c r="A97" s="284" t="s">
        <v>226</v>
      </c>
      <c r="B97" s="285">
        <f>B85</f>
        <v>47.017651393181382</v>
      </c>
      <c r="C97" s="283">
        <f t="shared" si="8"/>
        <v>0.32360208582022731</v>
      </c>
      <c r="D97" s="285">
        <f>D85</f>
        <v>18.88301931930047</v>
      </c>
      <c r="E97" s="283">
        <f t="shared" si="9"/>
        <v>0.22104529997271649</v>
      </c>
      <c r="F97" s="285">
        <f>F85</f>
        <v>13.355743979347487</v>
      </c>
      <c r="G97" s="283">
        <f t="shared" si="10"/>
        <v>0.17578377711233137</v>
      </c>
    </row>
    <row r="98" spans="1:8" x14ac:dyDescent="0.25">
      <c r="A98" s="284" t="s">
        <v>81</v>
      </c>
      <c r="B98" s="285">
        <f>SUM(B92:B97)</f>
        <v>145.29464874741689</v>
      </c>
      <c r="C98" s="282"/>
      <c r="D98" s="285">
        <f>SUM(D92:D97)</f>
        <v>85.426015941669831</v>
      </c>
      <c r="E98" s="286"/>
      <c r="F98" s="285">
        <f>SUM(F92:F97)</f>
        <v>75.978251228568979</v>
      </c>
      <c r="G98" s="287"/>
    </row>
    <row r="100" spans="1:8" x14ac:dyDescent="0.25">
      <c r="A100" s="451"/>
      <c r="B100" s="451"/>
      <c r="C100" s="451"/>
      <c r="D100" s="451"/>
      <c r="E100" s="451"/>
      <c r="F100" s="451"/>
      <c r="G100" s="451"/>
      <c r="H100" s="451"/>
    </row>
    <row r="101" spans="1:8" ht="15" customHeight="1" x14ac:dyDescent="0.25">
      <c r="A101" s="451"/>
      <c r="B101" s="451"/>
      <c r="C101" s="451"/>
      <c r="D101" s="451"/>
      <c r="E101" s="451"/>
      <c r="F101" s="451"/>
      <c r="G101" s="451"/>
      <c r="H101" s="451"/>
    </row>
    <row r="102" spans="1:8" ht="14.25" customHeight="1" x14ac:dyDescent="0.25">
      <c r="A102" s="380"/>
      <c r="B102" s="436"/>
      <c r="C102" s="407"/>
      <c r="D102" s="407"/>
      <c r="E102" s="407"/>
      <c r="F102" s="407"/>
      <c r="G102" s="451"/>
      <c r="H102" s="451"/>
    </row>
    <row r="103" spans="1:8" x14ac:dyDescent="0.25">
      <c r="A103" s="452"/>
      <c r="B103" s="452"/>
      <c r="C103" s="434"/>
      <c r="D103" s="434"/>
      <c r="E103" s="434"/>
      <c r="F103" s="434"/>
      <c r="G103" s="451"/>
      <c r="H103" s="451"/>
    </row>
    <row r="104" spans="1:8" x14ac:dyDescent="0.25">
      <c r="A104" s="452"/>
      <c r="B104" s="452"/>
      <c r="C104" s="434"/>
      <c r="D104" s="434"/>
      <c r="E104" s="434"/>
      <c r="F104" s="434"/>
      <c r="G104" s="451"/>
      <c r="H104" s="451"/>
    </row>
    <row r="105" spans="1:8" x14ac:dyDescent="0.25">
      <c r="A105" s="452"/>
      <c r="B105" s="434"/>
      <c r="C105" s="434"/>
      <c r="D105" s="434"/>
      <c r="E105" s="434"/>
      <c r="F105" s="434"/>
      <c r="G105" s="451"/>
      <c r="H105" s="451"/>
    </row>
    <row r="106" spans="1:8" x14ac:dyDescent="0.25">
      <c r="A106" s="452"/>
      <c r="B106" s="434"/>
      <c r="C106" s="434"/>
      <c r="D106" s="434"/>
      <c r="E106" s="434"/>
      <c r="F106" s="434"/>
      <c r="G106" s="451"/>
      <c r="H106" s="451"/>
    </row>
    <row r="107" spans="1:8" x14ac:dyDescent="0.25">
      <c r="A107" s="452"/>
      <c r="B107" s="434"/>
      <c r="C107" s="434"/>
      <c r="D107" s="434"/>
      <c r="E107" s="434"/>
      <c r="F107" s="434"/>
      <c r="G107" s="451"/>
      <c r="H107" s="451"/>
    </row>
    <row r="108" spans="1:8" x14ac:dyDescent="0.25">
      <c r="A108" s="452"/>
      <c r="B108" s="434"/>
      <c r="C108" s="434"/>
      <c r="D108" s="434"/>
      <c r="E108" s="434"/>
      <c r="F108" s="434"/>
      <c r="G108" s="451"/>
      <c r="H108" s="451"/>
    </row>
    <row r="109" spans="1:8" x14ac:dyDescent="0.25">
      <c r="A109" s="452"/>
      <c r="B109" s="434"/>
      <c r="C109" s="434"/>
      <c r="D109" s="434"/>
      <c r="E109" s="434"/>
      <c r="F109" s="434"/>
      <c r="G109" s="451"/>
      <c r="H109" s="451"/>
    </row>
    <row r="110" spans="1:8" x14ac:dyDescent="0.25">
      <c r="A110" s="452"/>
      <c r="B110" s="434"/>
      <c r="C110" s="434"/>
      <c r="D110" s="434"/>
      <c r="E110" s="434"/>
      <c r="F110" s="434"/>
      <c r="G110" s="451"/>
      <c r="H110" s="451"/>
    </row>
    <row r="111" spans="1:8" x14ac:dyDescent="0.25">
      <c r="A111" s="452"/>
      <c r="B111" s="434"/>
      <c r="C111" s="434"/>
      <c r="D111" s="434"/>
      <c r="E111" s="434"/>
      <c r="F111" s="434"/>
      <c r="G111" s="451"/>
      <c r="H111" s="451"/>
    </row>
    <row r="112" spans="1:8" x14ac:dyDescent="0.25">
      <c r="A112" s="452"/>
      <c r="B112" s="434"/>
      <c r="C112" s="434"/>
      <c r="D112" s="434"/>
      <c r="E112" s="434"/>
      <c r="F112" s="434"/>
      <c r="G112" s="451"/>
      <c r="H112" s="451"/>
    </row>
    <row r="113" spans="1:8" x14ac:dyDescent="0.25">
      <c r="A113" s="452"/>
      <c r="B113" s="452"/>
      <c r="C113" s="434"/>
      <c r="D113" s="434"/>
      <c r="E113" s="434"/>
      <c r="F113" s="434"/>
      <c r="G113" s="451"/>
      <c r="H113" s="451"/>
    </row>
    <row r="114" spans="1:8" x14ac:dyDescent="0.25">
      <c r="A114" s="452"/>
      <c r="B114" s="415"/>
      <c r="C114" s="434"/>
      <c r="D114" s="434"/>
      <c r="E114" s="434"/>
      <c r="F114" s="434"/>
      <c r="G114" s="451"/>
      <c r="H114" s="451"/>
    </row>
    <row r="115" spans="1:8" x14ac:dyDescent="0.25">
      <c r="A115" s="452"/>
      <c r="B115" s="452"/>
      <c r="C115" s="452"/>
      <c r="D115" s="452"/>
      <c r="E115" s="452"/>
      <c r="F115" s="452"/>
      <c r="G115" s="451"/>
      <c r="H115" s="451"/>
    </row>
    <row r="116" spans="1:8" x14ac:dyDescent="0.25">
      <c r="A116" s="378"/>
      <c r="B116" s="378"/>
      <c r="C116" s="433"/>
      <c r="D116" s="433"/>
      <c r="E116" s="433"/>
      <c r="F116" s="433"/>
      <c r="G116" s="451"/>
      <c r="H116" s="451"/>
    </row>
    <row r="117" spans="1:8" x14ac:dyDescent="0.25">
      <c r="A117" s="451"/>
      <c r="B117" s="451"/>
      <c r="C117" s="451"/>
      <c r="D117" s="451"/>
      <c r="E117" s="451"/>
      <c r="F117" s="451"/>
      <c r="G117" s="451"/>
      <c r="H117" s="451"/>
    </row>
    <row r="118" spans="1:8" x14ac:dyDescent="0.25">
      <c r="A118" s="451"/>
      <c r="B118" s="451"/>
      <c r="C118" s="451"/>
      <c r="D118" s="451"/>
      <c r="E118" s="451"/>
      <c r="F118" s="451"/>
      <c r="G118" s="451"/>
      <c r="H118" s="451"/>
    </row>
    <row r="119" spans="1:8" x14ac:dyDescent="0.25">
      <c r="A119" s="452"/>
      <c r="B119" s="449"/>
      <c r="C119" s="451"/>
      <c r="D119" s="451"/>
      <c r="E119" s="451"/>
      <c r="F119" s="451"/>
      <c r="G119" s="451"/>
      <c r="H119" s="451"/>
    </row>
    <row r="120" spans="1:8" x14ac:dyDescent="0.25">
      <c r="A120" s="452"/>
      <c r="B120" s="366"/>
      <c r="C120" s="451"/>
      <c r="D120" s="451"/>
      <c r="E120" s="451"/>
      <c r="F120" s="451"/>
      <c r="G120" s="451"/>
      <c r="H120" s="451"/>
    </row>
    <row r="121" spans="1:8" x14ac:dyDescent="0.25">
      <c r="A121" s="452"/>
      <c r="B121" s="366"/>
      <c r="C121" s="451"/>
      <c r="D121" s="451"/>
      <c r="E121" s="451"/>
      <c r="F121" s="451"/>
      <c r="G121" s="451"/>
      <c r="H121" s="451"/>
    </row>
    <row r="122" spans="1:8" x14ac:dyDescent="0.25">
      <c r="A122" s="452"/>
      <c r="B122" s="366"/>
      <c r="C122" s="451"/>
      <c r="D122" s="451"/>
      <c r="E122" s="451"/>
      <c r="F122" s="451"/>
      <c r="G122" s="451"/>
      <c r="H122" s="451"/>
    </row>
    <row r="123" spans="1:8" x14ac:dyDescent="0.25">
      <c r="A123" s="452"/>
      <c r="B123" s="366"/>
      <c r="C123" s="453"/>
      <c r="D123" s="451"/>
      <c r="E123" s="451"/>
      <c r="F123" s="451"/>
      <c r="G123" s="451"/>
      <c r="H123" s="451"/>
    </row>
    <row r="124" spans="1:8" x14ac:dyDescent="0.25">
      <c r="A124" s="452"/>
      <c r="B124" s="366"/>
      <c r="C124" s="451"/>
      <c r="D124" s="451"/>
      <c r="E124" s="451"/>
      <c r="F124" s="451"/>
      <c r="G124" s="451"/>
      <c r="H124" s="451"/>
    </row>
    <row r="125" spans="1:8" x14ac:dyDescent="0.25">
      <c r="A125" s="451"/>
      <c r="B125" s="451"/>
      <c r="C125" s="451"/>
      <c r="D125" s="451"/>
      <c r="E125" s="451"/>
      <c r="F125" s="451"/>
      <c r="G125" s="451"/>
      <c r="H125" s="451"/>
    </row>
    <row r="126" spans="1:8" x14ac:dyDescent="0.25">
      <c r="A126" s="451"/>
      <c r="B126" s="451"/>
      <c r="C126" s="451"/>
      <c r="D126" s="451"/>
      <c r="E126" s="451"/>
      <c r="F126" s="451"/>
      <c r="G126" s="451"/>
      <c r="H126" s="451"/>
    </row>
    <row r="127" spans="1:8" x14ac:dyDescent="0.25">
      <c r="A127" s="451"/>
      <c r="B127" s="451"/>
      <c r="C127" s="451"/>
      <c r="D127" s="451"/>
      <c r="E127" s="451"/>
      <c r="F127" s="451"/>
      <c r="G127" s="451"/>
      <c r="H127" s="451"/>
    </row>
    <row r="128" spans="1:8" x14ac:dyDescent="0.25">
      <c r="A128" s="451"/>
      <c r="B128" s="451"/>
      <c r="C128" s="451"/>
      <c r="D128" s="451"/>
      <c r="E128" s="451"/>
      <c r="F128" s="451"/>
      <c r="G128" s="451"/>
      <c r="H128" s="451"/>
    </row>
    <row r="129" spans="1:8" x14ac:dyDescent="0.25">
      <c r="A129" s="378"/>
      <c r="B129" s="449"/>
      <c r="C129" s="449"/>
      <c r="D129" s="449"/>
      <c r="E129" s="449"/>
      <c r="F129" s="451"/>
      <c r="G129" s="451"/>
      <c r="H129" s="451"/>
    </row>
    <row r="130" spans="1:8" x14ac:dyDescent="0.25">
      <c r="A130" s="452"/>
      <c r="B130" s="434"/>
      <c r="C130" s="434"/>
      <c r="D130" s="367"/>
      <c r="E130" s="434"/>
      <c r="F130" s="451"/>
      <c r="G130" s="451"/>
      <c r="H130" s="451"/>
    </row>
    <row r="131" spans="1:8" x14ac:dyDescent="0.25">
      <c r="A131" s="452"/>
      <c r="B131" s="434"/>
      <c r="C131" s="434"/>
      <c r="D131" s="367"/>
      <c r="E131" s="373"/>
      <c r="F131" s="451"/>
      <c r="G131" s="451"/>
      <c r="H131" s="451"/>
    </row>
    <row r="132" spans="1:8" x14ac:dyDescent="0.25">
      <c r="A132" s="452"/>
      <c r="B132" s="434"/>
      <c r="C132" s="434"/>
      <c r="D132" s="367"/>
      <c r="E132" s="373"/>
      <c r="F132" s="451"/>
      <c r="G132" s="451"/>
      <c r="H132" s="451"/>
    </row>
    <row r="133" spans="1:8" x14ac:dyDescent="0.25">
      <c r="A133" s="452"/>
      <c r="B133" s="434"/>
      <c r="C133" s="434"/>
      <c r="D133" s="367"/>
      <c r="E133" s="373"/>
      <c r="F133" s="451"/>
      <c r="G133" s="451"/>
      <c r="H133" s="451"/>
    </row>
    <row r="134" spans="1:8" x14ac:dyDescent="0.25">
      <c r="A134" s="452"/>
      <c r="B134" s="434"/>
      <c r="C134" s="434"/>
      <c r="D134" s="367"/>
      <c r="E134" s="373"/>
      <c r="F134" s="451"/>
      <c r="G134" s="451"/>
      <c r="H134" s="451"/>
    </row>
    <row r="135" spans="1:8" x14ac:dyDescent="0.25">
      <c r="A135" s="452"/>
      <c r="B135" s="434"/>
      <c r="C135" s="434"/>
      <c r="D135" s="367"/>
      <c r="E135" s="434"/>
      <c r="F135" s="451"/>
      <c r="G135" s="451"/>
      <c r="H135" s="451"/>
    </row>
    <row r="136" spans="1:8" x14ac:dyDescent="0.25">
      <c r="A136" s="452"/>
      <c r="B136" s="434"/>
      <c r="C136" s="434"/>
      <c r="D136" s="367"/>
      <c r="E136" s="434"/>
      <c r="F136" s="451"/>
      <c r="G136" s="451"/>
      <c r="H136" s="451"/>
    </row>
    <row r="137" spans="1:8" x14ac:dyDescent="0.25">
      <c r="A137" s="452"/>
      <c r="B137" s="434"/>
      <c r="C137" s="434"/>
      <c r="D137" s="367"/>
      <c r="E137" s="434"/>
      <c r="F137" s="451"/>
      <c r="G137" s="451"/>
      <c r="H137" s="451"/>
    </row>
    <row r="138" spans="1:8" x14ac:dyDescent="0.25">
      <c r="A138" s="452"/>
      <c r="B138" s="434"/>
      <c r="C138" s="434"/>
      <c r="D138" s="367"/>
      <c r="E138" s="434"/>
      <c r="F138" s="451"/>
      <c r="G138" s="451"/>
      <c r="H138" s="451"/>
    </row>
    <row r="139" spans="1:8" x14ac:dyDescent="0.25">
      <c r="A139" s="452"/>
      <c r="B139" s="434"/>
      <c r="C139" s="434"/>
      <c r="D139" s="434"/>
      <c r="E139" s="435"/>
      <c r="F139" s="451"/>
      <c r="G139" s="451"/>
      <c r="H139" s="451"/>
    </row>
    <row r="140" spans="1:8" x14ac:dyDescent="0.25">
      <c r="A140" s="452"/>
      <c r="B140" s="434"/>
      <c r="C140" s="434"/>
      <c r="D140" s="434"/>
      <c r="E140" s="435"/>
      <c r="F140" s="451"/>
      <c r="G140" s="451"/>
      <c r="H140" s="451"/>
    </row>
    <row r="141" spans="1:8" x14ac:dyDescent="0.25">
      <c r="A141" s="452"/>
      <c r="B141" s="452"/>
      <c r="C141" s="452"/>
      <c r="D141" s="452"/>
      <c r="E141" s="452"/>
      <c r="F141" s="451"/>
      <c r="G141" s="451"/>
      <c r="H141" s="451"/>
    </row>
    <row r="142" spans="1:8" x14ac:dyDescent="0.25">
      <c r="A142" s="452"/>
      <c r="B142" s="452"/>
      <c r="C142" s="452"/>
      <c r="D142" s="452"/>
      <c r="E142" s="452"/>
      <c r="F142" s="451"/>
      <c r="G142" s="451"/>
      <c r="H142" s="451"/>
    </row>
    <row r="143" spans="1:8" x14ac:dyDescent="0.25">
      <c r="A143" s="378"/>
      <c r="B143" s="376"/>
      <c r="C143" s="376"/>
      <c r="D143" s="376"/>
      <c r="E143" s="376"/>
      <c r="F143" s="451"/>
      <c r="G143" s="451"/>
      <c r="H143" s="451"/>
    </row>
    <row r="144" spans="1:8" x14ac:dyDescent="0.25">
      <c r="A144" s="451"/>
      <c r="B144" s="451"/>
      <c r="C144" s="451"/>
      <c r="D144" s="451"/>
      <c r="E144" s="451"/>
      <c r="F144" s="451"/>
      <c r="G144" s="451"/>
      <c r="H144" s="451"/>
    </row>
    <row r="145" spans="1:8" x14ac:dyDescent="0.25">
      <c r="A145" s="378"/>
      <c r="B145" s="449"/>
      <c r="C145" s="451"/>
      <c r="D145" s="451"/>
      <c r="E145" s="451"/>
      <c r="F145" s="451"/>
      <c r="G145" s="451"/>
      <c r="H145" s="451"/>
    </row>
    <row r="146" spans="1:8" x14ac:dyDescent="0.25">
      <c r="A146" s="452"/>
      <c r="B146" s="410"/>
      <c r="C146" s="451"/>
      <c r="D146" s="451"/>
      <c r="E146" s="451"/>
      <c r="F146" s="451"/>
      <c r="G146" s="451"/>
      <c r="H146" s="451"/>
    </row>
    <row r="147" spans="1:8" x14ac:dyDescent="0.25">
      <c r="A147" s="452"/>
      <c r="B147" s="410"/>
      <c r="C147" s="451"/>
      <c r="D147" s="451"/>
      <c r="E147" s="451"/>
      <c r="F147" s="451"/>
      <c r="G147" s="451"/>
      <c r="H147" s="451"/>
    </row>
    <row r="148" spans="1:8" x14ac:dyDescent="0.25">
      <c r="A148" s="452"/>
      <c r="B148" s="410"/>
      <c r="C148" s="451"/>
      <c r="D148" s="451"/>
      <c r="E148" s="451"/>
      <c r="F148" s="451"/>
      <c r="G148" s="451"/>
      <c r="H148" s="451"/>
    </row>
    <row r="149" spans="1:8" x14ac:dyDescent="0.25">
      <c r="A149" s="452"/>
      <c r="B149" s="410"/>
      <c r="C149" s="451"/>
      <c r="D149" s="451"/>
      <c r="E149" s="451"/>
      <c r="F149" s="451"/>
      <c r="G149" s="451"/>
      <c r="H149" s="451"/>
    </row>
    <row r="150" spans="1:8" x14ac:dyDescent="0.25">
      <c r="A150" s="452"/>
      <c r="B150" s="410"/>
      <c r="C150" s="451"/>
      <c r="D150" s="451"/>
      <c r="E150" s="451"/>
      <c r="F150" s="451"/>
      <c r="G150" s="451"/>
      <c r="H150" s="451"/>
    </row>
    <row r="151" spans="1:8" x14ac:dyDescent="0.25">
      <c r="A151" s="452"/>
      <c r="B151" s="410"/>
      <c r="C151" s="451"/>
      <c r="D151" s="451"/>
      <c r="E151" s="451"/>
      <c r="F151" s="451"/>
      <c r="G151" s="451"/>
      <c r="H151" s="451"/>
    </row>
    <row r="152" spans="1:8" x14ac:dyDescent="0.25">
      <c r="A152" s="452"/>
      <c r="B152" s="410"/>
      <c r="C152" s="451"/>
      <c r="D152" s="451"/>
      <c r="E152" s="451"/>
      <c r="F152" s="451"/>
      <c r="G152" s="451"/>
      <c r="H152" s="451"/>
    </row>
    <row r="153" spans="1:8" x14ac:dyDescent="0.25">
      <c r="A153" s="452"/>
      <c r="B153" s="410"/>
      <c r="C153" s="451"/>
      <c r="D153" s="451"/>
      <c r="E153" s="451"/>
      <c r="F153" s="451"/>
      <c r="G153" s="451"/>
      <c r="H153" s="451"/>
    </row>
    <row r="154" spans="1:8" x14ac:dyDescent="0.25">
      <c r="A154" s="452"/>
      <c r="B154" s="374"/>
      <c r="C154" s="451"/>
      <c r="D154" s="451"/>
      <c r="E154" s="451"/>
      <c r="F154" s="451"/>
      <c r="G154" s="451"/>
      <c r="H154" s="451"/>
    </row>
    <row r="155" spans="1:8" x14ac:dyDescent="0.25">
      <c r="A155" s="378"/>
      <c r="B155" s="449"/>
      <c r="C155" s="451"/>
      <c r="D155" s="451"/>
      <c r="E155" s="451"/>
      <c r="F155" s="451"/>
      <c r="G155" s="451"/>
      <c r="H155" s="451"/>
    </row>
    <row r="156" spans="1:8" x14ac:dyDescent="0.25">
      <c r="A156" s="409"/>
      <c r="B156" s="369"/>
      <c r="C156" s="451"/>
      <c r="D156" s="451"/>
      <c r="E156" s="451"/>
      <c r="F156" s="451"/>
      <c r="G156" s="451"/>
      <c r="H156" s="451"/>
    </row>
    <row r="157" spans="1:8" x14ac:dyDescent="0.25">
      <c r="A157" s="451"/>
      <c r="B157" s="405"/>
      <c r="C157" s="451"/>
      <c r="D157" s="451"/>
      <c r="E157" s="451"/>
      <c r="F157" s="451"/>
      <c r="G157" s="451"/>
      <c r="H157" s="451"/>
    </row>
    <row r="158" spans="1:8" x14ac:dyDescent="0.25">
      <c r="A158" s="378"/>
      <c r="B158" s="449"/>
      <c r="C158" s="451"/>
      <c r="D158" s="451"/>
      <c r="E158" s="451"/>
      <c r="F158" s="451"/>
      <c r="G158" s="451"/>
      <c r="H158" s="451"/>
    </row>
    <row r="159" spans="1:8" x14ac:dyDescent="0.25">
      <c r="A159" s="452"/>
      <c r="B159" s="371"/>
      <c r="C159" s="451"/>
      <c r="D159" s="451"/>
      <c r="E159" s="451"/>
      <c r="F159" s="451"/>
      <c r="G159" s="451"/>
      <c r="H159" s="451"/>
    </row>
    <row r="160" spans="1:8" x14ac:dyDescent="0.25">
      <c r="A160" s="452"/>
      <c r="B160" s="371"/>
      <c r="C160" s="451"/>
      <c r="D160" s="451"/>
      <c r="E160" s="451"/>
      <c r="F160" s="451"/>
      <c r="G160" s="451"/>
      <c r="H160" s="451"/>
    </row>
    <row r="161" spans="1:8" x14ac:dyDescent="0.25">
      <c r="A161" s="452"/>
      <c r="B161" s="371"/>
      <c r="C161" s="451"/>
      <c r="D161" s="451"/>
      <c r="E161" s="451"/>
      <c r="F161" s="451"/>
      <c r="G161" s="451"/>
      <c r="H161" s="451"/>
    </row>
    <row r="162" spans="1:8" x14ac:dyDescent="0.25">
      <c r="A162" s="452"/>
      <c r="B162" s="371"/>
      <c r="C162" s="451"/>
      <c r="D162" s="451"/>
      <c r="E162" s="451"/>
      <c r="F162" s="451"/>
      <c r="G162" s="451"/>
      <c r="H162" s="451"/>
    </row>
    <row r="163" spans="1:8" x14ac:dyDescent="0.25">
      <c r="A163" s="452"/>
      <c r="B163" s="371"/>
      <c r="C163" s="451"/>
      <c r="D163" s="451"/>
      <c r="E163" s="451"/>
      <c r="F163" s="451"/>
      <c r="G163" s="451"/>
      <c r="H163" s="451"/>
    </row>
    <row r="164" spans="1:8" x14ac:dyDescent="0.25">
      <c r="A164" s="452"/>
      <c r="B164" s="371"/>
      <c r="C164" s="451"/>
      <c r="D164" s="451"/>
      <c r="E164" s="451"/>
      <c r="F164" s="451"/>
      <c r="G164" s="451"/>
      <c r="H164" s="451"/>
    </row>
    <row r="165" spans="1:8" x14ac:dyDescent="0.25">
      <c r="A165" s="452"/>
      <c r="B165" s="374"/>
      <c r="C165" s="451"/>
      <c r="D165" s="451"/>
      <c r="E165" s="451"/>
      <c r="F165" s="451"/>
      <c r="G165" s="451"/>
      <c r="H165" s="451"/>
    </row>
    <row r="166" spans="1:8" x14ac:dyDescent="0.25">
      <c r="A166" s="378"/>
      <c r="B166" s="418"/>
      <c r="C166" s="451"/>
      <c r="D166" s="451"/>
      <c r="E166" s="451"/>
      <c r="F166" s="451"/>
      <c r="G166" s="451"/>
      <c r="H166" s="451"/>
    </row>
    <row r="167" spans="1:8" x14ac:dyDescent="0.25">
      <c r="A167" s="451"/>
      <c r="B167" s="451"/>
      <c r="C167" s="451"/>
      <c r="D167" s="451"/>
      <c r="E167" s="451"/>
      <c r="F167" s="451"/>
      <c r="G167" s="451"/>
      <c r="H167" s="451"/>
    </row>
    <row r="168" spans="1:8" x14ac:dyDescent="0.25">
      <c r="A168" s="451"/>
      <c r="B168" s="451"/>
      <c r="C168" s="451"/>
      <c r="D168" s="451"/>
      <c r="E168" s="451"/>
      <c r="F168" s="451"/>
      <c r="G168" s="451"/>
      <c r="H168" s="451"/>
    </row>
    <row r="169" spans="1:8" x14ac:dyDescent="0.25">
      <c r="A169" s="451"/>
      <c r="B169" s="451"/>
      <c r="C169" s="451"/>
      <c r="D169" s="451"/>
      <c r="E169" s="451"/>
      <c r="F169" s="451"/>
      <c r="G169" s="451"/>
      <c r="H169" s="451"/>
    </row>
    <row r="170" spans="1:8" x14ac:dyDescent="0.25">
      <c r="A170" s="451"/>
      <c r="B170" s="451"/>
      <c r="C170" s="451"/>
      <c r="D170" s="451"/>
      <c r="E170" s="451"/>
      <c r="F170" s="451"/>
      <c r="G170" s="451"/>
      <c r="H170" s="451"/>
    </row>
    <row r="171" spans="1:8" x14ac:dyDescent="0.25">
      <c r="A171" s="451"/>
      <c r="B171" s="451"/>
      <c r="C171" s="451"/>
      <c r="D171" s="451"/>
      <c r="E171" s="451"/>
      <c r="F171" s="451"/>
      <c r="G171" s="451"/>
      <c r="H171" s="451"/>
    </row>
    <row r="172" spans="1:8" x14ac:dyDescent="0.25">
      <c r="A172" s="451"/>
      <c r="B172" s="451"/>
      <c r="C172" s="451"/>
      <c r="D172" s="451"/>
      <c r="E172" s="451"/>
      <c r="F172" s="451"/>
      <c r="G172" s="451"/>
      <c r="H172" s="451"/>
    </row>
    <row r="173" spans="1:8" x14ac:dyDescent="0.25">
      <c r="A173" s="451"/>
      <c r="B173" s="451"/>
      <c r="C173" s="451"/>
      <c r="D173" s="451"/>
      <c r="E173" s="451"/>
      <c r="F173" s="451"/>
      <c r="G173" s="451"/>
      <c r="H173" s="451"/>
    </row>
    <row r="174" spans="1:8" x14ac:dyDescent="0.25">
      <c r="A174" s="451"/>
      <c r="B174" s="451"/>
      <c r="C174" s="451"/>
      <c r="D174" s="451"/>
      <c r="E174" s="451"/>
      <c r="F174" s="451"/>
      <c r="G174" s="451"/>
      <c r="H174" s="451"/>
    </row>
    <row r="175" spans="1:8" x14ac:dyDescent="0.25">
      <c r="A175" s="451"/>
      <c r="B175" s="451"/>
      <c r="C175" s="451"/>
      <c r="D175" s="451"/>
      <c r="E175" s="451"/>
      <c r="F175" s="451"/>
      <c r="G175" s="451"/>
      <c r="H175" s="451"/>
    </row>
    <row r="176" spans="1:8" x14ac:dyDescent="0.25">
      <c r="A176" s="451"/>
      <c r="B176" s="451"/>
      <c r="C176" s="451"/>
      <c r="D176" s="451"/>
      <c r="E176" s="451"/>
      <c r="F176" s="451"/>
      <c r="G176" s="451"/>
      <c r="H176" s="451"/>
    </row>
    <row r="177" spans="1:8" x14ac:dyDescent="0.25">
      <c r="A177" s="451"/>
      <c r="B177" s="451"/>
      <c r="C177" s="451"/>
      <c r="D177" s="451"/>
      <c r="E177" s="451"/>
      <c r="F177" s="451"/>
      <c r="G177" s="451"/>
      <c r="H177" s="451"/>
    </row>
    <row r="178" spans="1:8" x14ac:dyDescent="0.25">
      <c r="A178" s="451"/>
      <c r="B178" s="451"/>
      <c r="C178" s="451"/>
      <c r="D178" s="451"/>
      <c r="E178" s="451"/>
      <c r="F178" s="451"/>
      <c r="G178" s="451"/>
      <c r="H178" s="451"/>
    </row>
    <row r="179" spans="1:8" x14ac:dyDescent="0.25">
      <c r="A179" s="451"/>
      <c r="B179" s="451"/>
      <c r="C179" s="451"/>
      <c r="D179" s="451"/>
      <c r="E179" s="451"/>
      <c r="F179" s="451"/>
      <c r="G179" s="451"/>
      <c r="H179" s="451"/>
    </row>
    <row r="180" spans="1:8" x14ac:dyDescent="0.25">
      <c r="A180" s="451"/>
      <c r="B180" s="451"/>
      <c r="C180" s="451"/>
      <c r="D180" s="451"/>
      <c r="E180" s="451"/>
      <c r="F180" s="451"/>
      <c r="G180" s="451"/>
      <c r="H180" s="451"/>
    </row>
  </sheetData>
  <sortState xmlns:xlrd2="http://schemas.microsoft.com/office/spreadsheetml/2017/richdata2" ref="A44:A47">
    <sortCondition descending="1" ref="A47"/>
  </sortState>
  <mergeCells count="13">
    <mergeCell ref="A5:A6"/>
    <mergeCell ref="F77:G77"/>
    <mergeCell ref="A77:A78"/>
    <mergeCell ref="F90:G90"/>
    <mergeCell ref="B90:C90"/>
    <mergeCell ref="D90:E90"/>
    <mergeCell ref="A50:A51"/>
    <mergeCell ref="A63:A64"/>
    <mergeCell ref="B77:C77"/>
    <mergeCell ref="D77:E77"/>
    <mergeCell ref="F35:G35"/>
    <mergeCell ref="B35:C35"/>
    <mergeCell ref="D35:E35"/>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S31"/>
  <sheetViews>
    <sheetView zoomScale="70" zoomScaleNormal="70" workbookViewId="0">
      <selection activeCell="A24" sqref="A24"/>
    </sheetView>
  </sheetViews>
  <sheetFormatPr defaultRowHeight="15" x14ac:dyDescent="0.25"/>
  <cols>
    <col min="1" max="1" width="5.42578125" customWidth="1"/>
    <col min="2" max="2" width="21.42578125" customWidth="1"/>
    <col min="3" max="3" width="16.42578125" customWidth="1"/>
    <col min="4" max="5" width="14" bestFit="1" customWidth="1"/>
    <col min="6" max="6" width="13.5703125" bestFit="1" customWidth="1"/>
    <col min="7" max="7" width="11.42578125" bestFit="1" customWidth="1"/>
    <col min="8" max="8" width="11.140625" bestFit="1" customWidth="1"/>
    <col min="10" max="10" width="9.140625" style="73"/>
    <col min="15" max="16" width="11.42578125" customWidth="1"/>
    <col min="17" max="17" width="11" customWidth="1"/>
    <col min="18" max="18" width="12.42578125" customWidth="1"/>
  </cols>
  <sheetData>
    <row r="1" spans="1:19" x14ac:dyDescent="0.25">
      <c r="A1" s="488" t="s">
        <v>411</v>
      </c>
    </row>
    <row r="2" spans="1:19" s="60" customFormat="1" x14ac:dyDescent="0.25">
      <c r="J2" s="73"/>
    </row>
    <row r="3" spans="1:19" s="60" customFormat="1" x14ac:dyDescent="0.25">
      <c r="A3" s="61" t="s">
        <v>111</v>
      </c>
      <c r="D3" s="60" t="s">
        <v>66</v>
      </c>
      <c r="E3" s="60">
        <v>1</v>
      </c>
      <c r="F3" s="60">
        <v>10</v>
      </c>
      <c r="G3" s="60">
        <v>50</v>
      </c>
      <c r="H3" s="60">
        <v>100</v>
      </c>
      <c r="J3" s="73"/>
    </row>
    <row r="4" spans="1:19" s="60" customFormat="1" x14ac:dyDescent="0.25">
      <c r="B4" s="60">
        <v>2.4</v>
      </c>
      <c r="C4" s="60" t="s">
        <v>55</v>
      </c>
      <c r="E4" s="525">
        <f>R15+C20</f>
        <v>141561</v>
      </c>
      <c r="F4" s="525">
        <f>Q15+C21</f>
        <v>399936</v>
      </c>
      <c r="G4" s="525">
        <f>P15+C21</f>
        <v>454692</v>
      </c>
      <c r="H4" s="525">
        <f>O15+C21</f>
        <v>674634</v>
      </c>
      <c r="J4" s="73"/>
    </row>
    <row r="5" spans="1:19" s="60" customFormat="1" x14ac:dyDescent="0.25">
      <c r="J5" s="73"/>
    </row>
    <row r="6" spans="1:19" s="60" customFormat="1" x14ac:dyDescent="0.25">
      <c r="J6" s="73"/>
    </row>
    <row r="7" spans="1:19" s="60" customFormat="1" x14ac:dyDescent="0.25">
      <c r="A7" s="488" t="s">
        <v>482</v>
      </c>
      <c r="J7" s="73"/>
    </row>
    <row r="8" spans="1:19" ht="15.75" x14ac:dyDescent="0.25">
      <c r="B8" s="626"/>
      <c r="C8" s="627" t="s">
        <v>416</v>
      </c>
      <c r="D8" s="627" t="s">
        <v>417</v>
      </c>
      <c r="E8" s="628"/>
      <c r="F8" s="629"/>
      <c r="G8" s="630" t="s">
        <v>418</v>
      </c>
      <c r="H8" s="631"/>
      <c r="I8" s="632"/>
      <c r="J8" s="631"/>
      <c r="K8" s="633" t="s">
        <v>419</v>
      </c>
      <c r="L8" s="631"/>
      <c r="M8" s="632"/>
      <c r="N8" s="547" t="s">
        <v>420</v>
      </c>
      <c r="O8" s="547" t="s">
        <v>90</v>
      </c>
      <c r="P8" s="547" t="s">
        <v>89</v>
      </c>
      <c r="Q8" s="547" t="s">
        <v>88</v>
      </c>
      <c r="R8" s="547" t="s">
        <v>99</v>
      </c>
    </row>
    <row r="9" spans="1:19" ht="15.75" thickBot="1" x14ac:dyDescent="0.3">
      <c r="A9" s="521"/>
      <c r="B9" s="634"/>
      <c r="C9" s="635" t="s">
        <v>421</v>
      </c>
      <c r="D9" s="635" t="s">
        <v>422</v>
      </c>
      <c r="E9" s="636" t="s">
        <v>81</v>
      </c>
      <c r="F9" s="637" t="s">
        <v>423</v>
      </c>
      <c r="G9" s="638" t="s">
        <v>424</v>
      </c>
      <c r="H9" s="638" t="s">
        <v>425</v>
      </c>
      <c r="I9" s="639" t="s">
        <v>426</v>
      </c>
      <c r="J9" s="640" t="s">
        <v>423</v>
      </c>
      <c r="K9" s="638" t="s">
        <v>424</v>
      </c>
      <c r="L9" s="638" t="s">
        <v>425</v>
      </c>
      <c r="M9" s="639" t="s">
        <v>426</v>
      </c>
      <c r="N9" s="547"/>
      <c r="O9" s="547"/>
      <c r="P9" s="547"/>
      <c r="Q9" s="547"/>
      <c r="R9" s="547"/>
      <c r="S9" s="521"/>
    </row>
    <row r="10" spans="1:19" ht="15.75" thickTop="1" x14ac:dyDescent="0.25">
      <c r="A10" s="521"/>
      <c r="B10" s="641" t="s">
        <v>427</v>
      </c>
      <c r="C10" s="642">
        <v>85000</v>
      </c>
      <c r="D10" s="643">
        <v>35</v>
      </c>
      <c r="E10" s="644">
        <v>114750.00000000001</v>
      </c>
      <c r="F10" s="645">
        <v>1</v>
      </c>
      <c r="G10" s="643">
        <v>1</v>
      </c>
      <c r="H10" s="643">
        <v>1</v>
      </c>
      <c r="I10" s="643">
        <v>1</v>
      </c>
      <c r="J10" s="646">
        <v>114750.00000000001</v>
      </c>
      <c r="K10" s="647">
        <v>114750.00000000001</v>
      </c>
      <c r="L10" s="647">
        <v>114750.00000000001</v>
      </c>
      <c r="M10" s="648">
        <v>114750.00000000001</v>
      </c>
      <c r="N10" s="497">
        <f>AVERAGE(J10:M10)</f>
        <v>114750.00000000001</v>
      </c>
      <c r="O10" s="497">
        <f>N10</f>
        <v>114750.00000000001</v>
      </c>
      <c r="P10" s="497">
        <f>O10</f>
        <v>114750.00000000001</v>
      </c>
      <c r="Q10" s="497">
        <f>P10</f>
        <v>114750.00000000001</v>
      </c>
      <c r="R10" s="497">
        <v>0</v>
      </c>
      <c r="S10" s="521"/>
    </row>
    <row r="11" spans="1:19" x14ac:dyDescent="0.25">
      <c r="A11" s="521"/>
      <c r="B11" s="641" t="s">
        <v>428</v>
      </c>
      <c r="C11" s="649">
        <v>35000</v>
      </c>
      <c r="D11" s="650">
        <v>35</v>
      </c>
      <c r="E11" s="644">
        <v>47250</v>
      </c>
      <c r="F11" s="651">
        <v>2</v>
      </c>
      <c r="G11" s="650">
        <v>2</v>
      </c>
      <c r="H11" s="650">
        <v>2</v>
      </c>
      <c r="I11" s="650">
        <v>2</v>
      </c>
      <c r="J11" s="652">
        <v>94500</v>
      </c>
      <c r="K11" s="647">
        <v>94500</v>
      </c>
      <c r="L11" s="647">
        <v>94500</v>
      </c>
      <c r="M11" s="648">
        <v>94500</v>
      </c>
      <c r="N11" s="497">
        <f t="shared" ref="N11:N13" si="0">AVERAGE(J11:M11)</f>
        <v>94500</v>
      </c>
      <c r="O11" s="497">
        <f t="shared" ref="O11:O13" si="1">N11</f>
        <v>94500</v>
      </c>
      <c r="P11" s="547">
        <f>O11/2</f>
        <v>47250</v>
      </c>
      <c r="Q11" s="547">
        <f>P11</f>
        <v>47250</v>
      </c>
      <c r="R11" s="547">
        <f>Q11/2</f>
        <v>23625</v>
      </c>
      <c r="S11" s="521"/>
    </row>
    <row r="12" spans="1:19" x14ac:dyDescent="0.25">
      <c r="A12" s="521"/>
      <c r="B12" s="641" t="s">
        <v>429</v>
      </c>
      <c r="C12" s="653">
        <v>18</v>
      </c>
      <c r="D12" s="650">
        <v>35</v>
      </c>
      <c r="E12" s="654">
        <v>24.3</v>
      </c>
      <c r="F12" s="650">
        <v>1</v>
      </c>
      <c r="G12" s="650">
        <v>2</v>
      </c>
      <c r="H12" s="650">
        <v>3</v>
      </c>
      <c r="I12" s="650">
        <v>4</v>
      </c>
      <c r="J12" s="646">
        <v>50544</v>
      </c>
      <c r="K12" s="647">
        <v>101088</v>
      </c>
      <c r="L12" s="647">
        <v>151632</v>
      </c>
      <c r="M12" s="648">
        <v>202176</v>
      </c>
      <c r="N12" s="497">
        <f t="shared" si="0"/>
        <v>126360</v>
      </c>
      <c r="O12" s="497">
        <f t="shared" si="1"/>
        <v>126360</v>
      </c>
      <c r="P12" s="547">
        <f>O12/2</f>
        <v>63180</v>
      </c>
      <c r="Q12" s="497">
        <f>J12</f>
        <v>50544</v>
      </c>
      <c r="R12" s="497">
        <f>Q12</f>
        <v>50544</v>
      </c>
      <c r="S12" s="521"/>
    </row>
    <row r="13" spans="1:19" x14ac:dyDescent="0.25">
      <c r="A13" s="521"/>
      <c r="B13" s="641" t="s">
        <v>430</v>
      </c>
      <c r="C13" s="653">
        <v>12</v>
      </c>
      <c r="D13" s="650">
        <v>35</v>
      </c>
      <c r="E13" s="654">
        <v>16.200000000000003</v>
      </c>
      <c r="F13" s="650">
        <v>4</v>
      </c>
      <c r="G13" s="650">
        <v>6</v>
      </c>
      <c r="H13" s="650">
        <v>7</v>
      </c>
      <c r="I13" s="650">
        <v>9</v>
      </c>
      <c r="J13" s="655">
        <v>134784.00000000003</v>
      </c>
      <c r="K13" s="656">
        <v>202176.00000000003</v>
      </c>
      <c r="L13" s="656">
        <v>235872.00000000003</v>
      </c>
      <c r="M13" s="657">
        <v>303264</v>
      </c>
      <c r="N13" s="497">
        <f t="shared" si="0"/>
        <v>219024.00000000003</v>
      </c>
      <c r="O13" s="497">
        <f t="shared" si="1"/>
        <v>219024.00000000003</v>
      </c>
      <c r="P13" s="547">
        <f>O13/2</f>
        <v>109512.00000000001</v>
      </c>
      <c r="Q13" s="547">
        <f>J13/2</f>
        <v>67392.000000000015</v>
      </c>
      <c r="R13" s="547">
        <f>Q13</f>
        <v>67392.000000000015</v>
      </c>
      <c r="S13" s="521"/>
    </row>
    <row r="14" spans="1:19" x14ac:dyDescent="0.25">
      <c r="A14" s="521"/>
      <c r="B14" s="658" t="s">
        <v>100</v>
      </c>
      <c r="C14" s="659"/>
      <c r="D14" s="660"/>
      <c r="E14" s="661"/>
      <c r="F14" s="662"/>
      <c r="G14" s="663"/>
      <c r="H14" s="663"/>
      <c r="I14" s="664"/>
      <c r="J14" s="665">
        <v>394578</v>
      </c>
      <c r="K14" s="666">
        <v>512514</v>
      </c>
      <c r="L14" s="666">
        <v>596754</v>
      </c>
      <c r="M14" s="666">
        <v>714690</v>
      </c>
      <c r="N14" s="547"/>
      <c r="O14" s="547"/>
      <c r="P14" s="547"/>
      <c r="Q14" s="547"/>
      <c r="R14" s="547"/>
      <c r="S14" s="521"/>
    </row>
    <row r="15" spans="1:19" x14ac:dyDescent="0.25">
      <c r="A15" s="521"/>
      <c r="B15" s="547"/>
      <c r="C15" s="547"/>
      <c r="D15" s="547"/>
      <c r="E15" s="547"/>
      <c r="F15" s="547"/>
      <c r="G15" s="547"/>
      <c r="H15" s="547"/>
      <c r="I15" s="547"/>
      <c r="J15" s="547"/>
      <c r="K15" s="547"/>
      <c r="L15" s="547"/>
      <c r="M15" s="497">
        <f>AVERAGE(J14:M14)</f>
        <v>554634</v>
      </c>
      <c r="N15" s="547"/>
      <c r="O15" s="667">
        <f>SUM(O10:O13)</f>
        <v>554634</v>
      </c>
      <c r="P15" s="667">
        <f t="shared" ref="P15:R15" si="2">SUM(P10:P13)</f>
        <v>334692</v>
      </c>
      <c r="Q15" s="667">
        <f t="shared" si="2"/>
        <v>279936</v>
      </c>
      <c r="R15" s="667">
        <f t="shared" si="2"/>
        <v>141561</v>
      </c>
      <c r="S15" s="521"/>
    </row>
    <row r="16" spans="1:19" x14ac:dyDescent="0.25">
      <c r="A16" s="521"/>
      <c r="B16" s="518"/>
      <c r="C16" s="515"/>
      <c r="D16" s="517"/>
      <c r="E16" s="514"/>
      <c r="F16" s="517"/>
      <c r="G16" s="517"/>
      <c r="H16" s="517"/>
      <c r="I16" s="517"/>
      <c r="J16" s="516"/>
      <c r="K16" s="516"/>
      <c r="L16" s="516"/>
      <c r="M16" s="516"/>
      <c r="N16" s="87"/>
      <c r="O16" s="87"/>
      <c r="P16" s="521"/>
      <c r="Q16" s="521"/>
      <c r="R16" s="521"/>
      <c r="S16" s="521"/>
    </row>
    <row r="17" spans="1:19" x14ac:dyDescent="0.25">
      <c r="A17" s="522" t="s">
        <v>431</v>
      </c>
      <c r="B17" s="513"/>
      <c r="C17" s="471"/>
      <c r="D17" s="519"/>
      <c r="E17" s="514"/>
      <c r="F17" s="474"/>
      <c r="G17" s="474"/>
      <c r="H17" s="474"/>
      <c r="I17" s="474"/>
      <c r="J17" s="477"/>
      <c r="K17" s="478"/>
      <c r="L17" s="478"/>
      <c r="M17" s="478"/>
      <c r="N17" s="521"/>
      <c r="O17" s="521"/>
      <c r="P17" s="521"/>
      <c r="Q17" s="521"/>
      <c r="R17" s="521"/>
      <c r="S17" s="521"/>
    </row>
    <row r="18" spans="1:19" x14ac:dyDescent="0.25">
      <c r="A18" s="521"/>
      <c r="B18" s="521" t="s">
        <v>432</v>
      </c>
      <c r="C18" s="521">
        <f>5000*12</f>
        <v>60000</v>
      </c>
      <c r="D18" s="521"/>
      <c r="E18" s="521"/>
      <c r="F18" s="521"/>
      <c r="G18" s="521"/>
      <c r="H18" s="521"/>
      <c r="I18" s="521"/>
      <c r="J18" s="521"/>
      <c r="K18" s="521"/>
      <c r="L18" s="521"/>
      <c r="M18" s="87"/>
      <c r="N18" s="521"/>
      <c r="O18" s="475"/>
      <c r="P18" s="475"/>
      <c r="Q18" s="475"/>
      <c r="R18" s="475"/>
      <c r="S18" s="521"/>
    </row>
    <row r="19" spans="1:19" x14ac:dyDescent="0.25">
      <c r="A19" s="521"/>
      <c r="B19" s="521" t="s">
        <v>433</v>
      </c>
      <c r="C19" s="521">
        <f>5000*12</f>
        <v>60000</v>
      </c>
      <c r="D19" s="521"/>
      <c r="E19" s="521"/>
      <c r="F19" s="521"/>
      <c r="G19" s="521"/>
      <c r="H19" s="521"/>
      <c r="I19" s="521"/>
      <c r="J19" s="521"/>
      <c r="K19" s="521"/>
      <c r="L19" s="521"/>
      <c r="M19" s="521"/>
      <c r="N19" s="521"/>
      <c r="O19" s="521"/>
      <c r="P19" s="521"/>
      <c r="Q19" s="521"/>
      <c r="R19" s="521"/>
      <c r="S19" s="521"/>
    </row>
    <row r="20" spans="1:19" s="73" customFormat="1" x14ac:dyDescent="0.25">
      <c r="A20" s="521"/>
      <c r="B20" s="522"/>
      <c r="C20" s="521"/>
      <c r="D20" s="521"/>
      <c r="E20" s="521"/>
      <c r="F20" s="521"/>
      <c r="G20" s="521"/>
      <c r="H20" s="521"/>
      <c r="I20" s="521"/>
      <c r="J20" s="521"/>
      <c r="K20" s="521"/>
      <c r="L20" s="521"/>
      <c r="M20" s="521"/>
      <c r="N20" s="521"/>
      <c r="O20" s="521"/>
      <c r="P20" s="521"/>
      <c r="Q20" s="521"/>
      <c r="R20" s="521"/>
      <c r="S20" s="521"/>
    </row>
    <row r="21" spans="1:19" s="73" customFormat="1" x14ac:dyDescent="0.25">
      <c r="A21" s="521"/>
      <c r="B21" s="81" t="s">
        <v>81</v>
      </c>
      <c r="C21" s="81">
        <f>C19+C18</f>
        <v>120000</v>
      </c>
      <c r="D21" s="521"/>
      <c r="E21" s="521"/>
      <c r="F21" s="521"/>
      <c r="G21" s="521"/>
      <c r="H21" s="521"/>
      <c r="I21" s="521"/>
      <c r="J21" s="521"/>
      <c r="K21" s="521"/>
      <c r="L21" s="521"/>
      <c r="M21" s="521"/>
      <c r="N21" s="521"/>
      <c r="O21" s="521"/>
      <c r="P21" s="521"/>
      <c r="Q21" s="521"/>
      <c r="R21" s="521"/>
      <c r="S21" s="521"/>
    </row>
    <row r="22" spans="1:19" s="73" customFormat="1" x14ac:dyDescent="0.25">
      <c r="A22" s="521"/>
      <c r="B22" s="521"/>
      <c r="C22" s="521"/>
      <c r="D22" s="521"/>
      <c r="E22" s="521"/>
      <c r="F22" s="521"/>
      <c r="G22" s="521"/>
      <c r="H22" s="521"/>
      <c r="I22" s="521"/>
      <c r="J22" s="521"/>
      <c r="K22" s="521"/>
      <c r="L22" s="521"/>
      <c r="M22" s="521"/>
      <c r="N22" s="521"/>
      <c r="O22" s="521"/>
      <c r="P22" s="521"/>
      <c r="Q22" s="521"/>
      <c r="R22" s="521"/>
      <c r="S22" s="521"/>
    </row>
    <row r="23" spans="1:19" s="73" customFormat="1" x14ac:dyDescent="0.25">
      <c r="B23" s="550"/>
    </row>
    <row r="24" spans="1:19" s="295" customFormat="1" x14ac:dyDescent="0.25">
      <c r="A24" s="213" t="s">
        <v>150</v>
      </c>
      <c r="B24" s="549"/>
    </row>
    <row r="25" spans="1:19" s="295" customFormat="1" x14ac:dyDescent="0.25">
      <c r="A25" s="295">
        <v>2.4</v>
      </c>
      <c r="B25" s="729" t="s">
        <v>517</v>
      </c>
    </row>
    <row r="26" spans="1:19" s="295" customFormat="1" x14ac:dyDescent="0.25">
      <c r="B26" s="549"/>
    </row>
    <row r="27" spans="1:19" s="295" customFormat="1" x14ac:dyDescent="0.25">
      <c r="A27" s="213" t="s">
        <v>235</v>
      </c>
    </row>
    <row r="28" spans="1:19" s="295" customFormat="1" x14ac:dyDescent="0.25">
      <c r="A28" s="295">
        <v>2.4</v>
      </c>
      <c r="B28" s="730" t="s">
        <v>518</v>
      </c>
    </row>
    <row r="29" spans="1:19" s="295" customFormat="1" x14ac:dyDescent="0.25"/>
    <row r="30" spans="1:19" s="73" customFormat="1" x14ac:dyDescent="0.25">
      <c r="B30" s="254"/>
    </row>
    <row r="31" spans="1:19" x14ac:dyDescent="0.25">
      <c r="B31" s="296"/>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4"/>
  <dimension ref="A1:Q114"/>
  <sheetViews>
    <sheetView zoomScale="70" zoomScaleNormal="70" workbookViewId="0">
      <selection activeCell="H7" sqref="H7"/>
    </sheetView>
  </sheetViews>
  <sheetFormatPr defaultRowHeight="15" x14ac:dyDescent="0.25"/>
  <cols>
    <col min="1" max="1" width="4.7109375" customWidth="1"/>
    <col min="2" max="2" width="5.85546875" customWidth="1"/>
    <col min="3" max="3" width="26.85546875" customWidth="1"/>
    <col min="4" max="4" width="23" customWidth="1"/>
    <col min="5" max="5" width="23.42578125" customWidth="1"/>
    <col min="6" max="6" width="16.85546875" customWidth="1"/>
    <col min="7" max="7" width="14.7109375" bestFit="1" customWidth="1"/>
    <col min="8" max="8" width="15.140625" style="73" bestFit="1" customWidth="1"/>
    <col min="9" max="9" width="20" style="73" customWidth="1"/>
    <col min="10" max="10" width="14.42578125" style="73" customWidth="1"/>
    <col min="11" max="11" width="13.140625" customWidth="1"/>
    <col min="12" max="12" width="14.5703125" customWidth="1"/>
    <col min="13" max="13" width="17.140625" customWidth="1"/>
    <col min="14" max="14" width="20" customWidth="1"/>
    <col min="15" max="15" width="14.85546875" customWidth="1"/>
    <col min="16" max="16" width="13.28515625" customWidth="1"/>
    <col min="17" max="17" width="10.7109375" customWidth="1"/>
    <col min="18" max="18" width="11.42578125" customWidth="1"/>
    <col min="19" max="19" width="12.7109375" customWidth="1"/>
    <col min="20" max="20" width="12.42578125" customWidth="1"/>
    <col min="21" max="21" width="11.42578125" customWidth="1"/>
    <col min="22" max="22" width="16.140625" customWidth="1"/>
    <col min="23" max="23" width="13.7109375" customWidth="1"/>
  </cols>
  <sheetData>
    <row r="1" spans="1:17" x14ac:dyDescent="0.25">
      <c r="A1" s="488" t="s">
        <v>412</v>
      </c>
      <c r="C1" s="39"/>
      <c r="D1" s="39"/>
      <c r="E1" s="39"/>
      <c r="F1" s="39"/>
    </row>
    <row r="2" spans="1:17" s="73" customFormat="1" x14ac:dyDescent="0.25">
      <c r="A2" s="61"/>
    </row>
    <row r="3" spans="1:17" x14ac:dyDescent="0.25">
      <c r="E3" s="753" t="s">
        <v>143</v>
      </c>
      <c r="F3" s="753"/>
      <c r="G3" s="753"/>
      <c r="H3" s="753"/>
    </row>
    <row r="4" spans="1:17" x14ac:dyDescent="0.25">
      <c r="A4" s="61" t="s">
        <v>111</v>
      </c>
      <c r="E4" s="48">
        <v>1</v>
      </c>
      <c r="F4" s="48">
        <v>10</v>
      </c>
      <c r="G4" s="48">
        <v>50</v>
      </c>
      <c r="H4" s="48">
        <v>100</v>
      </c>
      <c r="I4" s="65"/>
      <c r="J4" s="65"/>
    </row>
    <row r="5" spans="1:17" x14ac:dyDescent="0.25">
      <c r="B5">
        <v>2.5</v>
      </c>
      <c r="C5" t="s">
        <v>56</v>
      </c>
      <c r="E5" s="43">
        <f>D86*E4</f>
        <v>53808.073333333334</v>
      </c>
      <c r="F5" s="525">
        <f t="shared" ref="F5:H5" si="0">E86*F4</f>
        <v>491314.01407011348</v>
      </c>
      <c r="G5" s="525">
        <f t="shared" si="0"/>
        <v>2305303.0569004659</v>
      </c>
      <c r="H5" s="525">
        <f t="shared" si="0"/>
        <v>3920874.9000000004</v>
      </c>
      <c r="I5" s="47"/>
      <c r="J5" s="47"/>
    </row>
    <row r="7" spans="1:17" s="547" customFormat="1" x14ac:dyDescent="0.25"/>
    <row r="8" spans="1:17" s="547" customFormat="1" x14ac:dyDescent="0.25">
      <c r="A8" s="488" t="s">
        <v>474</v>
      </c>
    </row>
    <row r="9" spans="1:17" s="547" customFormat="1" x14ac:dyDescent="0.25"/>
    <row r="10" spans="1:17" s="547" customFormat="1" x14ac:dyDescent="0.25">
      <c r="B10" s="547" t="s">
        <v>38</v>
      </c>
      <c r="D10" s="464" t="s">
        <v>470</v>
      </c>
      <c r="E10" s="464" t="s">
        <v>143</v>
      </c>
      <c r="F10" s="464" t="s">
        <v>471</v>
      </c>
      <c r="G10" s="464" t="s">
        <v>472</v>
      </c>
      <c r="H10" s="464" t="s">
        <v>473</v>
      </c>
      <c r="I10" s="464" t="s">
        <v>477</v>
      </c>
      <c r="N10" s="462"/>
      <c r="P10" s="465"/>
      <c r="Q10" s="597"/>
    </row>
    <row r="11" spans="1:17" s="547" customFormat="1" x14ac:dyDescent="0.25">
      <c r="C11" s="547" t="s">
        <v>325</v>
      </c>
      <c r="D11" s="465">
        <v>9350</v>
      </c>
      <c r="E11" s="547">
        <v>1</v>
      </c>
      <c r="F11" s="547">
        <v>8</v>
      </c>
      <c r="G11" s="67">
        <f>D11*E11*H11</f>
        <v>1168.75</v>
      </c>
      <c r="H11" s="290">
        <f>1/F11</f>
        <v>0.125</v>
      </c>
      <c r="I11" s="290">
        <f>H11</f>
        <v>0.125</v>
      </c>
      <c r="N11" s="462"/>
      <c r="P11" s="465"/>
      <c r="Q11" s="597"/>
    </row>
    <row r="12" spans="1:17" s="547" customFormat="1" x14ac:dyDescent="0.25">
      <c r="C12" s="547" t="s">
        <v>341</v>
      </c>
      <c r="D12" s="465">
        <v>408</v>
      </c>
      <c r="E12" s="547">
        <v>4</v>
      </c>
      <c r="F12" s="547">
        <v>20</v>
      </c>
      <c r="G12" s="67">
        <f t="shared" ref="G12:G28" si="1">D12*E12*H12</f>
        <v>81.600000000000009</v>
      </c>
      <c r="H12" s="290">
        <f t="shared" ref="H12:H28" si="2">1/F12</f>
        <v>0.05</v>
      </c>
      <c r="N12" s="462"/>
      <c r="P12" s="465"/>
      <c r="Q12" s="597"/>
    </row>
    <row r="13" spans="1:17" s="547" customFormat="1" x14ac:dyDescent="0.25">
      <c r="C13" s="547" t="s">
        <v>465</v>
      </c>
      <c r="D13" s="465">
        <v>116</v>
      </c>
      <c r="E13" s="547">
        <v>1</v>
      </c>
      <c r="F13" s="547">
        <v>5</v>
      </c>
      <c r="G13" s="67">
        <f t="shared" si="1"/>
        <v>23.200000000000003</v>
      </c>
      <c r="H13" s="290">
        <f t="shared" si="2"/>
        <v>0.2</v>
      </c>
      <c r="N13" s="462"/>
      <c r="P13" s="465"/>
      <c r="Q13" s="597"/>
    </row>
    <row r="14" spans="1:17" s="547" customFormat="1" x14ac:dyDescent="0.25">
      <c r="C14" s="547" t="s">
        <v>327</v>
      </c>
      <c r="D14" s="465">
        <v>225</v>
      </c>
      <c r="E14" s="547">
        <v>2</v>
      </c>
      <c r="F14" s="547">
        <v>8</v>
      </c>
      <c r="G14" s="67">
        <f t="shared" si="1"/>
        <v>56.25</v>
      </c>
      <c r="H14" s="290">
        <f t="shared" si="2"/>
        <v>0.125</v>
      </c>
      <c r="N14" s="462"/>
      <c r="P14" s="465"/>
      <c r="Q14" s="597"/>
    </row>
    <row r="15" spans="1:17" s="547" customFormat="1" x14ac:dyDescent="0.25">
      <c r="C15" s="547" t="s">
        <v>328</v>
      </c>
      <c r="D15" s="465">
        <v>702</v>
      </c>
      <c r="E15" s="547">
        <v>2</v>
      </c>
      <c r="G15" s="67"/>
      <c r="H15" s="290"/>
      <c r="N15" s="462"/>
      <c r="P15" s="465"/>
      <c r="Q15" s="597"/>
    </row>
    <row r="16" spans="1:17" s="547" customFormat="1" x14ac:dyDescent="0.25">
      <c r="C16" s="547" t="s">
        <v>329</v>
      </c>
      <c r="D16" s="465">
        <v>19800</v>
      </c>
      <c r="E16" s="547">
        <v>4</v>
      </c>
      <c r="G16" s="67"/>
      <c r="H16" s="290"/>
      <c r="N16" s="462"/>
      <c r="P16" s="465"/>
      <c r="Q16" s="597"/>
    </row>
    <row r="17" spans="1:17" s="547" customFormat="1" x14ac:dyDescent="0.25">
      <c r="C17" s="547" t="s">
        <v>330</v>
      </c>
      <c r="D17" s="465">
        <v>898</v>
      </c>
      <c r="E17" s="547">
        <v>1</v>
      </c>
      <c r="G17" s="67"/>
      <c r="H17" s="290"/>
      <c r="N17" s="462"/>
      <c r="P17" s="465"/>
      <c r="Q17" s="597"/>
    </row>
    <row r="18" spans="1:17" s="547" customFormat="1" x14ac:dyDescent="0.25">
      <c r="C18" s="547" t="s">
        <v>331</v>
      </c>
      <c r="D18" s="465">
        <v>2568</v>
      </c>
      <c r="E18" s="547">
        <v>1</v>
      </c>
      <c r="G18" s="67"/>
      <c r="H18" s="290"/>
      <c r="N18" s="462"/>
      <c r="P18" s="465"/>
      <c r="Q18" s="597"/>
    </row>
    <row r="19" spans="1:17" s="547" customFormat="1" x14ac:dyDescent="0.25">
      <c r="C19" s="547" t="s">
        <v>332</v>
      </c>
      <c r="D19" s="465">
        <v>8261</v>
      </c>
      <c r="E19" s="547">
        <v>1</v>
      </c>
      <c r="F19" s="547">
        <v>5</v>
      </c>
      <c r="G19" s="67">
        <f t="shared" si="1"/>
        <v>1652.2</v>
      </c>
      <c r="H19" s="290">
        <f t="shared" si="2"/>
        <v>0.2</v>
      </c>
      <c r="I19" s="290">
        <f>H19</f>
        <v>0.2</v>
      </c>
      <c r="N19" s="462"/>
      <c r="P19" s="465"/>
      <c r="Q19" s="597"/>
    </row>
    <row r="20" spans="1:17" s="547" customFormat="1" x14ac:dyDescent="0.25">
      <c r="C20" s="547" t="s">
        <v>333</v>
      </c>
      <c r="D20" s="465">
        <v>7000</v>
      </c>
      <c r="E20" s="547">
        <v>1</v>
      </c>
      <c r="G20" s="67"/>
      <c r="H20" s="290"/>
      <c r="M20" s="549"/>
      <c r="N20" s="80"/>
      <c r="P20" s="465"/>
      <c r="Q20" s="597"/>
    </row>
    <row r="21" spans="1:17" s="547" customFormat="1" x14ac:dyDescent="0.25">
      <c r="B21" s="547" t="s">
        <v>467</v>
      </c>
      <c r="G21" s="67"/>
      <c r="H21" s="290"/>
      <c r="M21" s="549"/>
      <c r="N21" s="80"/>
      <c r="P21" s="465"/>
      <c r="Q21" s="597"/>
    </row>
    <row r="22" spans="1:17" s="547" customFormat="1" x14ac:dyDescent="0.25">
      <c r="C22" s="547" t="s">
        <v>34</v>
      </c>
      <c r="D22" s="465">
        <v>7006</v>
      </c>
      <c r="E22" s="547">
        <v>1</v>
      </c>
      <c r="F22" s="547">
        <v>10</v>
      </c>
      <c r="G22" s="67">
        <f t="shared" si="1"/>
        <v>700.6</v>
      </c>
      <c r="H22" s="290">
        <f t="shared" si="2"/>
        <v>0.1</v>
      </c>
      <c r="I22" s="290">
        <f>H22</f>
        <v>0.1</v>
      </c>
      <c r="M22" s="549"/>
      <c r="N22" s="80"/>
      <c r="P22" s="465"/>
      <c r="Q22" s="597"/>
    </row>
    <row r="23" spans="1:17" s="547" customFormat="1" x14ac:dyDescent="0.25">
      <c r="C23" s="547" t="s">
        <v>39</v>
      </c>
      <c r="D23" s="465">
        <v>30000</v>
      </c>
      <c r="E23" s="547">
        <v>1</v>
      </c>
      <c r="F23" s="547">
        <v>7.5</v>
      </c>
      <c r="G23" s="67">
        <f t="shared" si="1"/>
        <v>4000</v>
      </c>
      <c r="H23" s="290">
        <f t="shared" si="2"/>
        <v>0.13333333333333333</v>
      </c>
      <c r="I23" s="290">
        <f>H23</f>
        <v>0.13333333333333333</v>
      </c>
      <c r="P23" s="465"/>
    </row>
    <row r="24" spans="1:17" s="547" customFormat="1" x14ac:dyDescent="0.25">
      <c r="C24" s="547" t="s">
        <v>41</v>
      </c>
      <c r="D24" s="465">
        <v>20000</v>
      </c>
      <c r="E24" s="547">
        <v>1</v>
      </c>
      <c r="F24" s="547">
        <v>15</v>
      </c>
      <c r="G24" s="67">
        <f t="shared" si="1"/>
        <v>1333.3333333333333</v>
      </c>
      <c r="H24" s="290">
        <f t="shared" si="2"/>
        <v>6.6666666666666666E-2</v>
      </c>
      <c r="I24" s="290">
        <f>H24</f>
        <v>6.6666666666666666E-2</v>
      </c>
      <c r="P24" s="465"/>
    </row>
    <row r="25" spans="1:17" s="547" customFormat="1" x14ac:dyDescent="0.25">
      <c r="B25" s="547" t="s">
        <v>468</v>
      </c>
      <c r="G25" s="67"/>
      <c r="H25" s="290"/>
      <c r="P25" s="465"/>
    </row>
    <row r="26" spans="1:17" s="547" customFormat="1" x14ac:dyDescent="0.25">
      <c r="C26" s="547" t="s">
        <v>43</v>
      </c>
      <c r="D26" s="465">
        <v>88000</v>
      </c>
      <c r="E26" s="547">
        <v>1</v>
      </c>
      <c r="F26" s="547">
        <v>10</v>
      </c>
      <c r="G26" s="67">
        <f t="shared" si="1"/>
        <v>8800</v>
      </c>
      <c r="H26" s="290">
        <f t="shared" si="2"/>
        <v>0.1</v>
      </c>
      <c r="P26" s="465"/>
    </row>
    <row r="27" spans="1:17" s="547" customFormat="1" x14ac:dyDescent="0.25">
      <c r="C27" s="547" t="s">
        <v>469</v>
      </c>
      <c r="D27" s="547">
        <f>'1.3'!E10</f>
        <v>524775</v>
      </c>
      <c r="E27" s="547">
        <v>1</v>
      </c>
      <c r="F27" s="547">
        <v>20</v>
      </c>
      <c r="G27" s="67">
        <f t="shared" si="1"/>
        <v>26238.75</v>
      </c>
      <c r="H27" s="290">
        <f t="shared" si="2"/>
        <v>0.05</v>
      </c>
      <c r="I27" s="290">
        <f>H27</f>
        <v>0.05</v>
      </c>
      <c r="P27" s="465"/>
    </row>
    <row r="28" spans="1:17" s="547" customFormat="1" x14ac:dyDescent="0.25">
      <c r="C28" s="547" t="s">
        <v>476</v>
      </c>
      <c r="D28" s="465">
        <v>30514</v>
      </c>
      <c r="E28" s="547">
        <v>1</v>
      </c>
      <c r="F28" s="547">
        <v>10</v>
      </c>
      <c r="G28" s="67">
        <f t="shared" si="1"/>
        <v>3051.4</v>
      </c>
      <c r="H28" s="290">
        <f t="shared" si="2"/>
        <v>0.1</v>
      </c>
      <c r="P28" s="465"/>
    </row>
    <row r="29" spans="1:17" s="547" customFormat="1" x14ac:dyDescent="0.25">
      <c r="P29" s="465"/>
    </row>
    <row r="30" spans="1:17" s="547" customFormat="1" x14ac:dyDescent="0.25">
      <c r="B30" s="331" t="s">
        <v>81</v>
      </c>
      <c r="C30" s="331"/>
      <c r="D30" s="331"/>
      <c r="E30" s="331"/>
      <c r="F30" s="331"/>
      <c r="G30" s="674">
        <f>SUM(G11:G28)</f>
        <v>47106.083333333336</v>
      </c>
      <c r="H30" s="674">
        <f>SUM(H11:H28)</f>
        <v>1.25</v>
      </c>
      <c r="I30" s="675">
        <f>SUM(I11:I28)</f>
        <v>0.67500000000000004</v>
      </c>
    </row>
    <row r="31" spans="1:17" s="547" customFormat="1" x14ac:dyDescent="0.25"/>
    <row r="32" spans="1:17" s="547" customFormat="1" x14ac:dyDescent="0.25">
      <c r="A32" s="488" t="s">
        <v>478</v>
      </c>
      <c r="E32" s="488">
        <f>'Performance &amp; Economics'!G7</f>
        <v>286</v>
      </c>
      <c r="F32" s="488" t="s">
        <v>141</v>
      </c>
    </row>
    <row r="33" spans="2:17" s="547" customFormat="1" x14ac:dyDescent="0.25"/>
    <row r="34" spans="2:17" s="547" customFormat="1" x14ac:dyDescent="0.25">
      <c r="B34" s="547" t="s">
        <v>38</v>
      </c>
      <c r="D34" s="464" t="s">
        <v>470</v>
      </c>
      <c r="E34" s="464" t="s">
        <v>143</v>
      </c>
      <c r="F34" s="464" t="s">
        <v>471</v>
      </c>
      <c r="G34" s="464" t="s">
        <v>472</v>
      </c>
      <c r="H34" s="464" t="s">
        <v>473</v>
      </c>
      <c r="I34" s="464" t="s">
        <v>477</v>
      </c>
    </row>
    <row r="35" spans="2:17" s="547" customFormat="1" x14ac:dyDescent="0.25">
      <c r="C35" s="547" t="s">
        <v>325</v>
      </c>
      <c r="D35" s="457">
        <f>D11*$E$32/100</f>
        <v>26741</v>
      </c>
      <c r="E35" s="547">
        <v>1</v>
      </c>
      <c r="F35" s="547">
        <v>8</v>
      </c>
      <c r="G35" s="456">
        <f>D35*E35*H35</f>
        <v>3342.625</v>
      </c>
      <c r="H35" s="290">
        <f>1/F35</f>
        <v>0.125</v>
      </c>
      <c r="I35" s="290">
        <f>H35</f>
        <v>0.125</v>
      </c>
    </row>
    <row r="36" spans="2:17" s="547" customFormat="1" x14ac:dyDescent="0.25">
      <c r="C36" s="547" t="s">
        <v>341</v>
      </c>
      <c r="D36" s="457">
        <f t="shared" ref="D36:D48" si="3">D12*$E$32/100</f>
        <v>1166.8800000000001</v>
      </c>
      <c r="E36" s="547">
        <v>4</v>
      </c>
      <c r="F36" s="547">
        <v>20</v>
      </c>
      <c r="G36" s="456">
        <f t="shared" ref="G36:G38" si="4">D36*E36*H36</f>
        <v>233.37600000000003</v>
      </c>
      <c r="H36" s="290">
        <f t="shared" ref="H36:H38" si="5">1/F36</f>
        <v>0.05</v>
      </c>
    </row>
    <row r="37" spans="2:17" s="547" customFormat="1" x14ac:dyDescent="0.25">
      <c r="C37" s="547" t="s">
        <v>465</v>
      </c>
      <c r="D37" s="457">
        <f t="shared" si="3"/>
        <v>331.76</v>
      </c>
      <c r="E37" s="547">
        <v>1</v>
      </c>
      <c r="F37" s="547">
        <v>5</v>
      </c>
      <c r="G37" s="456">
        <f t="shared" si="4"/>
        <v>66.352000000000004</v>
      </c>
      <c r="H37" s="290">
        <f t="shared" si="5"/>
        <v>0.2</v>
      </c>
    </row>
    <row r="38" spans="2:17" s="547" customFormat="1" x14ac:dyDescent="0.25">
      <c r="C38" s="547" t="s">
        <v>327</v>
      </c>
      <c r="D38" s="457">
        <f t="shared" si="3"/>
        <v>643.5</v>
      </c>
      <c r="E38" s="547">
        <v>2</v>
      </c>
      <c r="F38" s="547">
        <v>8</v>
      </c>
      <c r="G38" s="456">
        <f t="shared" si="4"/>
        <v>160.875</v>
      </c>
      <c r="H38" s="290">
        <f t="shared" si="5"/>
        <v>0.125</v>
      </c>
    </row>
    <row r="39" spans="2:17" s="547" customFormat="1" x14ac:dyDescent="0.25">
      <c r="C39" s="547" t="s">
        <v>328</v>
      </c>
      <c r="D39" s="457">
        <f t="shared" si="3"/>
        <v>2007.72</v>
      </c>
      <c r="E39" s="547">
        <v>2</v>
      </c>
      <c r="G39" s="456"/>
      <c r="H39" s="290"/>
    </row>
    <row r="40" spans="2:17" s="547" customFormat="1" x14ac:dyDescent="0.25">
      <c r="C40" s="547" t="s">
        <v>329</v>
      </c>
      <c r="D40" s="457">
        <f t="shared" si="3"/>
        <v>56628</v>
      </c>
      <c r="E40" s="547">
        <v>4</v>
      </c>
      <c r="G40" s="456"/>
      <c r="H40" s="290"/>
    </row>
    <row r="41" spans="2:17" s="547" customFormat="1" x14ac:dyDescent="0.25">
      <c r="C41" s="547" t="s">
        <v>330</v>
      </c>
      <c r="D41" s="457">
        <f t="shared" si="3"/>
        <v>2568.2800000000002</v>
      </c>
      <c r="E41" s="547">
        <v>1</v>
      </c>
      <c r="G41" s="456"/>
      <c r="H41" s="290"/>
    </row>
    <row r="42" spans="2:17" s="547" customFormat="1" x14ac:dyDescent="0.25">
      <c r="C42" s="547" t="s">
        <v>331</v>
      </c>
      <c r="D42" s="457">
        <f t="shared" si="3"/>
        <v>7344.48</v>
      </c>
      <c r="E42" s="547">
        <v>1</v>
      </c>
      <c r="G42" s="456"/>
      <c r="H42" s="290"/>
    </row>
    <row r="43" spans="2:17" s="547" customFormat="1" x14ac:dyDescent="0.25">
      <c r="C43" s="547" t="s">
        <v>332</v>
      </c>
      <c r="D43" s="457">
        <f t="shared" si="3"/>
        <v>23626.46</v>
      </c>
      <c r="E43" s="547">
        <v>1</v>
      </c>
      <c r="F43" s="547">
        <v>5</v>
      </c>
      <c r="G43" s="456">
        <f t="shared" ref="G43" si="6">D43*E43*H43</f>
        <v>4725.2920000000004</v>
      </c>
      <c r="H43" s="290">
        <f t="shared" ref="H43" si="7">1/F43</f>
        <v>0.2</v>
      </c>
      <c r="I43" s="290">
        <f>H43</f>
        <v>0.2</v>
      </c>
    </row>
    <row r="44" spans="2:17" s="547" customFormat="1" x14ac:dyDescent="0.25">
      <c r="C44" s="547" t="s">
        <v>333</v>
      </c>
      <c r="D44" s="457">
        <f t="shared" si="3"/>
        <v>20020</v>
      </c>
      <c r="E44" s="547">
        <v>1</v>
      </c>
      <c r="G44" s="456"/>
      <c r="H44" s="290"/>
    </row>
    <row r="45" spans="2:17" s="547" customFormat="1" x14ac:dyDescent="0.25">
      <c r="B45" s="547" t="s">
        <v>467</v>
      </c>
      <c r="D45" s="457">
        <f t="shared" si="3"/>
        <v>0</v>
      </c>
      <c r="G45" s="456"/>
      <c r="H45" s="290"/>
    </row>
    <row r="46" spans="2:17" s="547" customFormat="1" x14ac:dyDescent="0.25">
      <c r="C46" s="547" t="s">
        <v>34</v>
      </c>
      <c r="D46" s="457">
        <f t="shared" si="3"/>
        <v>20037.16</v>
      </c>
      <c r="E46" s="547">
        <v>1</v>
      </c>
      <c r="F46" s="547">
        <v>10</v>
      </c>
      <c r="G46" s="456">
        <f t="shared" ref="G46:G48" si="8">D46*E46*H46</f>
        <v>2003.7160000000001</v>
      </c>
      <c r="H46" s="290">
        <f t="shared" ref="H46:H48" si="9">1/F46</f>
        <v>0.1</v>
      </c>
      <c r="I46" s="290">
        <f>H46</f>
        <v>0.1</v>
      </c>
    </row>
    <row r="47" spans="2:17" s="547" customFormat="1" x14ac:dyDescent="0.25">
      <c r="C47" s="547" t="s">
        <v>39</v>
      </c>
      <c r="D47" s="457">
        <f t="shared" si="3"/>
        <v>85800</v>
      </c>
      <c r="E47" s="547">
        <v>1</v>
      </c>
      <c r="F47" s="547">
        <v>7.5</v>
      </c>
      <c r="G47" s="456">
        <f t="shared" si="8"/>
        <v>11440</v>
      </c>
      <c r="H47" s="290">
        <f t="shared" si="9"/>
        <v>0.13333333333333333</v>
      </c>
      <c r="I47" s="290">
        <f>H47</f>
        <v>0.13333333333333333</v>
      </c>
      <c r="M47"/>
      <c r="N47"/>
      <c r="O47"/>
      <c r="P47"/>
      <c r="Q47"/>
    </row>
    <row r="48" spans="2:17" s="547" customFormat="1" x14ac:dyDescent="0.25">
      <c r="C48" s="547" t="s">
        <v>41</v>
      </c>
      <c r="D48" s="457">
        <f t="shared" si="3"/>
        <v>57200</v>
      </c>
      <c r="E48" s="547">
        <v>1</v>
      </c>
      <c r="F48" s="547">
        <v>15</v>
      </c>
      <c r="G48" s="456">
        <f t="shared" si="8"/>
        <v>3813.3333333333335</v>
      </c>
      <c r="H48" s="290">
        <f t="shared" si="9"/>
        <v>6.6666666666666666E-2</v>
      </c>
      <c r="I48" s="290">
        <f>H48</f>
        <v>6.6666666666666666E-2</v>
      </c>
      <c r="M48"/>
      <c r="N48"/>
      <c r="O48"/>
      <c r="P48"/>
      <c r="Q48"/>
    </row>
    <row r="49" spans="1:17" s="547" customFormat="1" x14ac:dyDescent="0.25">
      <c r="B49" s="547" t="s">
        <v>468</v>
      </c>
      <c r="D49" s="457"/>
      <c r="G49" s="456"/>
      <c r="H49" s="290"/>
      <c r="M49"/>
      <c r="N49"/>
      <c r="O49"/>
      <c r="P49"/>
      <c r="Q49"/>
    </row>
    <row r="50" spans="1:17" s="547" customFormat="1" x14ac:dyDescent="0.25">
      <c r="C50" s="547" t="s">
        <v>43</v>
      </c>
      <c r="D50" s="457">
        <f>D26</f>
        <v>88000</v>
      </c>
      <c r="E50" s="547">
        <v>1</v>
      </c>
      <c r="F50" s="547">
        <v>10</v>
      </c>
      <c r="G50" s="456">
        <f t="shared" ref="G50:G52" si="10">D50*E50*H50</f>
        <v>8800</v>
      </c>
      <c r="H50" s="290">
        <f t="shared" ref="H50:H52" si="11">1/F50</f>
        <v>0.1</v>
      </c>
      <c r="M50" s="73"/>
      <c r="N50" s="73"/>
      <c r="O50" s="73"/>
      <c r="P50" s="73"/>
      <c r="Q50" s="73"/>
    </row>
    <row r="51" spans="1:17" s="547" customFormat="1" x14ac:dyDescent="0.25">
      <c r="C51" s="547" t="s">
        <v>469</v>
      </c>
      <c r="D51" s="457">
        <f>D27</f>
        <v>524775</v>
      </c>
      <c r="E51" s="547">
        <v>1</v>
      </c>
      <c r="F51" s="547">
        <v>50</v>
      </c>
      <c r="G51" s="456">
        <f t="shared" si="10"/>
        <v>10495.5</v>
      </c>
      <c r="H51" s="290">
        <f t="shared" si="11"/>
        <v>0.02</v>
      </c>
      <c r="I51" s="290">
        <f>H51</f>
        <v>0.02</v>
      </c>
      <c r="M51" s="73"/>
      <c r="N51" s="73"/>
      <c r="O51" s="73"/>
      <c r="P51" s="73"/>
      <c r="Q51" s="73"/>
    </row>
    <row r="52" spans="1:17" x14ac:dyDescent="0.25">
      <c r="A52" s="547"/>
      <c r="B52" s="547"/>
      <c r="C52" s="547" t="s">
        <v>476</v>
      </c>
      <c r="D52" s="457">
        <f>D28*E32/100</f>
        <v>87270.04</v>
      </c>
      <c r="E52" s="547">
        <v>1</v>
      </c>
      <c r="F52" s="547">
        <v>10</v>
      </c>
      <c r="G52" s="456">
        <f t="shared" si="10"/>
        <v>8727.003999999999</v>
      </c>
      <c r="H52" s="290">
        <f t="shared" si="11"/>
        <v>0.1</v>
      </c>
      <c r="I52" s="547"/>
      <c r="M52" s="73"/>
      <c r="N52" s="73"/>
      <c r="O52" s="73"/>
      <c r="P52" s="73"/>
      <c r="Q52" s="73"/>
    </row>
    <row r="53" spans="1:17" x14ac:dyDescent="0.25">
      <c r="A53" s="547"/>
      <c r="B53" s="547"/>
      <c r="C53" s="547"/>
      <c r="D53" s="547"/>
      <c r="E53" s="547"/>
      <c r="F53" s="547"/>
      <c r="G53" s="456"/>
      <c r="H53" s="547"/>
      <c r="I53" s="547"/>
      <c r="M53" s="73"/>
      <c r="N53" s="73"/>
      <c r="O53" s="73"/>
      <c r="P53" s="73"/>
      <c r="Q53" s="73"/>
    </row>
    <row r="54" spans="1:17" x14ac:dyDescent="0.25">
      <c r="A54" s="547"/>
      <c r="B54" s="331" t="s">
        <v>81</v>
      </c>
      <c r="C54" s="331"/>
      <c r="D54" s="331"/>
      <c r="E54" s="331"/>
      <c r="F54" s="331"/>
      <c r="G54" s="208">
        <f>SUM(G35:G52)</f>
        <v>53808.073333333334</v>
      </c>
      <c r="H54" s="674">
        <f>SUM(H35:H52)</f>
        <v>1.22</v>
      </c>
      <c r="I54" s="675">
        <f>SUM(I35:I52)</f>
        <v>0.64500000000000002</v>
      </c>
    </row>
    <row r="55" spans="1:17" s="73" customFormat="1" x14ac:dyDescent="0.25">
      <c r="B55" s="441"/>
      <c r="E55" s="444"/>
      <c r="F55" s="444"/>
      <c r="G55" s="444"/>
      <c r="H55" s="444"/>
      <c r="I55" s="437"/>
      <c r="J55" s="437"/>
    </row>
    <row r="56" spans="1:17" s="547" customFormat="1" x14ac:dyDescent="0.25">
      <c r="A56" s="488" t="s">
        <v>479</v>
      </c>
      <c r="E56" s="464"/>
      <c r="F56" s="464"/>
      <c r="G56" s="464"/>
      <c r="H56" s="464"/>
    </row>
    <row r="57" spans="1:17" s="547" customFormat="1" x14ac:dyDescent="0.25">
      <c r="E57" s="464"/>
      <c r="F57" s="464"/>
      <c r="G57" s="464"/>
      <c r="H57" s="464"/>
    </row>
    <row r="58" spans="1:17" s="547" customFormat="1" x14ac:dyDescent="0.25">
      <c r="B58" s="547" t="s">
        <v>38</v>
      </c>
      <c r="D58" s="464" t="s">
        <v>470</v>
      </c>
      <c r="E58" s="464" t="s">
        <v>143</v>
      </c>
      <c r="F58" s="464" t="s">
        <v>471</v>
      </c>
      <c r="G58" s="464" t="s">
        <v>472</v>
      </c>
      <c r="H58" s="464" t="s">
        <v>473</v>
      </c>
      <c r="I58" s="464" t="s">
        <v>477</v>
      </c>
    </row>
    <row r="59" spans="1:17" s="547" customFormat="1" x14ac:dyDescent="0.25">
      <c r="C59" s="547" t="s">
        <v>325</v>
      </c>
      <c r="D59" s="457">
        <v>24310</v>
      </c>
      <c r="E59" s="547">
        <v>1</v>
      </c>
      <c r="F59" s="547">
        <v>8</v>
      </c>
      <c r="G59" s="456">
        <f>D59*E59*H59</f>
        <v>3038.75</v>
      </c>
      <c r="H59" s="290">
        <f>1/F59</f>
        <v>0.125</v>
      </c>
      <c r="I59" s="290">
        <f>H59</f>
        <v>0.125</v>
      </c>
    </row>
    <row r="60" spans="1:17" s="547" customFormat="1" x14ac:dyDescent="0.25">
      <c r="C60" s="547" t="s">
        <v>341</v>
      </c>
      <c r="D60" s="457">
        <v>938.07999999999993</v>
      </c>
      <c r="E60" s="547">
        <v>4</v>
      </c>
      <c r="F60" s="547">
        <v>20</v>
      </c>
      <c r="G60" s="456">
        <f t="shared" ref="G60:G62" si="12">D60*E60*H60</f>
        <v>187.61599999999999</v>
      </c>
      <c r="H60" s="290">
        <f t="shared" ref="H60:H62" si="13">1/F60</f>
        <v>0.05</v>
      </c>
    </row>
    <row r="61" spans="1:17" s="547" customFormat="1" x14ac:dyDescent="0.25">
      <c r="C61" s="547" t="s">
        <v>465</v>
      </c>
      <c r="D61" s="457">
        <v>277.42</v>
      </c>
      <c r="E61" s="547">
        <v>1</v>
      </c>
      <c r="F61" s="547">
        <v>5</v>
      </c>
      <c r="G61" s="456">
        <f t="shared" si="12"/>
        <v>55.484000000000009</v>
      </c>
      <c r="H61" s="290">
        <f t="shared" si="13"/>
        <v>0.2</v>
      </c>
    </row>
    <row r="62" spans="1:17" s="547" customFormat="1" x14ac:dyDescent="0.25">
      <c r="C62" s="547" t="s">
        <v>327</v>
      </c>
      <c r="D62" s="457">
        <v>480.47999999999996</v>
      </c>
      <c r="E62" s="547">
        <v>2</v>
      </c>
      <c r="F62" s="547">
        <v>8</v>
      </c>
      <c r="G62" s="456">
        <f t="shared" si="12"/>
        <v>120.11999999999999</v>
      </c>
      <c r="H62" s="290">
        <f t="shared" si="13"/>
        <v>0.125</v>
      </c>
    </row>
    <row r="63" spans="1:17" s="547" customFormat="1" x14ac:dyDescent="0.25">
      <c r="C63" s="547" t="s">
        <v>328</v>
      </c>
      <c r="D63" s="457">
        <v>1893.32</v>
      </c>
      <c r="E63" s="547">
        <v>2</v>
      </c>
      <c r="G63" s="456"/>
      <c r="H63" s="290"/>
    </row>
    <row r="64" spans="1:17" s="547" customFormat="1" x14ac:dyDescent="0.25">
      <c r="C64" s="547" t="s">
        <v>329</v>
      </c>
      <c r="D64" s="457">
        <v>23452</v>
      </c>
      <c r="E64" s="547">
        <v>4</v>
      </c>
      <c r="G64" s="456"/>
      <c r="H64" s="290"/>
    </row>
    <row r="65" spans="2:9" s="547" customFormat="1" x14ac:dyDescent="0.25">
      <c r="C65" s="547" t="s">
        <v>330</v>
      </c>
      <c r="D65" s="457">
        <v>2419.56</v>
      </c>
      <c r="E65" s="547">
        <v>1</v>
      </c>
      <c r="G65" s="456"/>
      <c r="H65" s="290"/>
    </row>
    <row r="66" spans="2:9" s="547" customFormat="1" x14ac:dyDescent="0.25">
      <c r="C66" s="547" t="s">
        <v>331</v>
      </c>
      <c r="D66" s="457">
        <v>6912.62</v>
      </c>
      <c r="E66" s="547">
        <v>1</v>
      </c>
      <c r="G66" s="456"/>
      <c r="H66" s="290"/>
    </row>
    <row r="67" spans="2:9" s="547" customFormat="1" x14ac:dyDescent="0.25">
      <c r="C67" s="547" t="s">
        <v>332</v>
      </c>
      <c r="D67" s="457">
        <v>17889.3</v>
      </c>
      <c r="E67" s="547">
        <v>1</v>
      </c>
      <c r="F67" s="547">
        <v>5</v>
      </c>
      <c r="G67" s="456">
        <f t="shared" ref="G67" si="14">D67*E67*H67</f>
        <v>3577.86</v>
      </c>
      <c r="H67" s="290">
        <f t="shared" ref="H67" si="15">1/F67</f>
        <v>0.2</v>
      </c>
      <c r="I67" s="290">
        <f>H67</f>
        <v>0.2</v>
      </c>
    </row>
    <row r="68" spans="2:9" s="547" customFormat="1" x14ac:dyDescent="0.25">
      <c r="C68" s="547" t="s">
        <v>333</v>
      </c>
      <c r="D68" s="457">
        <v>18590</v>
      </c>
      <c r="E68" s="547">
        <v>1</v>
      </c>
      <c r="G68" s="456"/>
      <c r="H68" s="290"/>
    </row>
    <row r="69" spans="2:9" s="547" customFormat="1" x14ac:dyDescent="0.25">
      <c r="B69" s="547" t="s">
        <v>467</v>
      </c>
      <c r="D69" s="457"/>
      <c r="G69" s="456"/>
      <c r="H69" s="290"/>
    </row>
    <row r="70" spans="2:9" s="547" customFormat="1" x14ac:dyDescent="0.25">
      <c r="C70" s="547" t="s">
        <v>34</v>
      </c>
      <c r="D70" s="457">
        <v>25740</v>
      </c>
      <c r="E70" s="547">
        <v>1</v>
      </c>
      <c r="F70" s="547">
        <v>10</v>
      </c>
      <c r="G70" s="456">
        <f t="shared" ref="G70:G72" si="16">D70*E70*H70</f>
        <v>2574</v>
      </c>
      <c r="H70" s="290">
        <f t="shared" ref="H70:H72" si="17">1/F70</f>
        <v>0.1</v>
      </c>
      <c r="I70" s="290">
        <f>H70</f>
        <v>0.1</v>
      </c>
    </row>
    <row r="71" spans="2:9" s="547" customFormat="1" x14ac:dyDescent="0.25">
      <c r="C71" s="547" t="s">
        <v>39</v>
      </c>
      <c r="D71" s="457">
        <v>15027.869999999999</v>
      </c>
      <c r="E71" s="547">
        <v>1</v>
      </c>
      <c r="F71" s="547">
        <v>7.5</v>
      </c>
      <c r="G71" s="456">
        <f t="shared" si="16"/>
        <v>2003.7159999999999</v>
      </c>
      <c r="H71" s="290">
        <f t="shared" si="17"/>
        <v>0.13333333333333333</v>
      </c>
      <c r="I71" s="290">
        <f>H71</f>
        <v>0.13333333333333333</v>
      </c>
    </row>
    <row r="72" spans="2:9" s="547" customFormat="1" x14ac:dyDescent="0.25">
      <c r="C72" s="547" t="s">
        <v>41</v>
      </c>
      <c r="D72" s="457">
        <v>42900</v>
      </c>
      <c r="E72" s="547">
        <v>1</v>
      </c>
      <c r="F72" s="547">
        <v>15</v>
      </c>
      <c r="G72" s="456">
        <f t="shared" si="16"/>
        <v>2860</v>
      </c>
      <c r="H72" s="290">
        <f t="shared" si="17"/>
        <v>6.6666666666666666E-2</v>
      </c>
      <c r="I72" s="290">
        <f>H72</f>
        <v>6.6666666666666666E-2</v>
      </c>
    </row>
    <row r="73" spans="2:9" s="547" customFormat="1" x14ac:dyDescent="0.25">
      <c r="B73" s="547" t="s">
        <v>468</v>
      </c>
      <c r="D73" s="457"/>
      <c r="G73" s="456"/>
      <c r="H73" s="290"/>
    </row>
    <row r="74" spans="2:9" s="547" customFormat="1" x14ac:dyDescent="0.25">
      <c r="C74" s="547" t="s">
        <v>43</v>
      </c>
      <c r="D74" s="457">
        <v>88000</v>
      </c>
      <c r="E74" s="547">
        <v>1</v>
      </c>
      <c r="F74" s="547">
        <v>10</v>
      </c>
      <c r="G74" s="456">
        <f t="shared" ref="G74:G76" si="18">D74*E74*H74</f>
        <v>8800</v>
      </c>
      <c r="H74" s="290">
        <f t="shared" ref="H74:H76" si="19">1/F74</f>
        <v>0.1</v>
      </c>
    </row>
    <row r="75" spans="2:9" s="547" customFormat="1" x14ac:dyDescent="0.25">
      <c r="C75" s="547" t="s">
        <v>469</v>
      </c>
      <c r="D75" s="457">
        <v>472297.5</v>
      </c>
      <c r="E75" s="547">
        <v>1</v>
      </c>
      <c r="F75" s="547">
        <v>50</v>
      </c>
      <c r="G75" s="456">
        <f t="shared" si="18"/>
        <v>9445.9500000000007</v>
      </c>
      <c r="H75" s="290">
        <f t="shared" si="19"/>
        <v>0.02</v>
      </c>
      <c r="I75" s="290">
        <f>H75</f>
        <v>0.02</v>
      </c>
    </row>
    <row r="76" spans="2:9" s="547" customFormat="1" x14ac:dyDescent="0.25">
      <c r="C76" s="547" t="s">
        <v>476</v>
      </c>
      <c r="D76" s="457">
        <v>65452.53</v>
      </c>
      <c r="E76" s="547">
        <v>1</v>
      </c>
      <c r="F76" s="547">
        <v>10</v>
      </c>
      <c r="G76" s="456">
        <f t="shared" si="18"/>
        <v>6545.2530000000006</v>
      </c>
      <c r="H76" s="290">
        <f t="shared" si="19"/>
        <v>0.1</v>
      </c>
    </row>
    <row r="77" spans="2:9" s="547" customFormat="1" x14ac:dyDescent="0.25">
      <c r="D77" s="457"/>
      <c r="G77" s="456"/>
    </row>
    <row r="78" spans="2:9" s="547" customFormat="1" x14ac:dyDescent="0.25">
      <c r="B78" s="331" t="s">
        <v>81</v>
      </c>
      <c r="C78" s="331"/>
      <c r="D78" s="115">
        <f>SUM(D59:D76)</f>
        <v>806580.68</v>
      </c>
      <c r="E78" s="331"/>
      <c r="F78" s="331"/>
      <c r="G78" s="208">
        <f>SUM(G59:G76)</f>
        <v>39208.749000000003</v>
      </c>
      <c r="H78" s="674">
        <f>SUM(H59:H76)</f>
        <v>1.22</v>
      </c>
      <c r="I78" s="675">
        <f>SUM(I59:I76)</f>
        <v>0.64500000000000002</v>
      </c>
    </row>
    <row r="79" spans="2:9" s="547" customFormat="1" x14ac:dyDescent="0.25">
      <c r="D79" s="457"/>
      <c r="E79" s="676"/>
      <c r="F79" s="676"/>
      <c r="G79" s="676"/>
      <c r="H79" s="677"/>
    </row>
    <row r="80" spans="2:9" s="547" customFormat="1" x14ac:dyDescent="0.25">
      <c r="B80" s="548" t="s">
        <v>454</v>
      </c>
      <c r="C80" s="548"/>
      <c r="D80" s="679">
        <f>G78/E32</f>
        <v>137.09352797202797</v>
      </c>
      <c r="E80" s="676"/>
      <c r="F80" s="676"/>
      <c r="G80" s="678"/>
      <c r="H80" s="676"/>
    </row>
    <row r="81" spans="1:17" s="547" customFormat="1" x14ac:dyDescent="0.25">
      <c r="E81" s="464"/>
      <c r="F81" s="464"/>
      <c r="G81" s="464"/>
      <c r="H81" s="464"/>
    </row>
    <row r="82" spans="1:17" s="547" customFormat="1" x14ac:dyDescent="0.25">
      <c r="B82" s="547" t="s">
        <v>480</v>
      </c>
      <c r="D82" s="49">
        <v>0.97299999999999998</v>
      </c>
      <c r="E82" s="464"/>
      <c r="F82" s="464"/>
      <c r="G82" s="464"/>
      <c r="H82" s="464"/>
    </row>
    <row r="83" spans="1:17" s="547" customFormat="1" x14ac:dyDescent="0.25">
      <c r="D83" s="49"/>
      <c r="E83" s="464"/>
      <c r="F83" s="464"/>
      <c r="G83" s="464"/>
      <c r="H83" s="464"/>
    </row>
    <row r="84" spans="1:17" s="73" customFormat="1" x14ac:dyDescent="0.25">
      <c r="A84" s="488" t="s">
        <v>481</v>
      </c>
      <c r="B84" s="441"/>
      <c r="E84" s="106" t="s">
        <v>298</v>
      </c>
      <c r="F84" s="443" t="s">
        <v>66</v>
      </c>
      <c r="G84" s="443"/>
      <c r="H84" s="443"/>
      <c r="I84" s="437"/>
      <c r="J84" s="437"/>
    </row>
    <row r="85" spans="1:17" s="73" customFormat="1" x14ac:dyDescent="0.25">
      <c r="B85" s="441"/>
      <c r="D85" s="520">
        <v>1</v>
      </c>
      <c r="E85" s="119">
        <v>10</v>
      </c>
      <c r="F85" s="119">
        <v>50</v>
      </c>
      <c r="G85" s="119">
        <v>100</v>
      </c>
      <c r="H85" s="445"/>
      <c r="I85" s="441"/>
      <c r="J85" s="441"/>
    </row>
    <row r="86" spans="1:17" s="73" customFormat="1" x14ac:dyDescent="0.25">
      <c r="B86" s="331" t="s">
        <v>81</v>
      </c>
      <c r="C86" s="331"/>
      <c r="D86" s="208">
        <f>G54</f>
        <v>53808.073333333334</v>
      </c>
      <c r="E86" s="115">
        <f>$D$86*E85^(LOG10($D$82)/LOG10(2))</f>
        <v>49131.401407011348</v>
      </c>
      <c r="F86" s="115">
        <f>$D$86*F85^(LOG10($D$82)/LOG10(2))</f>
        <v>46106.061138009318</v>
      </c>
      <c r="G86" s="115">
        <f>G78</f>
        <v>39208.749000000003</v>
      </c>
      <c r="H86" s="442"/>
      <c r="I86" s="441"/>
      <c r="J86" s="441"/>
    </row>
    <row r="87" spans="1:17" s="73" customFormat="1" x14ac:dyDescent="0.25"/>
    <row r="88" spans="1:17" s="73" customFormat="1" x14ac:dyDescent="0.25">
      <c r="E88" s="43"/>
      <c r="M88"/>
      <c r="N88"/>
      <c r="O88"/>
      <c r="P88"/>
      <c r="Q88"/>
    </row>
    <row r="89" spans="1:17" s="73" customFormat="1" x14ac:dyDescent="0.25"/>
    <row r="90" spans="1:17" s="73" customFormat="1" x14ac:dyDescent="0.25">
      <c r="A90" s="213" t="s">
        <v>150</v>
      </c>
    </row>
    <row r="91" spans="1:17" x14ac:dyDescent="0.25">
      <c r="A91" s="295">
        <v>2.5</v>
      </c>
      <c r="B91" s="441" t="s">
        <v>522</v>
      </c>
      <c r="M91" s="73"/>
      <c r="N91" s="73"/>
      <c r="O91" s="73"/>
      <c r="P91" s="73"/>
      <c r="Q91" s="73"/>
    </row>
    <row r="92" spans="1:17" s="73" customFormat="1" x14ac:dyDescent="0.25">
      <c r="A92" s="295"/>
      <c r="K92" s="65"/>
      <c r="L92" s="65"/>
    </row>
    <row r="93" spans="1:17" s="73" customFormat="1" x14ac:dyDescent="0.25">
      <c r="A93" s="295"/>
      <c r="B93" s="241"/>
      <c r="C93" s="241"/>
      <c r="D93" s="241"/>
      <c r="E93" s="242"/>
      <c r="F93" s="32"/>
      <c r="G93" s="32"/>
      <c r="H93" s="32"/>
      <c r="I93" s="32"/>
      <c r="J93" s="32"/>
      <c r="K93" s="243"/>
      <c r="L93" s="87"/>
    </row>
    <row r="94" spans="1:17" s="73" customFormat="1" x14ac:dyDescent="0.25">
      <c r="A94" s="213" t="s">
        <v>235</v>
      </c>
      <c r="B94" s="241"/>
      <c r="C94" s="241"/>
      <c r="D94" s="241"/>
      <c r="E94" s="242"/>
      <c r="F94" s="32"/>
      <c r="G94" s="32"/>
      <c r="H94" s="32"/>
      <c r="I94" s="32"/>
      <c r="J94" s="32"/>
      <c r="K94" s="243"/>
      <c r="L94" s="87"/>
    </row>
    <row r="95" spans="1:17" s="73" customFormat="1" x14ac:dyDescent="0.25">
      <c r="A95" s="73">
        <v>2.5</v>
      </c>
      <c r="B95" s="217" t="s">
        <v>323</v>
      </c>
      <c r="C95" s="217"/>
      <c r="D95" s="217"/>
      <c r="E95" s="217"/>
      <c r="F95" s="32"/>
      <c r="G95" s="32"/>
      <c r="H95" s="32"/>
      <c r="I95" s="32"/>
      <c r="J95" s="32"/>
      <c r="K95" s="243"/>
      <c r="L95" s="87"/>
    </row>
    <row r="96" spans="1:17" s="73" customFormat="1" x14ac:dyDescent="0.25">
      <c r="B96" s="217"/>
      <c r="C96" s="217"/>
      <c r="D96" s="217"/>
      <c r="E96" s="217"/>
      <c r="F96" s="32"/>
      <c r="G96" s="32"/>
      <c r="H96" s="32"/>
      <c r="I96" s="32"/>
      <c r="J96" s="32"/>
      <c r="K96" s="243"/>
      <c r="L96" s="87"/>
    </row>
    <row r="97" spans="1:17" s="73" customFormat="1" x14ac:dyDescent="0.25">
      <c r="B97" s="217"/>
      <c r="C97" s="217"/>
      <c r="D97" s="217"/>
      <c r="E97" s="217"/>
      <c r="F97" s="32"/>
      <c r="G97" s="32"/>
      <c r="H97" s="32"/>
      <c r="I97" s="32"/>
      <c r="J97" s="32"/>
      <c r="K97" s="243"/>
      <c r="L97" s="87"/>
    </row>
    <row r="98" spans="1:17" s="73" customFormat="1" x14ac:dyDescent="0.25">
      <c r="B98" s="217"/>
      <c r="C98" s="217"/>
      <c r="D98" s="217"/>
      <c r="E98" s="217"/>
      <c r="F98" s="32"/>
      <c r="G98" s="32"/>
      <c r="H98" s="32"/>
      <c r="I98" s="32"/>
      <c r="J98" s="32"/>
      <c r="K98" s="243"/>
      <c r="L98" s="87"/>
    </row>
    <row r="99" spans="1:17" s="73" customFormat="1" x14ac:dyDescent="0.25">
      <c r="A99" s="25"/>
      <c r="B99" s="217"/>
      <c r="C99" s="217"/>
      <c r="D99" s="217"/>
      <c r="E99" s="217"/>
      <c r="F99" s="32"/>
      <c r="G99" s="32"/>
      <c r="H99" s="32"/>
      <c r="I99" s="32"/>
      <c r="J99" s="32"/>
      <c r="K99" s="243"/>
      <c r="L99" s="87"/>
    </row>
    <row r="100" spans="1:17" s="73" customFormat="1" x14ac:dyDescent="0.25">
      <c r="B100" s="217"/>
      <c r="C100" s="217"/>
      <c r="D100" s="217"/>
      <c r="E100" s="217"/>
      <c r="F100" s="32"/>
      <c r="G100" s="32"/>
      <c r="H100" s="32"/>
      <c r="I100" s="32"/>
      <c r="J100" s="32"/>
      <c r="K100" s="243"/>
      <c r="L100" s="87"/>
    </row>
    <row r="101" spans="1:17" s="73" customFormat="1" x14ac:dyDescent="0.25">
      <c r="B101" s="217"/>
      <c r="C101" s="217"/>
      <c r="D101" s="217"/>
      <c r="E101" s="217"/>
      <c r="F101" s="32"/>
      <c r="G101" s="32"/>
      <c r="H101" s="32"/>
      <c r="I101" s="32"/>
      <c r="J101" s="32"/>
      <c r="K101" s="243"/>
      <c r="L101" s="87"/>
    </row>
    <row r="102" spans="1:17" s="73" customFormat="1" x14ac:dyDescent="0.25">
      <c r="B102" s="217"/>
      <c r="C102" s="217"/>
      <c r="D102" s="217"/>
      <c r="E102" s="217"/>
      <c r="F102" s="32"/>
      <c r="G102" s="32"/>
      <c r="H102" s="32"/>
      <c r="I102" s="32"/>
      <c r="J102" s="32"/>
      <c r="K102" s="243"/>
      <c r="L102" s="87"/>
    </row>
    <row r="103" spans="1:17" s="73" customFormat="1" x14ac:dyDescent="0.25">
      <c r="B103" s="217"/>
      <c r="C103" s="217"/>
      <c r="D103" s="217"/>
      <c r="E103" s="217"/>
      <c r="F103" s="32"/>
      <c r="G103" s="32"/>
      <c r="H103" s="32"/>
      <c r="I103" s="32"/>
      <c r="J103" s="32"/>
      <c r="K103" s="243"/>
      <c r="L103" s="87"/>
      <c r="M103" s="295"/>
      <c r="N103" s="295"/>
      <c r="O103" s="295"/>
      <c r="P103" s="295"/>
      <c r="Q103" s="295"/>
    </row>
    <row r="104" spans="1:17" s="73" customFormat="1" x14ac:dyDescent="0.25">
      <c r="B104" s="217"/>
      <c r="C104" s="217"/>
      <c r="D104" s="217"/>
      <c r="E104" s="217"/>
      <c r="F104" s="32"/>
      <c r="G104" s="32"/>
      <c r="H104" s="32"/>
      <c r="I104" s="32"/>
      <c r="J104" s="32"/>
      <c r="K104" s="243"/>
      <c r="L104" s="87"/>
      <c r="M104" s="295"/>
      <c r="N104" s="295"/>
      <c r="O104" s="295"/>
      <c r="P104" s="295"/>
      <c r="Q104" s="295"/>
    </row>
    <row r="105" spans="1:17" s="73" customFormat="1" x14ac:dyDescent="0.25">
      <c r="B105" s="217"/>
      <c r="C105" s="217"/>
      <c r="D105" s="217"/>
      <c r="E105" s="217"/>
      <c r="F105" s="32"/>
      <c r="G105" s="32"/>
      <c r="H105" s="32"/>
      <c r="I105" s="32"/>
      <c r="J105" s="32"/>
      <c r="K105" s="243"/>
      <c r="L105" s="87"/>
      <c r="M105" s="295"/>
      <c r="N105" s="295"/>
      <c r="O105" s="295"/>
      <c r="P105" s="295"/>
      <c r="Q105" s="295"/>
    </row>
    <row r="106" spans="1:17" s="73" customFormat="1" x14ac:dyDescent="0.25">
      <c r="B106" s="217"/>
      <c r="C106" s="217"/>
      <c r="D106" s="217"/>
      <c r="E106" s="217"/>
      <c r="F106" s="32"/>
      <c r="G106" s="32"/>
      <c r="H106" s="32"/>
      <c r="I106" s="32"/>
      <c r="J106" s="32"/>
      <c r="K106" s="243"/>
      <c r="L106" s="87"/>
      <c r="M106" s="295"/>
      <c r="N106" s="295"/>
      <c r="O106" s="295"/>
      <c r="P106" s="295"/>
      <c r="Q106" s="295"/>
    </row>
    <row r="107" spans="1:17" s="73" customFormat="1" x14ac:dyDescent="0.25">
      <c r="D107" s="69"/>
      <c r="E107" s="69"/>
      <c r="F107" s="51"/>
      <c r="G107" s="51"/>
      <c r="H107" s="51"/>
      <c r="I107" s="51"/>
      <c r="J107" s="51"/>
      <c r="K107" s="51"/>
      <c r="L107" s="27"/>
      <c r="M107" s="295"/>
      <c r="N107" s="295"/>
      <c r="O107" s="295"/>
      <c r="P107" s="295"/>
      <c r="Q107" s="295"/>
    </row>
    <row r="108" spans="1:17" s="295" customFormat="1" x14ac:dyDescent="0.25"/>
    <row r="109" spans="1:17" s="295" customFormat="1" x14ac:dyDescent="0.25"/>
    <row r="110" spans="1:17" s="295" customFormat="1" x14ac:dyDescent="0.25">
      <c r="M110"/>
      <c r="N110"/>
      <c r="O110"/>
      <c r="P110"/>
      <c r="Q110"/>
    </row>
    <row r="111" spans="1:17" s="295" customFormat="1" x14ac:dyDescent="0.25">
      <c r="M111"/>
      <c r="N111"/>
      <c r="O111"/>
      <c r="P111"/>
      <c r="Q111"/>
    </row>
    <row r="112" spans="1:17" s="295" customFormat="1" x14ac:dyDescent="0.25">
      <c r="M112"/>
      <c r="N112"/>
      <c r="O112"/>
      <c r="P112"/>
      <c r="Q112"/>
    </row>
    <row r="113" spans="13:17" s="295" customFormat="1" x14ac:dyDescent="0.25">
      <c r="M113"/>
      <c r="N113"/>
      <c r="O113"/>
      <c r="P113"/>
      <c r="Q113"/>
    </row>
    <row r="114" spans="13:17" s="295" customFormat="1" x14ac:dyDescent="0.25">
      <c r="M114"/>
      <c r="N114"/>
      <c r="O114"/>
      <c r="P114"/>
      <c r="Q114"/>
    </row>
  </sheetData>
  <mergeCells count="1">
    <mergeCell ref="E3:H3"/>
  </mergeCells>
  <dataValidations count="2">
    <dataValidation type="list" showInputMessage="1" showErrorMessage="1" sqref="O10:O22" xr:uid="{00000000-0002-0000-1400-000000000000}">
      <formula1>$E$4:$E$16</formula1>
    </dataValidation>
    <dataValidation type="list" showInputMessage="1" showErrorMessage="1" sqref="E93:E106" xr:uid="{00000000-0002-0000-1400-000001000000}">
      <formula1>$V$4:$V$88</formula1>
    </dataValidation>
  </dataValidations>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dimension ref="A1:R20"/>
  <sheetViews>
    <sheetView zoomScale="70" zoomScaleNormal="70" workbookViewId="0">
      <selection activeCell="C39" sqref="C39"/>
    </sheetView>
  </sheetViews>
  <sheetFormatPr defaultRowHeight="15" x14ac:dyDescent="0.25"/>
  <cols>
    <col min="1" max="1" width="5" customWidth="1"/>
    <col min="2" max="2" width="5.5703125" customWidth="1"/>
    <col min="3" max="3" width="38.28515625" customWidth="1"/>
    <col min="4" max="4" width="14.5703125" bestFit="1" customWidth="1"/>
    <col min="5" max="5" width="14.5703125" customWidth="1"/>
    <col min="6" max="6" width="14.7109375" customWidth="1"/>
    <col min="7" max="7" width="12.5703125" customWidth="1"/>
    <col min="8" max="8" width="14.140625" customWidth="1"/>
  </cols>
  <sheetData>
    <row r="1" spans="1:18" x14ac:dyDescent="0.25">
      <c r="A1" s="488" t="s">
        <v>413</v>
      </c>
    </row>
    <row r="3" spans="1:18" x14ac:dyDescent="0.25">
      <c r="A3" s="44" t="s">
        <v>111</v>
      </c>
      <c r="D3" s="42" t="s">
        <v>66</v>
      </c>
      <c r="E3" s="48">
        <v>1</v>
      </c>
      <c r="F3" s="48">
        <v>10</v>
      </c>
      <c r="G3" s="48">
        <v>50</v>
      </c>
      <c r="H3" s="48">
        <v>100</v>
      </c>
      <c r="I3" s="42"/>
      <c r="J3" s="42"/>
      <c r="K3" s="42"/>
      <c r="L3" s="42"/>
      <c r="M3" s="42"/>
      <c r="N3" s="42"/>
      <c r="O3" s="42"/>
    </row>
    <row r="4" spans="1:18" x14ac:dyDescent="0.25">
      <c r="A4" s="44"/>
      <c r="B4">
        <v>2.6</v>
      </c>
      <c r="C4" t="s">
        <v>57</v>
      </c>
      <c r="D4" s="42"/>
      <c r="E4" s="445">
        <f>$D$12*E3</f>
        <v>8000</v>
      </c>
      <c r="F4" s="445">
        <f t="shared" ref="F4:H4" si="0">$D$12*F3</f>
        <v>80000</v>
      </c>
      <c r="G4" s="445">
        <f t="shared" si="0"/>
        <v>400000</v>
      </c>
      <c r="H4" s="445">
        <f t="shared" si="0"/>
        <v>800000</v>
      </c>
      <c r="I4" s="42"/>
      <c r="J4" s="42"/>
      <c r="K4" s="42"/>
      <c r="L4" s="42"/>
      <c r="M4" s="42"/>
      <c r="N4" s="42"/>
      <c r="O4" s="42"/>
      <c r="P4" s="12"/>
      <c r="Q4" s="12"/>
      <c r="R4" s="12"/>
    </row>
    <row r="5" spans="1:18" x14ac:dyDescent="0.25">
      <c r="D5" s="38"/>
      <c r="E5" s="42"/>
      <c r="F5" s="42"/>
      <c r="G5" s="42"/>
      <c r="H5" s="42"/>
      <c r="I5" s="42"/>
      <c r="J5" s="42"/>
      <c r="K5" s="42"/>
      <c r="L5" s="42"/>
      <c r="M5" s="42"/>
      <c r="N5" s="42"/>
      <c r="O5" s="42"/>
      <c r="P5" s="12"/>
      <c r="Q5" s="12"/>
      <c r="R5" s="12"/>
    </row>
    <row r="6" spans="1:18" ht="18" customHeight="1" x14ac:dyDescent="0.25">
      <c r="A6" s="488" t="s">
        <v>483</v>
      </c>
      <c r="D6" s="684" t="s">
        <v>487</v>
      </c>
      <c r="G6" s="42"/>
      <c r="H6" s="42"/>
      <c r="I6" s="42"/>
      <c r="J6" s="42"/>
      <c r="K6" s="42"/>
      <c r="L6" s="42"/>
      <c r="M6" s="42"/>
      <c r="N6" s="42"/>
      <c r="O6" s="42"/>
      <c r="P6" s="12"/>
      <c r="Q6" s="12"/>
      <c r="R6" s="12"/>
    </row>
    <row r="7" spans="1:18" x14ac:dyDescent="0.25">
      <c r="A7" s="323"/>
      <c r="B7" t="s">
        <v>484</v>
      </c>
      <c r="D7" s="680">
        <v>6000</v>
      </c>
      <c r="G7" s="42"/>
      <c r="H7" s="42"/>
      <c r="I7" s="42"/>
      <c r="J7" s="42"/>
      <c r="K7" s="42"/>
      <c r="L7" s="42"/>
      <c r="M7" s="42"/>
      <c r="N7" s="42"/>
      <c r="O7" s="42"/>
      <c r="P7" s="12"/>
      <c r="Q7" s="12"/>
      <c r="R7" s="12"/>
    </row>
    <row r="8" spans="1:18" s="211" customFormat="1" x14ac:dyDescent="0.25">
      <c r="B8" s="211" t="s">
        <v>486</v>
      </c>
      <c r="C8" s="233"/>
      <c r="D8" s="680">
        <v>500</v>
      </c>
      <c r="G8" s="225"/>
      <c r="H8" s="225"/>
      <c r="I8" s="225"/>
      <c r="J8" s="225"/>
      <c r="K8" s="225"/>
      <c r="L8" s="225"/>
      <c r="M8" s="225"/>
      <c r="N8" s="225"/>
      <c r="O8" s="225"/>
    </row>
    <row r="9" spans="1:18" x14ac:dyDescent="0.25">
      <c r="B9" t="s">
        <v>485</v>
      </c>
      <c r="C9" s="238"/>
      <c r="D9" s="681">
        <v>500</v>
      </c>
    </row>
    <row r="10" spans="1:18" x14ac:dyDescent="0.25">
      <c r="B10" t="s">
        <v>17</v>
      </c>
      <c r="C10" s="239"/>
      <c r="D10" s="240">
        <v>1000</v>
      </c>
    </row>
    <row r="11" spans="1:18" s="547" customFormat="1" x14ac:dyDescent="0.25">
      <c r="C11" s="239"/>
      <c r="D11" s="240"/>
    </row>
    <row r="12" spans="1:18" s="547" customFormat="1" x14ac:dyDescent="0.25">
      <c r="B12" s="331" t="s">
        <v>81</v>
      </c>
      <c r="C12" s="682"/>
      <c r="D12" s="683">
        <f>SUM(D7:D11)</f>
        <v>8000</v>
      </c>
    </row>
    <row r="13" spans="1:18" x14ac:dyDescent="0.25">
      <c r="C13" s="239"/>
      <c r="D13" s="240"/>
    </row>
    <row r="14" spans="1:18" s="295" customFormat="1" x14ac:dyDescent="0.25">
      <c r="A14" s="213" t="s">
        <v>150</v>
      </c>
    </row>
    <row r="15" spans="1:18" s="295" customFormat="1" x14ac:dyDescent="0.25">
      <c r="A15" s="295">
        <v>2.6</v>
      </c>
      <c r="B15" s="295" t="s">
        <v>523</v>
      </c>
    </row>
    <row r="16" spans="1:18" s="295" customFormat="1" x14ac:dyDescent="0.25"/>
    <row r="17" spans="1:2" s="295" customFormat="1" x14ac:dyDescent="0.25"/>
    <row r="18" spans="1:2" s="295" customFormat="1" x14ac:dyDescent="0.25">
      <c r="A18" s="213" t="s">
        <v>235</v>
      </c>
    </row>
    <row r="19" spans="1:2" s="295" customFormat="1" x14ac:dyDescent="0.25">
      <c r="A19" s="295">
        <v>2.6</v>
      </c>
      <c r="B19" s="295" t="s">
        <v>323</v>
      </c>
    </row>
    <row r="20" spans="1:2" s="295" customFormat="1" x14ac:dyDescent="0.25"/>
  </sheetData>
  <dataValidations count="4">
    <dataValidation type="custom" showInputMessage="1" sqref="C9:C13 D9 D6" xr:uid="{00000000-0002-0000-1500-000000000000}">
      <formula1>IF(#REF!="Defaults",#REF!,VALUE(#REF!))</formula1>
    </dataValidation>
    <dataValidation type="custom" showInputMessage="1" sqref="D6 D9" xr:uid="{00000000-0002-0000-1500-000001000000}">
      <formula1>IF(#REF!="Defaults",#REF!,VALUE(#REF!))</formula1>
    </dataValidation>
    <dataValidation type="custom" showInputMessage="1" sqref="C9" xr:uid="{00000000-0002-0000-1500-000002000000}">
      <formula1>IF(AP3="Defaults",AU3,VALUE(AU3))</formula1>
    </dataValidation>
    <dataValidation type="custom" showInputMessage="1" sqref="D9" xr:uid="{00000000-0002-0000-1500-000003000000}">
      <formula1>IF(AP3="Defaults",AU3,VALUE(AU3))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293"/>
  <sheetViews>
    <sheetView zoomScale="90" zoomScaleNormal="90" workbookViewId="0">
      <selection activeCell="T46" sqref="T46"/>
    </sheetView>
  </sheetViews>
  <sheetFormatPr defaultRowHeight="15" x14ac:dyDescent="0.25"/>
  <cols>
    <col min="1" max="1" width="16.42578125" customWidth="1"/>
    <col min="2" max="2" width="15" customWidth="1"/>
    <col min="3" max="3" width="14.7109375" customWidth="1"/>
    <col min="4" max="4" width="16.28515625" customWidth="1"/>
  </cols>
  <sheetData>
    <row r="2" spans="1:6" x14ac:dyDescent="0.25">
      <c r="A2" t="s">
        <v>229</v>
      </c>
      <c r="B2">
        <v>1</v>
      </c>
      <c r="C2">
        <v>10</v>
      </c>
      <c r="D2">
        <v>50</v>
      </c>
      <c r="E2">
        <v>100</v>
      </c>
    </row>
    <row r="3" spans="1:6" x14ac:dyDescent="0.25">
      <c r="A3" t="s">
        <v>230</v>
      </c>
      <c r="B3">
        <f>'CBS ($ per kW)'!J1</f>
        <v>286</v>
      </c>
      <c r="C3" s="280">
        <f>'CBS ($ per kW)'!L1</f>
        <v>2860</v>
      </c>
      <c r="D3" s="280">
        <f>'CBS ($ per kW)'!N1</f>
        <v>14300</v>
      </c>
      <c r="E3" s="280">
        <f>'CBS ($ per kW)'!P1</f>
        <v>28600</v>
      </c>
      <c r="F3" s="280"/>
    </row>
    <row r="4" spans="1:6" x14ac:dyDescent="0.25">
      <c r="A4" s="280" t="s">
        <v>231</v>
      </c>
      <c r="B4">
        <f>B3/1000</f>
        <v>0.28599999999999998</v>
      </c>
      <c r="C4" s="280">
        <f t="shared" ref="C4:E4" si="0">C3/1000</f>
        <v>2.86</v>
      </c>
      <c r="D4" s="280">
        <f t="shared" si="0"/>
        <v>14.3</v>
      </c>
      <c r="E4" s="280">
        <f t="shared" si="0"/>
        <v>28.6</v>
      </c>
    </row>
    <row r="26" s="295" customFormat="1" x14ac:dyDescent="0.25"/>
    <row r="27" s="295" customFormat="1" x14ac:dyDescent="0.25"/>
    <row r="28" s="295" customFormat="1" x14ac:dyDescent="0.25"/>
    <row r="29" s="295" customFormat="1" x14ac:dyDescent="0.25"/>
    <row r="30" s="295" customFormat="1" x14ac:dyDescent="0.25"/>
    <row r="31" s="295" customFormat="1" x14ac:dyDescent="0.25"/>
    <row r="32" s="295" customFormat="1" x14ac:dyDescent="0.25"/>
    <row r="33" s="295" customFormat="1" x14ac:dyDescent="0.25"/>
    <row r="34" s="295" customFormat="1" x14ac:dyDescent="0.25"/>
    <row r="35" s="295" customFormat="1" x14ac:dyDescent="0.25"/>
    <row r="36" s="295" customFormat="1" x14ac:dyDescent="0.25"/>
    <row r="37" s="295" customFormat="1" x14ac:dyDescent="0.25"/>
    <row r="38" s="295" customFormat="1" x14ac:dyDescent="0.25"/>
    <row r="39" s="295" customFormat="1" x14ac:dyDescent="0.25"/>
    <row r="40" s="295" customFormat="1" x14ac:dyDescent="0.25"/>
    <row r="41" s="295" customFormat="1" x14ac:dyDescent="0.25"/>
    <row r="42" s="295" customFormat="1" x14ac:dyDescent="0.25"/>
    <row r="43" s="295" customFormat="1" x14ac:dyDescent="0.25"/>
    <row r="44" s="295" customFormat="1" x14ac:dyDescent="0.25"/>
    <row r="45" s="295" customFormat="1" x14ac:dyDescent="0.25"/>
    <row r="46" s="295" customFormat="1" x14ac:dyDescent="0.25"/>
    <row r="47" s="295" customFormat="1" x14ac:dyDescent="0.25"/>
    <row r="48" s="295" customFormat="1" x14ac:dyDescent="0.25"/>
    <row r="49" s="295" customFormat="1" x14ac:dyDescent="0.25"/>
    <row r="50" s="295" customFormat="1" x14ac:dyDescent="0.25"/>
    <row r="51" s="295" customFormat="1" x14ac:dyDescent="0.25"/>
    <row r="52" s="295" customFormat="1" x14ac:dyDescent="0.25"/>
    <row r="53" s="295" customFormat="1" x14ac:dyDescent="0.25"/>
    <row r="54" s="295" customFormat="1" x14ac:dyDescent="0.25"/>
    <row r="55" s="295" customFormat="1" x14ac:dyDescent="0.25"/>
    <row r="56" s="295" customFormat="1" x14ac:dyDescent="0.25"/>
    <row r="57" s="295" customFormat="1" x14ac:dyDescent="0.25"/>
    <row r="58" s="295" customFormat="1" x14ac:dyDescent="0.25"/>
    <row r="59" s="295" customFormat="1" x14ac:dyDescent="0.25"/>
    <row r="60" s="295" customFormat="1" x14ac:dyDescent="0.25"/>
    <row r="61" s="295" customFormat="1" x14ac:dyDescent="0.25"/>
    <row r="62" s="295" customFormat="1" x14ac:dyDescent="0.25"/>
    <row r="63" s="295" customFormat="1" x14ac:dyDescent="0.25"/>
    <row r="64" s="295" customFormat="1" x14ac:dyDescent="0.25"/>
    <row r="65" s="295" customFormat="1" x14ac:dyDescent="0.25"/>
    <row r="66" s="295" customFormat="1" x14ac:dyDescent="0.25"/>
    <row r="67" s="295" customFormat="1" x14ac:dyDescent="0.25"/>
    <row r="68" s="295" customFormat="1" x14ac:dyDescent="0.25"/>
    <row r="69" s="295" customFormat="1" x14ac:dyDescent="0.25"/>
    <row r="110" s="295" customFormat="1" x14ac:dyDescent="0.25"/>
    <row r="111" s="295" customFormat="1" x14ac:dyDescent="0.25"/>
    <row r="112" s="295" customFormat="1" x14ac:dyDescent="0.25"/>
    <row r="113" s="295" customFormat="1" x14ac:dyDescent="0.25"/>
    <row r="114" s="295" customFormat="1" x14ac:dyDescent="0.25"/>
    <row r="115" s="295" customFormat="1" x14ac:dyDescent="0.25"/>
    <row r="116" s="295" customFormat="1" x14ac:dyDescent="0.25"/>
    <row r="117" s="295" customFormat="1" x14ac:dyDescent="0.25"/>
    <row r="118" s="295" customFormat="1" x14ac:dyDescent="0.25"/>
    <row r="119" s="295" customFormat="1" x14ac:dyDescent="0.25"/>
    <row r="120" s="295" customFormat="1" x14ac:dyDescent="0.25"/>
    <row r="121" s="295" customFormat="1" x14ac:dyDescent="0.25"/>
    <row r="122" s="295" customFormat="1" x14ac:dyDescent="0.25"/>
    <row r="123" s="295" customFormat="1" x14ac:dyDescent="0.25"/>
    <row r="124" s="295" customFormat="1" x14ac:dyDescent="0.25"/>
    <row r="125" s="295" customFormat="1" x14ac:dyDescent="0.25"/>
    <row r="126" s="295" customFormat="1" x14ac:dyDescent="0.25"/>
    <row r="127" s="295" customFormat="1" x14ac:dyDescent="0.25"/>
    <row r="129" s="295" customFormat="1" x14ac:dyDescent="0.25"/>
    <row r="130" s="295" customFormat="1" x14ac:dyDescent="0.25"/>
    <row r="131" s="295" customFormat="1" x14ac:dyDescent="0.25"/>
    <row r="133" s="295" customFormat="1" x14ac:dyDescent="0.25"/>
    <row r="134" s="295" customFormat="1" x14ac:dyDescent="0.25"/>
    <row r="135" s="295" customFormat="1" x14ac:dyDescent="0.25"/>
    <row r="136" s="295" customFormat="1" x14ac:dyDescent="0.25"/>
    <row r="137" s="295" customFormat="1" x14ac:dyDescent="0.25"/>
    <row r="138" s="295" customFormat="1" x14ac:dyDescent="0.25"/>
    <row r="139" s="295" customFormat="1" x14ac:dyDescent="0.25"/>
    <row r="140" s="295" customFormat="1" x14ac:dyDescent="0.25"/>
    <row r="141" s="295" customFormat="1" x14ac:dyDescent="0.25"/>
    <row r="155" spans="1:3" s="730" customFormat="1" x14ac:dyDescent="0.25"/>
    <row r="156" spans="1:3" s="730" customFormat="1" x14ac:dyDescent="0.25">
      <c r="A156" s="730" t="s">
        <v>232</v>
      </c>
    </row>
    <row r="157" spans="1:3" s="730" customFormat="1" x14ac:dyDescent="0.25"/>
    <row r="158" spans="1:3" s="730" customFormat="1" x14ac:dyDescent="0.25">
      <c r="A158" s="730" t="s">
        <v>524</v>
      </c>
      <c r="B158" s="730" t="s">
        <v>525</v>
      </c>
      <c r="C158" s="730" t="s">
        <v>526</v>
      </c>
    </row>
    <row r="159" spans="1:3" s="730" customFormat="1" x14ac:dyDescent="0.25">
      <c r="A159" s="730">
        <v>1.5</v>
      </c>
      <c r="B159" s="357">
        <v>10.390967780483027</v>
      </c>
      <c r="C159" s="357">
        <v>160.88775532305041</v>
      </c>
    </row>
    <row r="160" spans="1:3" s="730" customFormat="1" x14ac:dyDescent="0.25">
      <c r="A160" s="730">
        <v>1.7</v>
      </c>
      <c r="B160" s="357">
        <v>14.407267528007228</v>
      </c>
      <c r="C160" s="357">
        <v>126.74104631588072</v>
      </c>
    </row>
    <row r="161" spans="1:3" s="730" customFormat="1" x14ac:dyDescent="0.25">
      <c r="A161" s="730">
        <v>1.9</v>
      </c>
      <c r="B161" s="357">
        <v>19.262078741899987</v>
      </c>
      <c r="C161" s="357">
        <v>102.5294361140466</v>
      </c>
    </row>
    <row r="162" spans="1:3" s="730" customFormat="1" x14ac:dyDescent="0.25">
      <c r="A162" s="730">
        <v>2.1</v>
      </c>
      <c r="B162" s="357">
        <v>25.014411739257284</v>
      </c>
      <c r="C162" s="357">
        <v>84.723318178627878</v>
      </c>
    </row>
    <row r="163" spans="1:3" s="730" customFormat="1" x14ac:dyDescent="0.25">
      <c r="A163" s="730">
        <v>2.2999999999999998</v>
      </c>
      <c r="B163" s="357">
        <v>31.720897876046362</v>
      </c>
      <c r="C163" s="357">
        <v>71.236024866119209</v>
      </c>
    </row>
    <row r="164" spans="1:3" s="730" customFormat="1" x14ac:dyDescent="0.25">
      <c r="A164" s="730">
        <v>2.5</v>
      </c>
      <c r="B164" s="357">
        <v>39.436100650985487</v>
      </c>
      <c r="C164" s="357">
        <v>60.768606249673731</v>
      </c>
    </row>
    <row r="165" spans="1:3" s="730" customFormat="1" x14ac:dyDescent="0.25">
      <c r="A165" s="730">
        <v>2.7</v>
      </c>
      <c r="B165" s="357">
        <v>48.212762713551648</v>
      </c>
      <c r="C165" s="357">
        <v>52.477555643556613</v>
      </c>
    </row>
    <row r="166" spans="1:3" s="730" customFormat="1" x14ac:dyDescent="0.25">
      <c r="A166" s="730">
        <v>2.9</v>
      </c>
      <c r="B166" s="357">
        <v>58.10200605476895</v>
      </c>
      <c r="C166" s="357">
        <v>45.795451835493438</v>
      </c>
    </row>
    <row r="167" spans="1:3" s="730" customFormat="1" x14ac:dyDescent="0.25">
      <c r="A167" s="730">
        <v>3.1</v>
      </c>
      <c r="B167" s="357">
        <v>69.153497062456466</v>
      </c>
      <c r="C167" s="357">
        <v>40.329008402648689</v>
      </c>
    </row>
    <row r="168" spans="1:3" s="730" customFormat="1" x14ac:dyDescent="0.25"/>
    <row r="169" spans="1:3" s="730" customFormat="1" x14ac:dyDescent="0.25"/>
    <row r="170" spans="1:3" s="730" customFormat="1" x14ac:dyDescent="0.25"/>
    <row r="171" spans="1:3" s="730" customFormat="1" x14ac:dyDescent="0.25"/>
    <row r="172" spans="1:3" s="730" customFormat="1" x14ac:dyDescent="0.25"/>
    <row r="173" spans="1:3" s="730" customFormat="1" x14ac:dyDescent="0.25"/>
    <row r="174" spans="1:3" s="730" customFormat="1" x14ac:dyDescent="0.25"/>
    <row r="175" spans="1:3" s="730" customFormat="1" x14ac:dyDescent="0.25"/>
    <row r="176" spans="1:3" s="730" customFormat="1" x14ac:dyDescent="0.25"/>
    <row r="177" s="730" customFormat="1" x14ac:dyDescent="0.25"/>
    <row r="178" s="730" customFormat="1" x14ac:dyDescent="0.25"/>
    <row r="179" s="730" customFormat="1" x14ac:dyDescent="0.25"/>
    <row r="180" s="730" customFormat="1" x14ac:dyDescent="0.25"/>
    <row r="181" s="730" customFormat="1" x14ac:dyDescent="0.25"/>
    <row r="182" s="730" customFormat="1" x14ac:dyDescent="0.25"/>
    <row r="183" s="730" customFormat="1" x14ac:dyDescent="0.25"/>
    <row r="184" s="730" customFormat="1" x14ac:dyDescent="0.25"/>
    <row r="185" s="730" customFormat="1" x14ac:dyDescent="0.25"/>
    <row r="186" s="730" customFormat="1" x14ac:dyDescent="0.25"/>
    <row r="187" s="730" customFormat="1" x14ac:dyDescent="0.25"/>
    <row r="188" s="730" customFormat="1" x14ac:dyDescent="0.25"/>
    <row r="189" s="730" customFormat="1" x14ac:dyDescent="0.25"/>
    <row r="190" s="730" customFormat="1" x14ac:dyDescent="0.25"/>
    <row r="191" s="730" customFormat="1" x14ac:dyDescent="0.25"/>
    <row r="192" s="730" customFormat="1" x14ac:dyDescent="0.25"/>
    <row r="193" spans="1:21" s="730" customFormat="1" x14ac:dyDescent="0.25"/>
    <row r="194" spans="1:21" s="730" customFormat="1" x14ac:dyDescent="0.25"/>
    <row r="195" spans="1:21" s="730" customFormat="1" x14ac:dyDescent="0.25"/>
    <row r="196" spans="1:21" s="730" customFormat="1" x14ac:dyDescent="0.25"/>
    <row r="197" spans="1:21" s="730" customFormat="1" x14ac:dyDescent="0.25"/>
    <row r="198" spans="1:21" s="730" customFormat="1" x14ac:dyDescent="0.25"/>
    <row r="199" spans="1:21" s="730" customFormat="1" x14ac:dyDescent="0.25"/>
    <row r="200" spans="1:21" s="730" customFormat="1" x14ac:dyDescent="0.25"/>
    <row r="201" spans="1:21" s="730" customFormat="1" x14ac:dyDescent="0.25"/>
    <row r="202" spans="1:21" s="730" customFormat="1" x14ac:dyDescent="0.25"/>
    <row r="203" spans="1:21" s="730" customFormat="1" x14ac:dyDescent="0.25"/>
    <row r="204" spans="1:21" s="730" customFormat="1" x14ac:dyDescent="0.25">
      <c r="A204" s="291" t="s">
        <v>233</v>
      </c>
      <c r="B204" s="294">
        <v>36.560460667048353</v>
      </c>
      <c r="C204" s="292">
        <v>43.907130154404705</v>
      </c>
      <c r="D204" s="292">
        <v>51.253799641761056</v>
      </c>
      <c r="E204" s="292">
        <v>58.600469129117407</v>
      </c>
      <c r="F204" s="292">
        <v>65.947138616473751</v>
      </c>
      <c r="G204" s="292">
        <v>73.293808103830102</v>
      </c>
      <c r="H204" s="292">
        <v>80.640477591186453</v>
      </c>
      <c r="I204" s="292">
        <v>87.987147078542804</v>
      </c>
      <c r="J204" s="292">
        <v>95.333816565899156</v>
      </c>
      <c r="K204" s="292">
        <v>102.68048605325551</v>
      </c>
      <c r="L204" s="292">
        <v>110.02715554061186</v>
      </c>
      <c r="M204" s="292">
        <v>117.37382502796821</v>
      </c>
      <c r="N204" s="292">
        <v>124.72049451532456</v>
      </c>
      <c r="O204" s="292">
        <v>132.0671640026809</v>
      </c>
      <c r="P204" s="292">
        <v>139.41383349003723</v>
      </c>
      <c r="Q204" s="292">
        <v>146.76050297739357</v>
      </c>
      <c r="R204" s="292">
        <v>154.10717246474991</v>
      </c>
      <c r="S204" s="292">
        <v>161.45384195210625</v>
      </c>
      <c r="T204" s="292">
        <v>168.80051143946258</v>
      </c>
      <c r="U204" s="292">
        <v>176.14718092681898</v>
      </c>
    </row>
    <row r="205" spans="1:21" s="730" customFormat="1" x14ac:dyDescent="0.25">
      <c r="A205" s="291" t="s">
        <v>221</v>
      </c>
      <c r="B205" s="293">
        <v>0</v>
      </c>
      <c r="C205" s="293">
        <v>0</v>
      </c>
      <c r="D205" s="293">
        <v>3.5200000000000002E-2</v>
      </c>
      <c r="E205" s="293">
        <v>0.16919999999999999</v>
      </c>
      <c r="F205" s="293">
        <v>0.35659999999999997</v>
      </c>
      <c r="G205" s="293">
        <v>0.55179999999999996</v>
      </c>
      <c r="H205" s="293">
        <v>0.70179999999999998</v>
      </c>
      <c r="I205" s="293">
        <v>0.80400000000000005</v>
      </c>
      <c r="J205" s="293">
        <v>0.87539999999999996</v>
      </c>
      <c r="K205" s="293">
        <v>0.92259999999999998</v>
      </c>
      <c r="L205" s="293">
        <v>0.95299999999999996</v>
      </c>
      <c r="M205" s="293">
        <v>0.97319999999999995</v>
      </c>
      <c r="N205" s="293">
        <v>0.98540000000000005</v>
      </c>
      <c r="O205" s="293">
        <v>0.99539999999999995</v>
      </c>
      <c r="P205" s="293">
        <v>0.99860000000000004</v>
      </c>
      <c r="Q205" s="293">
        <v>1</v>
      </c>
      <c r="R205" s="293">
        <v>1</v>
      </c>
      <c r="S205" s="293">
        <v>1</v>
      </c>
      <c r="T205" s="293">
        <v>1</v>
      </c>
      <c r="U205" s="293">
        <v>1</v>
      </c>
    </row>
    <row r="206" spans="1:21" s="730" customFormat="1" x14ac:dyDescent="0.25"/>
    <row r="207" spans="1:21" s="730" customFormat="1" x14ac:dyDescent="0.25">
      <c r="A207" s="747" t="s">
        <v>234</v>
      </c>
      <c r="B207" s="748"/>
    </row>
    <row r="208" spans="1:21" s="730" customFormat="1" x14ac:dyDescent="0.25">
      <c r="A208" s="297" t="s">
        <v>221</v>
      </c>
      <c r="B208" s="298" t="s">
        <v>233</v>
      </c>
    </row>
    <row r="209" spans="1:2" s="730" customFormat="1" x14ac:dyDescent="0.25">
      <c r="A209" s="251">
        <v>0.1</v>
      </c>
      <c r="B209" s="299">
        <v>54.806514739990234</v>
      </c>
    </row>
    <row r="210" spans="1:2" s="730" customFormat="1" x14ac:dyDescent="0.25">
      <c r="A210" s="251">
        <v>0.5</v>
      </c>
      <c r="B210" s="299">
        <v>71.344230651855469</v>
      </c>
    </row>
    <row r="211" spans="1:2" s="730" customFormat="1" x14ac:dyDescent="0.25">
      <c r="A211" s="251">
        <v>0.9</v>
      </c>
      <c r="B211" s="299">
        <v>99.162803649902344</v>
      </c>
    </row>
    <row r="212" spans="1:2" s="730" customFormat="1" x14ac:dyDescent="0.25"/>
    <row r="213" spans="1:2" s="730" customFormat="1" x14ac:dyDescent="0.25"/>
    <row r="214" spans="1:2" s="730" customFormat="1" x14ac:dyDescent="0.25"/>
    <row r="215" spans="1:2" s="730" customFormat="1" x14ac:dyDescent="0.25"/>
    <row r="216" spans="1:2" s="730" customFormat="1" x14ac:dyDescent="0.25"/>
    <row r="217" spans="1:2" s="730" customFormat="1" x14ac:dyDescent="0.25"/>
    <row r="218" spans="1:2" s="730" customFormat="1" x14ac:dyDescent="0.25"/>
    <row r="219" spans="1:2" s="730" customFormat="1" x14ac:dyDescent="0.25"/>
    <row r="220" spans="1:2" s="730" customFormat="1" x14ac:dyDescent="0.25"/>
    <row r="221" spans="1:2" s="730" customFormat="1" x14ac:dyDescent="0.25"/>
    <row r="222" spans="1:2" s="730" customFormat="1" x14ac:dyDescent="0.25"/>
    <row r="223" spans="1:2" s="730" customFormat="1" x14ac:dyDescent="0.25"/>
    <row r="224" spans="1:2" s="730" customFormat="1" x14ac:dyDescent="0.25"/>
    <row r="225" s="730" customFormat="1" x14ac:dyDescent="0.25"/>
    <row r="226" s="730" customFormat="1" x14ac:dyDescent="0.25"/>
    <row r="227" s="730" customFormat="1" x14ac:dyDescent="0.25"/>
    <row r="228" s="730" customFormat="1" x14ac:dyDescent="0.25"/>
    <row r="229" s="730" customFormat="1" x14ac:dyDescent="0.25"/>
    <row r="230" s="730" customFormat="1" x14ac:dyDescent="0.25"/>
    <row r="231" s="730" customFormat="1" x14ac:dyDescent="0.25"/>
    <row r="232" s="730" customFormat="1" x14ac:dyDescent="0.25"/>
    <row r="233" s="730" customFormat="1" x14ac:dyDescent="0.25"/>
    <row r="234" s="730" customFormat="1" x14ac:dyDescent="0.25"/>
    <row r="235" s="730" customFormat="1" x14ac:dyDescent="0.25"/>
    <row r="236" s="730" customFormat="1" x14ac:dyDescent="0.25"/>
    <row r="237" s="730" customFormat="1" x14ac:dyDescent="0.25"/>
    <row r="238" s="730" customFormat="1" x14ac:dyDescent="0.25"/>
    <row r="239" s="730" customFormat="1" x14ac:dyDescent="0.25"/>
    <row r="240" s="730" customFormat="1" x14ac:dyDescent="0.25"/>
    <row r="241" s="730" customFormat="1" x14ac:dyDescent="0.25"/>
    <row r="242" s="730" customFormat="1" x14ac:dyDescent="0.25"/>
    <row r="243" s="730" customFormat="1" x14ac:dyDescent="0.25"/>
    <row r="244" s="730" customFormat="1" x14ac:dyDescent="0.25"/>
    <row r="245" s="730" customFormat="1" x14ac:dyDescent="0.25"/>
    <row r="246" s="730" customFormat="1" x14ac:dyDescent="0.25"/>
    <row r="247" s="730" customFormat="1" x14ac:dyDescent="0.25"/>
    <row r="248" s="730" customFormat="1" x14ac:dyDescent="0.25"/>
    <row r="249" s="730" customFormat="1" x14ac:dyDescent="0.25"/>
    <row r="250" s="730" customFormat="1" x14ac:dyDescent="0.25"/>
    <row r="251" s="730" customFormat="1" x14ac:dyDescent="0.25"/>
    <row r="252" s="730" customFormat="1" x14ac:dyDescent="0.25"/>
    <row r="253" s="730" customFormat="1" x14ac:dyDescent="0.25"/>
    <row r="254" s="730" customFormat="1" x14ac:dyDescent="0.25"/>
    <row r="255" s="730" customFormat="1" x14ac:dyDescent="0.25"/>
    <row r="256" s="730" customFormat="1" x14ac:dyDescent="0.25"/>
    <row r="257" s="730" customFormat="1" x14ac:dyDescent="0.25"/>
    <row r="258" s="730" customFormat="1" x14ac:dyDescent="0.25"/>
    <row r="259" s="730" customFormat="1" x14ac:dyDescent="0.25"/>
    <row r="260" s="730" customFormat="1" x14ac:dyDescent="0.25"/>
    <row r="261" s="730" customFormat="1" x14ac:dyDescent="0.25"/>
    <row r="262" s="730" customFormat="1" x14ac:dyDescent="0.25"/>
    <row r="263" s="730" customFormat="1" x14ac:dyDescent="0.25"/>
    <row r="264" s="730" customFormat="1" x14ac:dyDescent="0.25"/>
    <row r="265" s="730" customFormat="1" x14ac:dyDescent="0.25"/>
    <row r="266" s="730" customFormat="1" x14ac:dyDescent="0.25"/>
    <row r="267" s="730" customFormat="1" x14ac:dyDescent="0.25"/>
    <row r="268" s="730" customFormat="1" x14ac:dyDescent="0.25"/>
    <row r="269" s="730" customFormat="1" x14ac:dyDescent="0.25"/>
    <row r="270" s="730" customFormat="1" x14ac:dyDescent="0.25"/>
    <row r="271" s="730" customFormat="1" x14ac:dyDescent="0.25"/>
    <row r="272" s="730" customFormat="1" x14ac:dyDescent="0.25"/>
    <row r="273" s="730" customFormat="1" x14ac:dyDescent="0.25"/>
    <row r="274" s="730" customFormat="1" x14ac:dyDescent="0.25"/>
    <row r="275" s="730" customFormat="1" x14ac:dyDescent="0.25"/>
    <row r="276" s="730" customFormat="1" x14ac:dyDescent="0.25"/>
    <row r="277" s="730" customFormat="1" x14ac:dyDescent="0.25"/>
    <row r="278" s="730" customFormat="1" x14ac:dyDescent="0.25"/>
    <row r="279" s="730" customFormat="1" x14ac:dyDescent="0.25"/>
    <row r="280" s="730" customFormat="1" x14ac:dyDescent="0.25"/>
    <row r="281" s="730" customFormat="1" x14ac:dyDescent="0.25"/>
    <row r="282" s="730" customFormat="1" x14ac:dyDescent="0.25"/>
    <row r="283" s="730" customFormat="1" x14ac:dyDescent="0.25"/>
    <row r="284" s="730" customFormat="1" x14ac:dyDescent="0.25"/>
    <row r="285" s="730" customFormat="1" x14ac:dyDescent="0.25"/>
    <row r="286" s="730" customFormat="1" x14ac:dyDescent="0.25"/>
    <row r="287" s="730" customFormat="1" x14ac:dyDescent="0.25"/>
    <row r="288" s="730" customFormat="1" x14ac:dyDescent="0.25"/>
    <row r="289" s="730" customFormat="1" x14ac:dyDescent="0.25"/>
    <row r="290" s="730" customFormat="1" x14ac:dyDescent="0.25"/>
    <row r="291" s="730" customFormat="1" x14ac:dyDescent="0.25"/>
    <row r="292" s="730" customFormat="1" x14ac:dyDescent="0.25"/>
    <row r="293" s="730" customFormat="1" x14ac:dyDescent="0.25"/>
  </sheetData>
  <mergeCells count="1">
    <mergeCell ref="A207:B20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AE143"/>
  <sheetViews>
    <sheetView zoomScale="70" zoomScaleNormal="70" workbookViewId="0">
      <selection activeCell="M21" sqref="M21"/>
    </sheetView>
  </sheetViews>
  <sheetFormatPr defaultColWidth="9.140625" defaultRowHeight="12.75" outlineLevelRow="1" x14ac:dyDescent="0.2"/>
  <cols>
    <col min="1" max="1" width="3" style="123" customWidth="1"/>
    <col min="2" max="2" width="11.42578125" style="123" customWidth="1"/>
    <col min="3" max="3" width="11" style="123" customWidth="1"/>
    <col min="4" max="7" width="8.7109375" style="123" customWidth="1"/>
    <col min="8" max="8" width="8.7109375" style="395" customWidth="1"/>
    <col min="9" max="9" width="8.7109375" style="499" customWidth="1"/>
    <col min="10" max="10" width="8.7109375" style="123" customWidth="1"/>
    <col min="11" max="12" width="8.7109375" style="171" customWidth="1"/>
    <col min="13" max="14" width="8.7109375" style="123" customWidth="1"/>
    <col min="15" max="15" width="8.7109375" style="122" customWidth="1"/>
    <col min="16" max="18" width="8.7109375" style="123" customWidth="1"/>
    <col min="19" max="19" width="13" style="123" customWidth="1"/>
    <col min="20" max="20" width="10.42578125" style="123" customWidth="1"/>
    <col min="21" max="21" width="9" style="123" customWidth="1"/>
    <col min="22" max="22" width="11.42578125" style="123" bestFit="1" customWidth="1"/>
    <col min="23" max="16384" width="9.140625" style="123"/>
  </cols>
  <sheetData>
    <row r="1" spans="1:31" s="121" customFormat="1" ht="15.75" x14ac:dyDescent="0.25">
      <c r="A1" s="168" t="s">
        <v>170</v>
      </c>
      <c r="B1" s="169"/>
      <c r="C1" s="169"/>
      <c r="D1" s="169"/>
      <c r="E1" s="169"/>
      <c r="F1" s="169"/>
      <c r="G1" s="169"/>
      <c r="H1" s="393"/>
      <c r="I1" s="504"/>
      <c r="J1" s="169"/>
      <c r="K1" s="169"/>
      <c r="L1" s="169"/>
      <c r="M1" s="169"/>
      <c r="N1" s="169"/>
      <c r="O1" s="168" t="s">
        <v>181</v>
      </c>
      <c r="P1" s="169"/>
      <c r="Q1" s="169"/>
      <c r="R1" s="169"/>
      <c r="S1" s="169"/>
      <c r="T1" s="169"/>
      <c r="U1" s="169"/>
    </row>
    <row r="2" spans="1:31" ht="12.75" customHeight="1" x14ac:dyDescent="0.2">
      <c r="A2" s="170"/>
      <c r="B2" s="170"/>
      <c r="C2" s="171"/>
      <c r="D2" s="171"/>
      <c r="E2" s="171"/>
      <c r="F2" s="171"/>
      <c r="G2" s="171"/>
      <c r="J2" s="171"/>
      <c r="M2" s="171"/>
      <c r="N2" s="171"/>
      <c r="O2" s="170"/>
      <c r="P2" s="170"/>
      <c r="Q2" s="170"/>
      <c r="R2" s="170"/>
      <c r="S2" s="170"/>
      <c r="T2" s="170"/>
      <c r="U2" s="170"/>
      <c r="V2" s="122"/>
      <c r="Z2" s="124"/>
    </row>
    <row r="3" spans="1:31" s="227" customFormat="1" ht="12.75" customHeight="1" x14ac:dyDescent="0.2">
      <c r="A3" s="226" t="s">
        <v>215</v>
      </c>
      <c r="B3" s="226"/>
      <c r="H3" s="395"/>
      <c r="I3" s="499"/>
      <c r="O3" s="226"/>
      <c r="P3" s="226"/>
      <c r="Q3" s="226"/>
      <c r="R3" s="226"/>
      <c r="S3" s="226"/>
      <c r="T3" s="226"/>
      <c r="U3" s="226"/>
      <c r="V3" s="226"/>
      <c r="Z3" s="228"/>
    </row>
    <row r="4" spans="1:31" s="227" customFormat="1" ht="12.75" customHeight="1" x14ac:dyDescent="0.2">
      <c r="A4" s="226"/>
      <c r="B4" s="226"/>
      <c r="H4" s="395"/>
      <c r="I4" s="499"/>
      <c r="O4" s="226"/>
      <c r="P4" s="226"/>
      <c r="Q4" s="226"/>
      <c r="R4" s="226"/>
      <c r="S4" s="226"/>
      <c r="T4" s="226"/>
      <c r="U4" s="226"/>
      <c r="V4" s="226"/>
      <c r="Z4" s="228"/>
    </row>
    <row r="5" spans="1:31" ht="14.25" x14ac:dyDescent="0.2">
      <c r="A5" s="172" t="s">
        <v>281</v>
      </c>
      <c r="B5" s="173"/>
      <c r="C5" s="170"/>
      <c r="D5" s="170"/>
      <c r="E5" s="170"/>
      <c r="F5" s="174"/>
      <c r="G5" s="174"/>
      <c r="H5" s="402"/>
      <c r="I5" s="502"/>
      <c r="J5" s="170"/>
      <c r="K5" s="170"/>
      <c r="L5" s="170"/>
      <c r="M5" s="170"/>
      <c r="N5" s="171"/>
      <c r="O5" s="172" t="s">
        <v>182</v>
      </c>
      <c r="P5" s="562"/>
      <c r="Q5" s="562"/>
      <c r="R5" s="562"/>
      <c r="S5" s="562"/>
      <c r="T5" s="562"/>
      <c r="U5" s="170"/>
      <c r="V5" s="126"/>
      <c r="W5" s="536"/>
      <c r="X5" s="537"/>
      <c r="Y5" s="537"/>
      <c r="Z5" s="558"/>
    </row>
    <row r="6" spans="1:31" ht="14.25" outlineLevel="1" x14ac:dyDescent="0.2">
      <c r="A6" s="176"/>
      <c r="B6" s="531" t="s">
        <v>282</v>
      </c>
      <c r="C6" s="531"/>
      <c r="D6" s="531"/>
      <c r="E6" s="531"/>
      <c r="F6" s="177"/>
      <c r="G6" s="546">
        <v>0.8</v>
      </c>
      <c r="H6" s="170"/>
      <c r="I6" s="500"/>
      <c r="K6" s="170"/>
      <c r="L6" s="170"/>
      <c r="M6" s="170"/>
      <c r="N6" s="171"/>
      <c r="O6" s="170"/>
      <c r="P6" s="564" t="s">
        <v>284</v>
      </c>
      <c r="Q6" s="564"/>
      <c r="R6" s="564"/>
      <c r="S6" s="197">
        <f>SUMPRODUCT(D24:D43,U24:U43)/SUM(U24:U43)</f>
        <v>2.3812265880290111</v>
      </c>
      <c r="T6" s="569" t="s">
        <v>134</v>
      </c>
      <c r="U6" s="179"/>
      <c r="V6" s="128"/>
      <c r="W6" s="532"/>
      <c r="X6" s="532"/>
      <c r="Y6" s="532"/>
      <c r="Z6" s="532"/>
      <c r="AA6" s="128"/>
      <c r="AB6" s="129"/>
      <c r="AC6" s="129"/>
      <c r="AD6" s="122"/>
      <c r="AE6" s="122"/>
    </row>
    <row r="7" spans="1:31" ht="14.25" outlineLevel="1" x14ac:dyDescent="0.2">
      <c r="A7" s="535"/>
      <c r="B7" s="578" t="s">
        <v>287</v>
      </c>
      <c r="C7" s="578"/>
      <c r="D7" s="578"/>
      <c r="E7" s="578"/>
      <c r="F7" s="529"/>
      <c r="G7" s="557">
        <v>286</v>
      </c>
      <c r="H7" s="170" t="s">
        <v>141</v>
      </c>
      <c r="I7" s="500"/>
      <c r="K7" s="170"/>
      <c r="L7" s="170"/>
      <c r="M7" s="170"/>
      <c r="N7" s="171"/>
      <c r="O7" s="170"/>
      <c r="P7" s="564" t="s">
        <v>285</v>
      </c>
      <c r="Q7" s="564"/>
      <c r="R7" s="564"/>
      <c r="S7" s="197">
        <f>SUMPRODUCT(E23:T23,E44:T44)/SUM(E44:T44)</f>
        <v>9.2517334821072765</v>
      </c>
      <c r="T7" s="569" t="s">
        <v>286</v>
      </c>
      <c r="U7" s="179"/>
      <c r="V7" s="128"/>
      <c r="W7" s="532"/>
      <c r="X7" s="560"/>
      <c r="Y7" s="532"/>
      <c r="Z7" s="532"/>
      <c r="AA7" s="128"/>
      <c r="AB7" s="129"/>
      <c r="AC7" s="129"/>
      <c r="AD7" s="122"/>
      <c r="AE7" s="122"/>
    </row>
    <row r="8" spans="1:31" s="395" customFormat="1" ht="14.25" outlineLevel="1" x14ac:dyDescent="0.2">
      <c r="A8" s="535"/>
      <c r="B8" s="533"/>
      <c r="C8" s="529"/>
      <c r="D8" s="529"/>
      <c r="E8" s="529"/>
      <c r="F8" s="529"/>
      <c r="G8" s="580"/>
      <c r="H8" s="394"/>
      <c r="I8" s="500"/>
      <c r="K8" s="394"/>
      <c r="L8" s="394"/>
      <c r="M8" s="394"/>
      <c r="O8" s="394"/>
      <c r="P8" s="579" t="s">
        <v>171</v>
      </c>
      <c r="Q8" s="578"/>
      <c r="R8" s="578"/>
      <c r="S8" s="591">
        <f>SUMPRODUCT(E24:T43,E49:T68)/SUM(U24:U43)</f>
        <v>33.50109316470072</v>
      </c>
      <c r="T8" s="590" t="s">
        <v>283</v>
      </c>
      <c r="U8" s="403"/>
      <c r="V8" s="396"/>
      <c r="W8" s="532"/>
      <c r="X8" s="560"/>
      <c r="Y8" s="532"/>
      <c r="Z8" s="532"/>
      <c r="AA8" s="396"/>
      <c r="AB8" s="397"/>
      <c r="AC8" s="397"/>
      <c r="AD8" s="394"/>
      <c r="AE8" s="394"/>
    </row>
    <row r="9" spans="1:31" s="490" customFormat="1" outlineLevel="1" x14ac:dyDescent="0.2">
      <c r="A9" s="172" t="s">
        <v>177</v>
      </c>
      <c r="B9" s="175"/>
      <c r="C9" s="175"/>
      <c r="D9" s="175"/>
      <c r="E9" s="175"/>
      <c r="F9" s="174"/>
      <c r="G9" s="574"/>
      <c r="H9" s="170"/>
      <c r="I9" s="500"/>
      <c r="K9" s="491"/>
      <c r="L9" s="491"/>
      <c r="M9" s="491"/>
      <c r="O9" s="491"/>
      <c r="P9" s="574"/>
      <c r="Q9" s="573"/>
      <c r="R9" s="573"/>
      <c r="S9" s="581"/>
      <c r="T9" s="573"/>
      <c r="U9" s="492"/>
      <c r="V9" s="494"/>
      <c r="W9" s="532"/>
      <c r="X9" s="560"/>
      <c r="Y9" s="532"/>
      <c r="Z9" s="532"/>
      <c r="AA9" s="494"/>
      <c r="AB9" s="493"/>
      <c r="AC9" s="493"/>
      <c r="AD9" s="491"/>
      <c r="AE9" s="491"/>
    </row>
    <row r="10" spans="1:31" outlineLevel="1" x14ac:dyDescent="0.2">
      <c r="A10" s="170"/>
      <c r="B10" s="180" t="s">
        <v>179</v>
      </c>
      <c r="C10" s="180"/>
      <c r="D10" s="180"/>
      <c r="E10" s="180"/>
      <c r="F10" s="177"/>
      <c r="G10" s="135">
        <v>0.95</v>
      </c>
      <c r="H10" s="394"/>
      <c r="I10" s="500"/>
      <c r="K10" s="170"/>
      <c r="L10" s="170"/>
      <c r="M10" s="170"/>
      <c r="N10" s="171"/>
      <c r="O10" s="170"/>
      <c r="U10" s="170"/>
      <c r="V10" s="122"/>
      <c r="W10" s="563"/>
      <c r="X10" s="563"/>
      <c r="Y10" s="563"/>
      <c r="Z10" s="556"/>
      <c r="AA10" s="122"/>
      <c r="AB10" s="122"/>
      <c r="AC10" s="122"/>
      <c r="AD10" s="122"/>
      <c r="AE10" s="122"/>
    </row>
    <row r="11" spans="1:31" s="395" customFormat="1" outlineLevel="1" x14ac:dyDescent="0.2">
      <c r="A11" s="170"/>
      <c r="B11" s="582" t="s">
        <v>160</v>
      </c>
      <c r="C11" s="578"/>
      <c r="D11" s="578"/>
      <c r="E11" s="578"/>
      <c r="F11" s="177"/>
      <c r="G11" s="135">
        <v>0.98</v>
      </c>
      <c r="H11" s="181"/>
      <c r="I11" s="501"/>
      <c r="K11" s="394"/>
      <c r="L11" s="394"/>
      <c r="M11" s="394"/>
      <c r="O11" s="394"/>
      <c r="U11" s="394"/>
      <c r="V11" s="394"/>
      <c r="W11" s="563"/>
      <c r="X11" s="563"/>
      <c r="Y11" s="563"/>
      <c r="Z11" s="556"/>
      <c r="AA11" s="394"/>
      <c r="AB11" s="394"/>
      <c r="AC11" s="394"/>
      <c r="AD11" s="394"/>
      <c r="AE11" s="394"/>
    </row>
    <row r="12" spans="1:31" outlineLevel="1" x14ac:dyDescent="0.2">
      <c r="G12" s="577"/>
      <c r="H12" s="181"/>
      <c r="I12" s="501"/>
      <c r="K12" s="181"/>
      <c r="L12" s="181"/>
      <c r="M12" s="170"/>
      <c r="N12" s="171"/>
      <c r="O12" s="172" t="s">
        <v>172</v>
      </c>
      <c r="P12" s="170"/>
      <c r="Q12" s="170"/>
      <c r="R12" s="170"/>
      <c r="S12" s="583"/>
      <c r="T12" s="182"/>
      <c r="U12" s="170"/>
      <c r="V12" s="122"/>
      <c r="W12" s="122"/>
      <c r="X12" s="122"/>
      <c r="Y12" s="122"/>
      <c r="Z12" s="130"/>
      <c r="AA12" s="122"/>
      <c r="AB12" s="122"/>
      <c r="AC12" s="122"/>
      <c r="AD12" s="122"/>
      <c r="AE12" s="122"/>
    </row>
    <row r="13" spans="1:31" outlineLevel="1" x14ac:dyDescent="0.2">
      <c r="G13" s="577"/>
      <c r="H13" s="469"/>
      <c r="K13" s="181"/>
      <c r="L13" s="181"/>
      <c r="M13" s="170"/>
      <c r="N13" s="171"/>
      <c r="O13" s="171"/>
      <c r="P13" s="183" t="s">
        <v>173</v>
      </c>
      <c r="Q13" s="180"/>
      <c r="R13" s="578"/>
      <c r="S13" s="591">
        <f>SUMPRODUCT(E24:T43,E73:T92)/SUM(U24:U43)</f>
        <v>108.39257478852171</v>
      </c>
      <c r="T13" s="185" t="s">
        <v>141</v>
      </c>
      <c r="U13" s="170"/>
      <c r="V13" s="122"/>
      <c r="W13" s="122"/>
      <c r="X13" s="122"/>
      <c r="Y13" s="122"/>
      <c r="Z13" s="130"/>
      <c r="AA13" s="122"/>
      <c r="AB13" s="122"/>
      <c r="AC13" s="122"/>
      <c r="AD13" s="122"/>
      <c r="AE13" s="122"/>
    </row>
    <row r="14" spans="1:31" outlineLevel="1" x14ac:dyDescent="0.2">
      <c r="G14" s="577"/>
      <c r="H14" s="450"/>
      <c r="I14" s="501"/>
      <c r="K14" s="181"/>
      <c r="L14" s="181"/>
      <c r="M14" s="170"/>
      <c r="N14" s="171"/>
      <c r="O14" s="170"/>
      <c r="P14" s="187" t="s">
        <v>174</v>
      </c>
      <c r="Q14" s="180"/>
      <c r="R14" s="184"/>
      <c r="S14" s="570">
        <f>SUMPRODUCT(E24:T43,E97:T116)/SUM(U24:U43)</f>
        <v>85.921167227783144</v>
      </c>
      <c r="T14" s="178" t="s">
        <v>141</v>
      </c>
      <c r="U14" s="179"/>
      <c r="V14" s="122"/>
      <c r="W14" s="122"/>
      <c r="X14" s="122"/>
      <c r="Y14" s="122"/>
      <c r="Z14" s="130"/>
      <c r="AA14" s="122"/>
      <c r="AB14" s="122"/>
      <c r="AC14" s="122"/>
      <c r="AD14" s="122"/>
      <c r="AE14" s="122"/>
    </row>
    <row r="15" spans="1:31" s="509" customFormat="1" outlineLevel="1" x14ac:dyDescent="0.2">
      <c r="A15" s="529"/>
      <c r="B15" s="534"/>
      <c r="C15" s="534"/>
      <c r="D15" s="534"/>
      <c r="E15" s="534"/>
      <c r="F15" s="534"/>
      <c r="G15" s="382"/>
      <c r="H15" s="511"/>
      <c r="I15" s="511"/>
      <c r="K15" s="511"/>
      <c r="L15" s="511"/>
      <c r="M15" s="510"/>
      <c r="O15" s="510"/>
      <c r="P15" s="187" t="s">
        <v>175</v>
      </c>
      <c r="Q15" s="180"/>
      <c r="R15" s="184"/>
      <c r="S15" s="470">
        <f>G7</f>
        <v>286</v>
      </c>
      <c r="T15" s="178" t="s">
        <v>141</v>
      </c>
      <c r="U15" s="512"/>
      <c r="V15" s="510"/>
      <c r="W15" s="510"/>
      <c r="X15" s="510"/>
      <c r="Y15" s="510"/>
      <c r="Z15" s="398"/>
      <c r="AA15" s="510"/>
      <c r="AB15" s="510"/>
      <c r="AC15" s="510"/>
      <c r="AD15" s="510"/>
      <c r="AE15" s="510"/>
    </row>
    <row r="16" spans="1:31" s="509" customFormat="1" outlineLevel="1" x14ac:dyDescent="0.2">
      <c r="A16" s="529"/>
      <c r="B16" s="534"/>
      <c r="C16" s="534"/>
      <c r="D16" s="534"/>
      <c r="E16" s="534"/>
      <c r="F16" s="534"/>
      <c r="G16" s="382"/>
      <c r="H16" s="511"/>
      <c r="I16" s="511"/>
      <c r="K16" s="511"/>
      <c r="L16" s="511"/>
      <c r="M16" s="510"/>
      <c r="O16" s="510"/>
      <c r="P16" s="187" t="s">
        <v>176</v>
      </c>
      <c r="Q16" s="180"/>
      <c r="R16" s="184"/>
      <c r="S16" s="188">
        <f>S14/S15</f>
        <v>0.30042366163560541</v>
      </c>
      <c r="T16" s="178"/>
      <c r="U16" s="512"/>
      <c r="V16" s="510"/>
      <c r="W16" s="510"/>
      <c r="X16" s="510"/>
      <c r="Y16" s="510"/>
      <c r="Z16" s="398"/>
      <c r="AA16" s="510"/>
      <c r="AB16" s="510"/>
      <c r="AC16" s="510"/>
      <c r="AD16" s="510"/>
      <c r="AE16" s="510"/>
    </row>
    <row r="17" spans="1:31" outlineLevel="1" x14ac:dyDescent="0.2">
      <c r="A17" s="529"/>
      <c r="B17" s="529"/>
      <c r="C17" s="529"/>
      <c r="D17" s="529"/>
      <c r="E17" s="529"/>
      <c r="F17" s="529"/>
      <c r="G17" s="534"/>
      <c r="H17" s="450"/>
      <c r="I17" s="501"/>
      <c r="K17" s="181"/>
      <c r="L17" s="181"/>
      <c r="M17" s="170"/>
      <c r="N17" s="171"/>
      <c r="O17" s="170"/>
      <c r="P17" s="187" t="s">
        <v>161</v>
      </c>
      <c r="Q17" s="180"/>
      <c r="R17" s="184"/>
      <c r="S17" s="189">
        <f>S14*G10*G11*24*365/1000</f>
        <v>700.73523459621902</v>
      </c>
      <c r="T17" s="190" t="s">
        <v>180</v>
      </c>
      <c r="U17" s="186"/>
      <c r="V17" s="122"/>
      <c r="W17" s="122"/>
      <c r="X17" s="122"/>
      <c r="Y17" s="122"/>
      <c r="Z17" s="130"/>
      <c r="AA17" s="122"/>
      <c r="AB17" s="122"/>
      <c r="AC17" s="122"/>
      <c r="AD17" s="122"/>
      <c r="AE17" s="122"/>
    </row>
    <row r="18" spans="1:31" outlineLevel="1" x14ac:dyDescent="0.2">
      <c r="A18" s="529"/>
      <c r="B18" s="529"/>
      <c r="C18" s="529"/>
      <c r="D18" s="529"/>
      <c r="E18" s="529"/>
      <c r="F18" s="529"/>
      <c r="G18" s="529"/>
      <c r="H18" s="181"/>
      <c r="I18" s="501"/>
      <c r="K18" s="181"/>
      <c r="L18" s="181"/>
      <c r="M18" s="170"/>
      <c r="N18" s="171"/>
      <c r="O18" s="170"/>
      <c r="P18" s="187" t="s">
        <v>178</v>
      </c>
      <c r="Q18" s="180"/>
      <c r="R18" s="184"/>
      <c r="S18" s="192">
        <f>S14/1.3</f>
        <v>66.09320555983318</v>
      </c>
      <c r="T18" s="193"/>
      <c r="U18" s="170"/>
      <c r="V18" s="122"/>
      <c r="W18" s="122"/>
      <c r="X18" s="122"/>
      <c r="Y18" s="122"/>
      <c r="Z18" s="130"/>
      <c r="AA18" s="122"/>
      <c r="AB18" s="122"/>
      <c r="AC18" s="122"/>
      <c r="AD18" s="122"/>
      <c r="AE18" s="122"/>
    </row>
    <row r="19" spans="1:31" outlineLevel="1" x14ac:dyDescent="0.2">
      <c r="H19" s="170"/>
      <c r="I19" s="500"/>
      <c r="K19" s="170"/>
      <c r="L19" s="170"/>
      <c r="M19" s="170"/>
      <c r="N19" s="171"/>
      <c r="O19" s="170"/>
      <c r="U19" s="170"/>
      <c r="W19" s="125"/>
      <c r="X19" s="122"/>
      <c r="Y19" s="122"/>
      <c r="Z19" s="130"/>
      <c r="AA19" s="122"/>
      <c r="AB19" s="122"/>
      <c r="AC19" s="122"/>
      <c r="AD19" s="122"/>
      <c r="AE19" s="122"/>
    </row>
    <row r="20" spans="1:31" outlineLevel="1" x14ac:dyDescent="0.2">
      <c r="A20" s="170"/>
      <c r="B20" s="181"/>
      <c r="C20" s="181"/>
      <c r="D20" s="181"/>
      <c r="E20" s="181"/>
      <c r="F20" s="191"/>
      <c r="G20" s="191"/>
      <c r="H20" s="404"/>
      <c r="I20" s="503"/>
      <c r="J20" s="181"/>
      <c r="K20" s="181"/>
      <c r="L20" s="181"/>
      <c r="M20" s="170"/>
      <c r="N20" s="171"/>
      <c r="U20" s="170"/>
      <c r="W20" s="122"/>
      <c r="X20" s="122"/>
      <c r="Y20" s="132"/>
      <c r="Z20" s="127"/>
      <c r="AA20" s="122"/>
      <c r="AB20" s="122"/>
      <c r="AC20" s="122"/>
      <c r="AD20" s="122"/>
    </row>
    <row r="21" spans="1:31" ht="14.25" x14ac:dyDescent="0.2">
      <c r="A21" s="172" t="s">
        <v>293</v>
      </c>
      <c r="B21" s="194"/>
      <c r="C21" s="181"/>
      <c r="D21" s="181"/>
      <c r="E21" s="181"/>
      <c r="F21" s="191"/>
      <c r="G21" s="191"/>
      <c r="H21" s="404"/>
      <c r="I21" s="503"/>
      <c r="J21" s="181"/>
      <c r="K21" s="181"/>
      <c r="L21" s="181"/>
      <c r="M21" s="170"/>
      <c r="N21" s="171"/>
      <c r="O21" s="170"/>
      <c r="P21" s="170"/>
      <c r="Q21" s="170"/>
      <c r="R21" s="170"/>
      <c r="S21" s="195"/>
      <c r="T21" s="195"/>
      <c r="U21" s="170"/>
      <c r="W21" s="122"/>
      <c r="X21" s="122"/>
      <c r="Y21" s="122"/>
      <c r="Z21" s="127"/>
      <c r="AA21" s="132"/>
      <c r="AB21" s="122"/>
      <c r="AC21" s="122"/>
      <c r="AD21" s="122"/>
    </row>
    <row r="22" spans="1:31" s="572" customFormat="1" ht="14.25" x14ac:dyDescent="0.2">
      <c r="A22" s="575"/>
      <c r="B22" s="539"/>
      <c r="C22" s="576"/>
      <c r="D22" s="576"/>
      <c r="E22" s="576" t="s">
        <v>291</v>
      </c>
      <c r="F22" s="585"/>
      <c r="G22" s="585"/>
      <c r="H22" s="585"/>
      <c r="I22" s="585"/>
      <c r="J22" s="576"/>
      <c r="K22" s="576"/>
      <c r="L22" s="576"/>
      <c r="M22" s="573"/>
      <c r="O22" s="573"/>
      <c r="P22" s="573"/>
      <c r="Q22" s="573"/>
      <c r="R22" s="573"/>
      <c r="S22" s="538"/>
      <c r="T22" s="538"/>
      <c r="U22" s="573"/>
      <c r="W22" s="573"/>
      <c r="X22" s="573"/>
      <c r="Y22" s="573"/>
      <c r="Z22" s="530"/>
      <c r="AA22" s="584"/>
      <c r="AB22" s="573"/>
      <c r="AC22" s="573"/>
      <c r="AD22" s="573"/>
    </row>
    <row r="23" spans="1:31" outlineLevel="1" x14ac:dyDescent="0.2">
      <c r="A23" s="170"/>
      <c r="D23" s="567"/>
      <c r="E23" s="568">
        <v>4.5</v>
      </c>
      <c r="F23" s="568">
        <v>5.5</v>
      </c>
      <c r="G23" s="568">
        <v>6.5</v>
      </c>
      <c r="H23" s="568">
        <v>7.5</v>
      </c>
      <c r="I23" s="568">
        <v>8.5</v>
      </c>
      <c r="J23" s="568">
        <v>9.5</v>
      </c>
      <c r="K23" s="568">
        <v>10.5</v>
      </c>
      <c r="L23" s="568">
        <v>11.5</v>
      </c>
      <c r="M23" s="568">
        <v>12.5</v>
      </c>
      <c r="N23" s="568">
        <v>13.5</v>
      </c>
      <c r="O23" s="568">
        <v>14.5</v>
      </c>
      <c r="P23" s="568">
        <v>15.5</v>
      </c>
      <c r="Q23" s="568">
        <v>16.5</v>
      </c>
      <c r="R23" s="568">
        <v>17.5</v>
      </c>
      <c r="S23" s="568">
        <v>18.5</v>
      </c>
      <c r="T23" s="568">
        <v>19.5</v>
      </c>
      <c r="U23" s="171"/>
      <c r="W23" s="122"/>
      <c r="X23" s="122"/>
      <c r="Y23" s="122"/>
      <c r="Z23" s="127"/>
      <c r="AA23" s="132"/>
      <c r="AB23" s="122"/>
      <c r="AC23" s="122"/>
      <c r="AD23" s="122"/>
    </row>
    <row r="24" spans="1:31" outlineLevel="1" x14ac:dyDescent="0.2">
      <c r="A24" s="171"/>
      <c r="C24" s="123" t="s">
        <v>290</v>
      </c>
      <c r="D24" s="559">
        <v>0.25</v>
      </c>
      <c r="E24" s="589">
        <v>0</v>
      </c>
      <c r="F24" s="589">
        <v>0</v>
      </c>
      <c r="G24" s="589">
        <v>0</v>
      </c>
      <c r="H24" s="589">
        <v>0</v>
      </c>
      <c r="I24" s="589">
        <v>0</v>
      </c>
      <c r="J24" s="589">
        <v>0</v>
      </c>
      <c r="K24" s="589">
        <v>0</v>
      </c>
      <c r="L24" s="589">
        <v>0</v>
      </c>
      <c r="M24" s="589">
        <v>0</v>
      </c>
      <c r="N24" s="589">
        <v>0</v>
      </c>
      <c r="O24" s="589">
        <v>0</v>
      </c>
      <c r="P24" s="589">
        <v>0</v>
      </c>
      <c r="Q24" s="589">
        <v>0</v>
      </c>
      <c r="R24" s="589">
        <v>0</v>
      </c>
      <c r="S24" s="589">
        <v>0</v>
      </c>
      <c r="T24" s="589">
        <v>0</v>
      </c>
      <c r="U24" s="565">
        <f>SUM(E24:T24)</f>
        <v>0</v>
      </c>
      <c r="X24" s="122"/>
      <c r="Y24" s="122"/>
      <c r="Z24" s="127"/>
      <c r="AA24" s="122"/>
      <c r="AB24" s="122"/>
    </row>
    <row r="25" spans="1:31" outlineLevel="1" x14ac:dyDescent="0.2">
      <c r="A25" s="171"/>
      <c r="D25" s="559">
        <v>0.75</v>
      </c>
      <c r="E25" s="589">
        <v>0</v>
      </c>
      <c r="F25" s="589">
        <v>4</v>
      </c>
      <c r="G25" s="589">
        <v>70</v>
      </c>
      <c r="H25" s="589">
        <v>101</v>
      </c>
      <c r="I25" s="589">
        <v>64</v>
      </c>
      <c r="J25" s="589">
        <v>67</v>
      </c>
      <c r="K25" s="589">
        <v>30</v>
      </c>
      <c r="L25" s="589">
        <v>4</v>
      </c>
      <c r="M25" s="589">
        <v>0</v>
      </c>
      <c r="N25" s="589">
        <v>1</v>
      </c>
      <c r="O25" s="589">
        <v>0</v>
      </c>
      <c r="P25" s="589">
        <v>1</v>
      </c>
      <c r="Q25" s="589">
        <v>0</v>
      </c>
      <c r="R25" s="589">
        <v>0</v>
      </c>
      <c r="S25" s="589">
        <v>0</v>
      </c>
      <c r="T25" s="589">
        <v>0</v>
      </c>
      <c r="U25" s="565">
        <f t="shared" ref="U25:U43" si="0">SUM(E25:T25)</f>
        <v>342</v>
      </c>
      <c r="X25" s="122"/>
      <c r="Y25" s="122"/>
      <c r="Z25" s="127"/>
      <c r="AA25" s="122"/>
      <c r="AB25" s="122"/>
    </row>
    <row r="26" spans="1:31" outlineLevel="1" x14ac:dyDescent="0.2">
      <c r="A26" s="171"/>
      <c r="D26" s="559">
        <v>1.25</v>
      </c>
      <c r="E26" s="589">
        <v>2</v>
      </c>
      <c r="F26" s="589">
        <v>122</v>
      </c>
      <c r="G26" s="589">
        <v>342</v>
      </c>
      <c r="H26" s="589">
        <v>461</v>
      </c>
      <c r="I26" s="589">
        <v>510</v>
      </c>
      <c r="J26" s="589">
        <v>360</v>
      </c>
      <c r="K26" s="589">
        <v>182</v>
      </c>
      <c r="L26" s="589">
        <v>54</v>
      </c>
      <c r="M26" s="589">
        <v>14</v>
      </c>
      <c r="N26" s="589">
        <v>0</v>
      </c>
      <c r="O26" s="589">
        <v>0</v>
      </c>
      <c r="P26" s="589">
        <v>0</v>
      </c>
      <c r="Q26" s="589">
        <v>1</v>
      </c>
      <c r="R26" s="589">
        <v>1</v>
      </c>
      <c r="S26" s="589">
        <v>0</v>
      </c>
      <c r="T26" s="589">
        <v>0</v>
      </c>
      <c r="U26" s="565">
        <f t="shared" si="0"/>
        <v>2049</v>
      </c>
      <c r="X26" s="122"/>
      <c r="Y26" s="122"/>
      <c r="Z26" s="127"/>
      <c r="AA26" s="122"/>
      <c r="AB26" s="122"/>
    </row>
    <row r="27" spans="1:31" outlineLevel="1" x14ac:dyDescent="0.2">
      <c r="A27" s="171"/>
      <c r="D27" s="559">
        <v>1.75</v>
      </c>
      <c r="E27" s="589">
        <v>0</v>
      </c>
      <c r="F27" s="589">
        <v>122</v>
      </c>
      <c r="G27" s="589">
        <v>553</v>
      </c>
      <c r="H27" s="589">
        <v>534</v>
      </c>
      <c r="I27" s="589">
        <v>513</v>
      </c>
      <c r="J27" s="589">
        <v>430</v>
      </c>
      <c r="K27" s="589">
        <v>252</v>
      </c>
      <c r="L27" s="589">
        <v>141</v>
      </c>
      <c r="M27" s="589">
        <v>80</v>
      </c>
      <c r="N27" s="589">
        <v>7</v>
      </c>
      <c r="O27" s="589">
        <v>0</v>
      </c>
      <c r="P27" s="589">
        <v>0</v>
      </c>
      <c r="Q27" s="589">
        <v>0</v>
      </c>
      <c r="R27" s="589">
        <v>1</v>
      </c>
      <c r="S27" s="589">
        <v>0</v>
      </c>
      <c r="T27" s="589">
        <v>0</v>
      </c>
      <c r="U27" s="565">
        <f t="shared" si="0"/>
        <v>2633</v>
      </c>
      <c r="X27" s="122"/>
      <c r="Y27" s="122"/>
      <c r="Z27" s="127"/>
      <c r="AA27" s="122"/>
      <c r="AB27" s="122"/>
    </row>
    <row r="28" spans="1:31" outlineLevel="1" x14ac:dyDescent="0.2">
      <c r="A28" s="171"/>
      <c r="D28" s="559">
        <v>2.25</v>
      </c>
      <c r="E28" s="589">
        <v>0</v>
      </c>
      <c r="F28" s="589">
        <v>30</v>
      </c>
      <c r="G28" s="589">
        <v>437</v>
      </c>
      <c r="H28" s="589">
        <v>531</v>
      </c>
      <c r="I28" s="589">
        <v>454</v>
      </c>
      <c r="J28" s="589">
        <v>511</v>
      </c>
      <c r="K28" s="589">
        <v>395</v>
      </c>
      <c r="L28" s="589">
        <v>186</v>
      </c>
      <c r="M28" s="589">
        <v>148</v>
      </c>
      <c r="N28" s="589">
        <v>41</v>
      </c>
      <c r="O28" s="589">
        <v>4</v>
      </c>
      <c r="P28" s="589">
        <v>2</v>
      </c>
      <c r="Q28" s="589">
        <v>1</v>
      </c>
      <c r="R28" s="589">
        <v>0</v>
      </c>
      <c r="S28" s="589">
        <v>0</v>
      </c>
      <c r="T28" s="589">
        <v>0</v>
      </c>
      <c r="U28" s="565">
        <f t="shared" si="0"/>
        <v>2740</v>
      </c>
      <c r="W28" s="133"/>
      <c r="X28" s="122"/>
      <c r="Y28" s="122"/>
      <c r="AA28" s="122"/>
      <c r="AB28" s="122"/>
    </row>
    <row r="29" spans="1:31" outlineLevel="1" x14ac:dyDescent="0.2">
      <c r="A29" s="171"/>
      <c r="D29" s="559">
        <v>2.75</v>
      </c>
      <c r="E29" s="589">
        <v>0</v>
      </c>
      <c r="F29" s="589">
        <v>1</v>
      </c>
      <c r="G29" s="589">
        <v>193</v>
      </c>
      <c r="H29" s="589">
        <v>314</v>
      </c>
      <c r="I29" s="589">
        <v>243</v>
      </c>
      <c r="J29" s="589">
        <v>407</v>
      </c>
      <c r="K29" s="589">
        <v>409</v>
      </c>
      <c r="L29" s="589">
        <v>220</v>
      </c>
      <c r="M29" s="589">
        <v>142</v>
      </c>
      <c r="N29" s="589">
        <v>47</v>
      </c>
      <c r="O29" s="589">
        <v>9</v>
      </c>
      <c r="P29" s="589">
        <v>8</v>
      </c>
      <c r="Q29" s="589">
        <v>0</v>
      </c>
      <c r="R29" s="589">
        <v>0</v>
      </c>
      <c r="S29" s="589">
        <v>0</v>
      </c>
      <c r="T29" s="589">
        <v>0</v>
      </c>
      <c r="U29" s="565">
        <f t="shared" si="0"/>
        <v>1993</v>
      </c>
      <c r="W29" s="134"/>
      <c r="X29" s="122"/>
      <c r="Y29" s="122"/>
      <c r="Z29" s="127"/>
      <c r="AA29" s="122"/>
      <c r="AB29" s="122"/>
    </row>
    <row r="30" spans="1:31" outlineLevel="1" x14ac:dyDescent="0.2">
      <c r="A30" s="171"/>
      <c r="D30" s="559">
        <v>3.25</v>
      </c>
      <c r="E30" s="589">
        <v>0</v>
      </c>
      <c r="F30" s="589">
        <v>0</v>
      </c>
      <c r="G30" s="589">
        <v>15</v>
      </c>
      <c r="H30" s="589">
        <v>116</v>
      </c>
      <c r="I30" s="589">
        <v>115</v>
      </c>
      <c r="J30" s="589">
        <v>245</v>
      </c>
      <c r="K30" s="589">
        <v>298</v>
      </c>
      <c r="L30" s="589">
        <v>181</v>
      </c>
      <c r="M30" s="589">
        <v>101</v>
      </c>
      <c r="N30" s="589">
        <v>50</v>
      </c>
      <c r="O30" s="589">
        <v>18</v>
      </c>
      <c r="P30" s="589">
        <v>5</v>
      </c>
      <c r="Q30" s="589">
        <v>0</v>
      </c>
      <c r="R30" s="589">
        <v>0</v>
      </c>
      <c r="S30" s="589">
        <v>0</v>
      </c>
      <c r="T30" s="589">
        <v>0</v>
      </c>
      <c r="U30" s="565">
        <f t="shared" si="0"/>
        <v>1144</v>
      </c>
      <c r="W30" s="131"/>
      <c r="Z30" s="127"/>
    </row>
    <row r="31" spans="1:31" outlineLevel="1" x14ac:dyDescent="0.2">
      <c r="A31" s="171"/>
      <c r="D31" s="559">
        <v>3.75</v>
      </c>
      <c r="E31" s="589">
        <v>0</v>
      </c>
      <c r="F31" s="589">
        <v>0</v>
      </c>
      <c r="G31" s="589">
        <v>2</v>
      </c>
      <c r="H31" s="589">
        <v>11</v>
      </c>
      <c r="I31" s="589">
        <v>29</v>
      </c>
      <c r="J31" s="589">
        <v>127</v>
      </c>
      <c r="K31" s="589">
        <v>242</v>
      </c>
      <c r="L31" s="589">
        <v>189</v>
      </c>
      <c r="M31" s="589">
        <v>66</v>
      </c>
      <c r="N31" s="589">
        <v>41</v>
      </c>
      <c r="O31" s="589">
        <v>28</v>
      </c>
      <c r="P31" s="589">
        <v>7</v>
      </c>
      <c r="Q31" s="589">
        <v>0</v>
      </c>
      <c r="R31" s="589">
        <v>0</v>
      </c>
      <c r="S31" s="589">
        <v>0</v>
      </c>
      <c r="T31" s="589">
        <v>0</v>
      </c>
      <c r="U31" s="565">
        <f t="shared" si="0"/>
        <v>742</v>
      </c>
      <c r="V31" s="122"/>
      <c r="W31" s="122"/>
      <c r="Z31" s="127"/>
    </row>
    <row r="32" spans="1:31" outlineLevel="1" x14ac:dyDescent="0.2">
      <c r="A32" s="171"/>
      <c r="D32" s="559">
        <v>4.25</v>
      </c>
      <c r="E32" s="589">
        <v>0</v>
      </c>
      <c r="F32" s="589">
        <v>0</v>
      </c>
      <c r="G32" s="589">
        <v>0</v>
      </c>
      <c r="H32" s="589">
        <v>1</v>
      </c>
      <c r="I32" s="589">
        <v>6</v>
      </c>
      <c r="J32" s="589">
        <v>27</v>
      </c>
      <c r="K32" s="589">
        <v>125</v>
      </c>
      <c r="L32" s="589">
        <v>160</v>
      </c>
      <c r="M32" s="589">
        <v>69</v>
      </c>
      <c r="N32" s="589">
        <v>37</v>
      </c>
      <c r="O32" s="589">
        <v>19</v>
      </c>
      <c r="P32" s="589">
        <v>11</v>
      </c>
      <c r="Q32" s="589">
        <v>4</v>
      </c>
      <c r="R32" s="589">
        <v>0</v>
      </c>
      <c r="S32" s="589">
        <v>0</v>
      </c>
      <c r="T32" s="589">
        <v>0</v>
      </c>
      <c r="U32" s="565">
        <f t="shared" si="0"/>
        <v>459</v>
      </c>
      <c r="V32" s="122"/>
    </row>
    <row r="33" spans="1:22" outlineLevel="1" x14ac:dyDescent="0.2">
      <c r="A33" s="171"/>
      <c r="D33" s="559">
        <v>4.75</v>
      </c>
      <c r="E33" s="589">
        <v>0</v>
      </c>
      <c r="F33" s="589">
        <v>0</v>
      </c>
      <c r="G33" s="589">
        <v>0</v>
      </c>
      <c r="H33" s="589">
        <v>0</v>
      </c>
      <c r="I33" s="589">
        <v>2</v>
      </c>
      <c r="J33" s="589">
        <v>5</v>
      </c>
      <c r="K33" s="589">
        <v>40</v>
      </c>
      <c r="L33" s="589">
        <v>55</v>
      </c>
      <c r="M33" s="589">
        <v>47</v>
      </c>
      <c r="N33" s="589">
        <v>29</v>
      </c>
      <c r="O33" s="589">
        <v>16</v>
      </c>
      <c r="P33" s="589">
        <v>8</v>
      </c>
      <c r="Q33" s="589">
        <v>1</v>
      </c>
      <c r="R33" s="589">
        <v>0</v>
      </c>
      <c r="S33" s="589">
        <v>0</v>
      </c>
      <c r="T33" s="589">
        <v>0</v>
      </c>
      <c r="U33" s="565">
        <f t="shared" si="0"/>
        <v>203</v>
      </c>
      <c r="V33" s="122"/>
    </row>
    <row r="34" spans="1:22" outlineLevel="1" x14ac:dyDescent="0.2">
      <c r="A34" s="171"/>
      <c r="D34" s="559">
        <v>5.25</v>
      </c>
      <c r="E34" s="589">
        <v>0</v>
      </c>
      <c r="F34" s="589">
        <v>0</v>
      </c>
      <c r="G34" s="589">
        <v>0</v>
      </c>
      <c r="H34" s="589">
        <v>0</v>
      </c>
      <c r="I34" s="589">
        <v>0</v>
      </c>
      <c r="J34" s="589">
        <v>2</v>
      </c>
      <c r="K34" s="589">
        <v>16</v>
      </c>
      <c r="L34" s="589">
        <v>26</v>
      </c>
      <c r="M34" s="589">
        <v>32</v>
      </c>
      <c r="N34" s="589">
        <v>20</v>
      </c>
      <c r="O34" s="589">
        <v>8</v>
      </c>
      <c r="P34" s="589">
        <v>3</v>
      </c>
      <c r="Q34" s="589">
        <v>2</v>
      </c>
      <c r="R34" s="589">
        <v>0</v>
      </c>
      <c r="S34" s="589">
        <v>0</v>
      </c>
      <c r="T34" s="589">
        <v>0</v>
      </c>
      <c r="U34" s="565">
        <f t="shared" si="0"/>
        <v>109</v>
      </c>
      <c r="V34" s="122"/>
    </row>
    <row r="35" spans="1:22" outlineLevel="1" x14ac:dyDescent="0.2">
      <c r="A35" s="171"/>
      <c r="D35" s="559">
        <v>5.75</v>
      </c>
      <c r="E35" s="589">
        <v>0</v>
      </c>
      <c r="F35" s="589">
        <v>0</v>
      </c>
      <c r="G35" s="589">
        <v>0</v>
      </c>
      <c r="H35" s="589">
        <v>0</v>
      </c>
      <c r="I35" s="589">
        <v>0</v>
      </c>
      <c r="J35" s="589">
        <v>1</v>
      </c>
      <c r="K35" s="589">
        <v>6</v>
      </c>
      <c r="L35" s="589">
        <v>19</v>
      </c>
      <c r="M35" s="589">
        <v>13</v>
      </c>
      <c r="N35" s="589">
        <v>18</v>
      </c>
      <c r="O35" s="589">
        <v>10</v>
      </c>
      <c r="P35" s="589">
        <v>1</v>
      </c>
      <c r="Q35" s="589">
        <v>1</v>
      </c>
      <c r="R35" s="589">
        <v>0</v>
      </c>
      <c r="S35" s="589">
        <v>0</v>
      </c>
      <c r="T35" s="589">
        <v>0</v>
      </c>
      <c r="U35" s="565">
        <f t="shared" si="0"/>
        <v>69</v>
      </c>
      <c r="V35" s="122"/>
    </row>
    <row r="36" spans="1:22" outlineLevel="1" x14ac:dyDescent="0.2">
      <c r="A36" s="171"/>
      <c r="D36" s="559">
        <v>6.25</v>
      </c>
      <c r="E36" s="589">
        <v>0</v>
      </c>
      <c r="F36" s="589">
        <v>0</v>
      </c>
      <c r="G36" s="589">
        <v>0</v>
      </c>
      <c r="H36" s="589">
        <v>0</v>
      </c>
      <c r="I36" s="589">
        <v>0</v>
      </c>
      <c r="J36" s="589">
        <v>0</v>
      </c>
      <c r="K36" s="589">
        <v>3</v>
      </c>
      <c r="L36" s="589">
        <v>8</v>
      </c>
      <c r="M36" s="589">
        <v>10</v>
      </c>
      <c r="N36" s="589">
        <v>16</v>
      </c>
      <c r="O36" s="589">
        <v>6</v>
      </c>
      <c r="P36" s="589">
        <v>1</v>
      </c>
      <c r="Q36" s="589">
        <v>0</v>
      </c>
      <c r="R36" s="589">
        <v>0</v>
      </c>
      <c r="S36" s="589">
        <v>0</v>
      </c>
      <c r="T36" s="589">
        <v>0</v>
      </c>
      <c r="U36" s="565">
        <f t="shared" si="0"/>
        <v>44</v>
      </c>
    </row>
    <row r="37" spans="1:22" outlineLevel="1" x14ac:dyDescent="0.2">
      <c r="A37" s="171"/>
      <c r="D37" s="559">
        <v>6.75</v>
      </c>
      <c r="E37" s="589">
        <v>0</v>
      </c>
      <c r="F37" s="589">
        <v>0</v>
      </c>
      <c r="G37" s="589">
        <v>0</v>
      </c>
      <c r="H37" s="589">
        <v>0</v>
      </c>
      <c r="I37" s="589">
        <v>0</v>
      </c>
      <c r="J37" s="589">
        <v>0</v>
      </c>
      <c r="K37" s="589">
        <v>0</v>
      </c>
      <c r="L37" s="589">
        <v>0</v>
      </c>
      <c r="M37" s="589">
        <v>2</v>
      </c>
      <c r="N37" s="589">
        <v>4</v>
      </c>
      <c r="O37" s="589">
        <v>1</v>
      </c>
      <c r="P37" s="589">
        <v>1</v>
      </c>
      <c r="Q37" s="589">
        <v>0</v>
      </c>
      <c r="R37" s="589">
        <v>0</v>
      </c>
      <c r="S37" s="589">
        <v>0</v>
      </c>
      <c r="T37" s="589">
        <v>0</v>
      </c>
      <c r="U37" s="565">
        <f t="shared" si="0"/>
        <v>8</v>
      </c>
    </row>
    <row r="38" spans="1:22" outlineLevel="1" x14ac:dyDescent="0.2">
      <c r="A38" s="171"/>
      <c r="D38" s="559">
        <v>7.25</v>
      </c>
      <c r="E38" s="589">
        <v>0</v>
      </c>
      <c r="F38" s="589">
        <v>0</v>
      </c>
      <c r="G38" s="589">
        <v>0</v>
      </c>
      <c r="H38" s="589">
        <v>0</v>
      </c>
      <c r="I38" s="589">
        <v>0</v>
      </c>
      <c r="J38" s="589">
        <v>0</v>
      </c>
      <c r="K38" s="589">
        <v>0</v>
      </c>
      <c r="L38" s="589">
        <v>1</v>
      </c>
      <c r="M38" s="589">
        <v>1</v>
      </c>
      <c r="N38" s="589">
        <v>2</v>
      </c>
      <c r="O38" s="589">
        <v>1</v>
      </c>
      <c r="P38" s="589">
        <v>1</v>
      </c>
      <c r="Q38" s="589">
        <v>0</v>
      </c>
      <c r="R38" s="589">
        <v>0</v>
      </c>
      <c r="S38" s="589">
        <v>0</v>
      </c>
      <c r="T38" s="589">
        <v>0</v>
      </c>
      <c r="U38" s="565">
        <f t="shared" si="0"/>
        <v>6</v>
      </c>
    </row>
    <row r="39" spans="1:22" outlineLevel="1" x14ac:dyDescent="0.2">
      <c r="A39" s="171"/>
      <c r="D39" s="559">
        <v>7.75</v>
      </c>
      <c r="E39" s="589">
        <v>0</v>
      </c>
      <c r="F39" s="589">
        <v>0</v>
      </c>
      <c r="G39" s="589">
        <v>0</v>
      </c>
      <c r="H39" s="589">
        <v>0</v>
      </c>
      <c r="I39" s="589">
        <v>0</v>
      </c>
      <c r="J39" s="589">
        <v>0</v>
      </c>
      <c r="K39" s="589">
        <v>0</v>
      </c>
      <c r="L39" s="589">
        <v>0</v>
      </c>
      <c r="M39" s="589">
        <v>0</v>
      </c>
      <c r="N39" s="589">
        <v>2</v>
      </c>
      <c r="O39" s="589">
        <v>1</v>
      </c>
      <c r="P39" s="589">
        <v>0</v>
      </c>
      <c r="Q39" s="589">
        <v>0</v>
      </c>
      <c r="R39" s="589">
        <v>0</v>
      </c>
      <c r="S39" s="589">
        <v>0</v>
      </c>
      <c r="T39" s="589">
        <v>0</v>
      </c>
      <c r="U39" s="565">
        <f t="shared" si="0"/>
        <v>3</v>
      </c>
    </row>
    <row r="40" spans="1:22" outlineLevel="1" x14ac:dyDescent="0.2">
      <c r="A40" s="171"/>
      <c r="D40" s="559">
        <v>8.25</v>
      </c>
      <c r="E40" s="589">
        <v>0</v>
      </c>
      <c r="F40" s="589">
        <v>0</v>
      </c>
      <c r="G40" s="589">
        <v>0</v>
      </c>
      <c r="H40" s="589">
        <v>0</v>
      </c>
      <c r="I40" s="589">
        <v>0</v>
      </c>
      <c r="J40" s="589">
        <v>0</v>
      </c>
      <c r="K40" s="589">
        <v>0</v>
      </c>
      <c r="L40" s="589">
        <v>0</v>
      </c>
      <c r="M40" s="589">
        <v>0</v>
      </c>
      <c r="N40" s="589">
        <v>0</v>
      </c>
      <c r="O40" s="589">
        <v>1</v>
      </c>
      <c r="P40" s="589">
        <v>0</v>
      </c>
      <c r="Q40" s="589">
        <v>0</v>
      </c>
      <c r="R40" s="589">
        <v>0</v>
      </c>
      <c r="S40" s="589">
        <v>0</v>
      </c>
      <c r="T40" s="589">
        <v>0</v>
      </c>
      <c r="U40" s="565">
        <f t="shared" si="0"/>
        <v>1</v>
      </c>
    </row>
    <row r="41" spans="1:22" outlineLevel="1" x14ac:dyDescent="0.2">
      <c r="A41" s="171"/>
      <c r="D41" s="559">
        <v>8.75</v>
      </c>
      <c r="E41" s="589">
        <v>0</v>
      </c>
      <c r="F41" s="589">
        <v>0</v>
      </c>
      <c r="G41" s="589">
        <v>0</v>
      </c>
      <c r="H41" s="589">
        <v>0</v>
      </c>
      <c r="I41" s="589">
        <v>0</v>
      </c>
      <c r="J41" s="589">
        <v>0</v>
      </c>
      <c r="K41" s="589">
        <v>0</v>
      </c>
      <c r="L41" s="589">
        <v>0</v>
      </c>
      <c r="M41" s="589">
        <v>0</v>
      </c>
      <c r="N41" s="589">
        <v>0</v>
      </c>
      <c r="O41" s="589">
        <v>2</v>
      </c>
      <c r="P41" s="589">
        <v>0</v>
      </c>
      <c r="Q41" s="589">
        <v>0</v>
      </c>
      <c r="R41" s="589">
        <v>0</v>
      </c>
      <c r="S41" s="589">
        <v>0</v>
      </c>
      <c r="T41" s="589">
        <v>0</v>
      </c>
      <c r="U41" s="565">
        <f t="shared" si="0"/>
        <v>2</v>
      </c>
    </row>
    <row r="42" spans="1:22" outlineLevel="1" x14ac:dyDescent="0.2">
      <c r="A42" s="171"/>
      <c r="D42" s="559">
        <v>9.25</v>
      </c>
      <c r="E42" s="589">
        <v>0</v>
      </c>
      <c r="F42" s="589">
        <v>0</v>
      </c>
      <c r="G42" s="589">
        <v>0</v>
      </c>
      <c r="H42" s="589">
        <v>0</v>
      </c>
      <c r="I42" s="589">
        <v>0</v>
      </c>
      <c r="J42" s="589">
        <v>0</v>
      </c>
      <c r="K42" s="589">
        <v>0</v>
      </c>
      <c r="L42" s="589">
        <v>0</v>
      </c>
      <c r="M42" s="589">
        <v>0</v>
      </c>
      <c r="N42" s="589">
        <v>0</v>
      </c>
      <c r="O42" s="589">
        <v>0</v>
      </c>
      <c r="P42" s="589">
        <v>0</v>
      </c>
      <c r="Q42" s="589">
        <v>0</v>
      </c>
      <c r="R42" s="589">
        <v>0</v>
      </c>
      <c r="S42" s="589">
        <v>0</v>
      </c>
      <c r="T42" s="589">
        <v>0</v>
      </c>
      <c r="U42" s="565">
        <f t="shared" si="0"/>
        <v>0</v>
      </c>
    </row>
    <row r="43" spans="1:22" outlineLevel="1" x14ac:dyDescent="0.2">
      <c r="A43" s="171"/>
      <c r="D43" s="559">
        <v>9.75</v>
      </c>
      <c r="E43" s="589">
        <v>0</v>
      </c>
      <c r="F43" s="589">
        <v>0</v>
      </c>
      <c r="G43" s="589">
        <v>0</v>
      </c>
      <c r="H43" s="589">
        <v>0</v>
      </c>
      <c r="I43" s="589">
        <v>0</v>
      </c>
      <c r="J43" s="589">
        <v>0</v>
      </c>
      <c r="K43" s="589">
        <v>0</v>
      </c>
      <c r="L43" s="589">
        <v>0</v>
      </c>
      <c r="M43" s="589">
        <v>0</v>
      </c>
      <c r="N43" s="589">
        <v>0</v>
      </c>
      <c r="O43" s="589">
        <v>0</v>
      </c>
      <c r="P43" s="589">
        <v>0</v>
      </c>
      <c r="Q43" s="589">
        <v>0</v>
      </c>
      <c r="R43" s="589">
        <v>0</v>
      </c>
      <c r="S43" s="589">
        <v>0</v>
      </c>
      <c r="T43" s="589">
        <v>0</v>
      </c>
      <c r="U43" s="565">
        <f t="shared" si="0"/>
        <v>0</v>
      </c>
    </row>
    <row r="44" spans="1:22" s="561" customFormat="1" outlineLevel="1" x14ac:dyDescent="0.2">
      <c r="D44" s="559"/>
      <c r="E44" s="566">
        <f>SUM(E24:E43)</f>
        <v>2</v>
      </c>
      <c r="F44" s="566">
        <f t="shared" ref="F44:T44" si="1">SUM(F24:F43)</f>
        <v>279</v>
      </c>
      <c r="G44" s="566">
        <f t="shared" si="1"/>
        <v>1612</v>
      </c>
      <c r="H44" s="566">
        <f t="shared" si="1"/>
        <v>2069</v>
      </c>
      <c r="I44" s="566">
        <f t="shared" si="1"/>
        <v>1936</v>
      </c>
      <c r="J44" s="566">
        <f t="shared" si="1"/>
        <v>2182</v>
      </c>
      <c r="K44" s="566">
        <f t="shared" si="1"/>
        <v>1998</v>
      </c>
      <c r="L44" s="566">
        <f t="shared" si="1"/>
        <v>1244</v>
      </c>
      <c r="M44" s="566">
        <f t="shared" si="1"/>
        <v>725</v>
      </c>
      <c r="N44" s="566">
        <f t="shared" si="1"/>
        <v>315</v>
      </c>
      <c r="O44" s="566">
        <f t="shared" si="1"/>
        <v>124</v>
      </c>
      <c r="P44" s="566">
        <f t="shared" si="1"/>
        <v>49</v>
      </c>
      <c r="Q44" s="566">
        <f t="shared" si="1"/>
        <v>10</v>
      </c>
      <c r="R44" s="566">
        <f t="shared" si="1"/>
        <v>2</v>
      </c>
      <c r="S44" s="566">
        <f t="shared" si="1"/>
        <v>0</v>
      </c>
      <c r="T44" s="566">
        <f t="shared" si="1"/>
        <v>0</v>
      </c>
    </row>
    <row r="45" spans="1:22" s="572" customFormat="1" outlineLevel="1" x14ac:dyDescent="0.2">
      <c r="D45" s="559"/>
      <c r="E45" s="586"/>
      <c r="F45" s="586"/>
      <c r="G45" s="586"/>
      <c r="H45" s="586"/>
      <c r="I45" s="586"/>
      <c r="J45" s="586"/>
      <c r="K45" s="586"/>
      <c r="L45" s="586"/>
      <c r="M45" s="586"/>
      <c r="N45" s="586"/>
      <c r="O45" s="586"/>
      <c r="P45" s="586"/>
      <c r="Q45" s="586"/>
      <c r="R45" s="586"/>
      <c r="S45" s="586"/>
      <c r="T45" s="586"/>
    </row>
    <row r="46" spans="1:22" s="572" customFormat="1" outlineLevel="1" x14ac:dyDescent="0.2">
      <c r="A46" s="575" t="s">
        <v>292</v>
      </c>
    </row>
    <row r="47" spans="1:22" s="572" customFormat="1" outlineLevel="1" x14ac:dyDescent="0.2">
      <c r="A47" s="575"/>
      <c r="E47" s="572" t="s">
        <v>291</v>
      </c>
    </row>
    <row r="48" spans="1:22" s="572" customFormat="1" outlineLevel="1" x14ac:dyDescent="0.2">
      <c r="D48" s="587"/>
      <c r="E48" s="588">
        <v>4.5</v>
      </c>
      <c r="F48" s="588">
        <v>5.5</v>
      </c>
      <c r="G48" s="588">
        <v>6.5</v>
      </c>
      <c r="H48" s="588">
        <v>7.5</v>
      </c>
      <c r="I48" s="588">
        <v>8.5</v>
      </c>
      <c r="J48" s="588">
        <v>9.5</v>
      </c>
      <c r="K48" s="588">
        <v>10.5</v>
      </c>
      <c r="L48" s="588">
        <v>11.5</v>
      </c>
      <c r="M48" s="588">
        <v>12.5</v>
      </c>
      <c r="N48" s="588">
        <v>13.5</v>
      </c>
      <c r="O48" s="588">
        <v>14.5</v>
      </c>
      <c r="P48" s="588">
        <v>15.5</v>
      </c>
      <c r="Q48" s="588">
        <v>16.5</v>
      </c>
      <c r="R48" s="588">
        <v>17.5</v>
      </c>
      <c r="S48" s="588">
        <v>18.5</v>
      </c>
      <c r="T48" s="588">
        <v>19.5</v>
      </c>
    </row>
    <row r="49" spans="3:21" s="572" customFormat="1" outlineLevel="1" x14ac:dyDescent="0.2">
      <c r="C49" s="572" t="s">
        <v>290</v>
      </c>
      <c r="D49" s="559">
        <v>0.25</v>
      </c>
      <c r="E49" s="555">
        <f>IF(E24&gt;0,0.49*E$23*$D24^2,0)</f>
        <v>0</v>
      </c>
      <c r="F49" s="555">
        <f t="shared" ref="F49:T49" si="2">IF(F24&gt;0,0.49*F$23*$D24^2,0)</f>
        <v>0</v>
      </c>
      <c r="G49" s="555">
        <f t="shared" si="2"/>
        <v>0</v>
      </c>
      <c r="H49" s="555">
        <f t="shared" si="2"/>
        <v>0</v>
      </c>
      <c r="I49" s="555">
        <f t="shared" si="2"/>
        <v>0</v>
      </c>
      <c r="J49" s="555">
        <f t="shared" si="2"/>
        <v>0</v>
      </c>
      <c r="K49" s="555">
        <f t="shared" si="2"/>
        <v>0</v>
      </c>
      <c r="L49" s="555">
        <f t="shared" si="2"/>
        <v>0</v>
      </c>
      <c r="M49" s="555">
        <f t="shared" si="2"/>
        <v>0</v>
      </c>
      <c r="N49" s="555">
        <f t="shared" si="2"/>
        <v>0</v>
      </c>
      <c r="O49" s="555">
        <f t="shared" si="2"/>
        <v>0</v>
      </c>
      <c r="P49" s="555">
        <f t="shared" si="2"/>
        <v>0</v>
      </c>
      <c r="Q49" s="555">
        <f t="shared" si="2"/>
        <v>0</v>
      </c>
      <c r="R49" s="555">
        <f t="shared" si="2"/>
        <v>0</v>
      </c>
      <c r="S49" s="555">
        <f t="shared" si="2"/>
        <v>0</v>
      </c>
      <c r="T49" s="555">
        <f t="shared" si="2"/>
        <v>0</v>
      </c>
      <c r="U49" s="540">
        <f>SUM(E49:T49)</f>
        <v>0</v>
      </c>
    </row>
    <row r="50" spans="3:21" s="572" customFormat="1" outlineLevel="1" x14ac:dyDescent="0.2">
      <c r="D50" s="559">
        <v>0.75</v>
      </c>
      <c r="E50" s="555">
        <f t="shared" ref="E50:T68" si="3">IF(E25&gt;0,0.49*E$23*$D25^2,0)</f>
        <v>0</v>
      </c>
      <c r="F50" s="555">
        <f t="shared" si="3"/>
        <v>1.5159374999999999</v>
      </c>
      <c r="G50" s="555">
        <f t="shared" si="3"/>
        <v>1.7915624999999999</v>
      </c>
      <c r="H50" s="555">
        <f t="shared" si="3"/>
        <v>2.0671874999999997</v>
      </c>
      <c r="I50" s="555">
        <f t="shared" si="3"/>
        <v>2.3428125</v>
      </c>
      <c r="J50" s="555">
        <f t="shared" si="3"/>
        <v>2.6184375000000002</v>
      </c>
      <c r="K50" s="555">
        <f t="shared" si="3"/>
        <v>2.8940624999999995</v>
      </c>
      <c r="L50" s="555">
        <f t="shared" si="3"/>
        <v>3.1696874999999998</v>
      </c>
      <c r="M50" s="555">
        <f t="shared" si="3"/>
        <v>0</v>
      </c>
      <c r="N50" s="555">
        <f t="shared" si="3"/>
        <v>3.7209375000000002</v>
      </c>
      <c r="O50" s="555">
        <f t="shared" si="3"/>
        <v>0</v>
      </c>
      <c r="P50" s="555">
        <f t="shared" si="3"/>
        <v>4.2721875000000002</v>
      </c>
      <c r="Q50" s="555">
        <f t="shared" si="3"/>
        <v>0</v>
      </c>
      <c r="R50" s="555">
        <f t="shared" si="3"/>
        <v>0</v>
      </c>
      <c r="S50" s="555">
        <f t="shared" si="3"/>
        <v>0</v>
      </c>
      <c r="T50" s="555">
        <f t="shared" si="3"/>
        <v>0</v>
      </c>
      <c r="U50" s="540">
        <f t="shared" ref="U50:U68" si="4">SUM(E50:T50)</f>
        <v>24.392812500000002</v>
      </c>
    </row>
    <row r="51" spans="3:21" s="572" customFormat="1" outlineLevel="1" x14ac:dyDescent="0.2">
      <c r="D51" s="559">
        <v>1.25</v>
      </c>
      <c r="E51" s="555">
        <f t="shared" si="3"/>
        <v>3.4453125</v>
      </c>
      <c r="F51" s="555">
        <f t="shared" si="3"/>
        <v>4.2109375</v>
      </c>
      <c r="G51" s="555">
        <f t="shared" si="3"/>
        <v>4.9765625</v>
      </c>
      <c r="H51" s="555">
        <f t="shared" si="3"/>
        <v>5.7421875</v>
      </c>
      <c r="I51" s="555">
        <f t="shared" si="3"/>
        <v>6.5078125</v>
      </c>
      <c r="J51" s="555">
        <f t="shared" si="3"/>
        <v>7.2734375</v>
      </c>
      <c r="K51" s="555">
        <f t="shared" si="3"/>
        <v>8.0390625</v>
      </c>
      <c r="L51" s="555">
        <f t="shared" si="3"/>
        <v>8.8046875</v>
      </c>
      <c r="M51" s="555">
        <f t="shared" si="3"/>
        <v>9.5703125</v>
      </c>
      <c r="N51" s="555">
        <f t="shared" si="3"/>
        <v>0</v>
      </c>
      <c r="O51" s="555">
        <f t="shared" si="3"/>
        <v>0</v>
      </c>
      <c r="P51" s="555">
        <f t="shared" si="3"/>
        <v>0</v>
      </c>
      <c r="Q51" s="555">
        <f t="shared" si="3"/>
        <v>12.632812499999998</v>
      </c>
      <c r="R51" s="555">
        <f t="shared" si="3"/>
        <v>13.398437499999998</v>
      </c>
      <c r="S51" s="555">
        <f t="shared" si="3"/>
        <v>0</v>
      </c>
      <c r="T51" s="555">
        <f t="shared" si="3"/>
        <v>0</v>
      </c>
      <c r="U51" s="540">
        <f t="shared" si="4"/>
        <v>84.6015625</v>
      </c>
    </row>
    <row r="52" spans="3:21" s="572" customFormat="1" outlineLevel="1" x14ac:dyDescent="0.2">
      <c r="D52" s="559">
        <v>1.75</v>
      </c>
      <c r="E52" s="555">
        <f t="shared" si="3"/>
        <v>0</v>
      </c>
      <c r="F52" s="555">
        <f t="shared" si="3"/>
        <v>8.2534374999999986</v>
      </c>
      <c r="G52" s="555">
        <f t="shared" si="3"/>
        <v>9.7540624999999999</v>
      </c>
      <c r="H52" s="555">
        <f t="shared" si="3"/>
        <v>11.254687499999999</v>
      </c>
      <c r="I52" s="555">
        <f t="shared" si="3"/>
        <v>12.7553125</v>
      </c>
      <c r="J52" s="555">
        <f t="shared" si="3"/>
        <v>14.2559375</v>
      </c>
      <c r="K52" s="555">
        <f t="shared" si="3"/>
        <v>15.756562499999999</v>
      </c>
      <c r="L52" s="555">
        <f t="shared" si="3"/>
        <v>17.257187500000001</v>
      </c>
      <c r="M52" s="555">
        <f t="shared" si="3"/>
        <v>18.7578125</v>
      </c>
      <c r="N52" s="555">
        <f t="shared" si="3"/>
        <v>20.258437499999999</v>
      </c>
      <c r="O52" s="555">
        <f t="shared" si="3"/>
        <v>0</v>
      </c>
      <c r="P52" s="555">
        <f t="shared" si="3"/>
        <v>0</v>
      </c>
      <c r="Q52" s="555">
        <f t="shared" si="3"/>
        <v>0</v>
      </c>
      <c r="R52" s="555">
        <f t="shared" si="3"/>
        <v>26.260937499999997</v>
      </c>
      <c r="S52" s="555">
        <f t="shared" si="3"/>
        <v>0</v>
      </c>
      <c r="T52" s="555">
        <f t="shared" si="3"/>
        <v>0</v>
      </c>
      <c r="U52" s="540">
        <f t="shared" si="4"/>
        <v>154.56437499999998</v>
      </c>
    </row>
    <row r="53" spans="3:21" s="572" customFormat="1" outlineLevel="1" x14ac:dyDescent="0.2">
      <c r="D53" s="559">
        <v>2.25</v>
      </c>
      <c r="E53" s="555">
        <f t="shared" si="3"/>
        <v>0</v>
      </c>
      <c r="F53" s="555">
        <f t="shared" si="3"/>
        <v>13.643437499999999</v>
      </c>
      <c r="G53" s="555">
        <f t="shared" si="3"/>
        <v>16.124062500000001</v>
      </c>
      <c r="H53" s="555">
        <f t="shared" si="3"/>
        <v>18.604687500000001</v>
      </c>
      <c r="I53" s="555">
        <f t="shared" si="3"/>
        <v>21.085312500000001</v>
      </c>
      <c r="J53" s="555">
        <f t="shared" si="3"/>
        <v>23.5659375</v>
      </c>
      <c r="K53" s="555">
        <f t="shared" si="3"/>
        <v>26.046562499999997</v>
      </c>
      <c r="L53" s="555">
        <f t="shared" si="3"/>
        <v>28.5271875</v>
      </c>
      <c r="M53" s="555">
        <f t="shared" si="3"/>
        <v>31.0078125</v>
      </c>
      <c r="N53" s="555">
        <f t="shared" si="3"/>
        <v>33.488437500000003</v>
      </c>
      <c r="O53" s="555">
        <f t="shared" si="3"/>
        <v>35.9690625</v>
      </c>
      <c r="P53" s="555">
        <f t="shared" si="3"/>
        <v>38.449687499999996</v>
      </c>
      <c r="Q53" s="555">
        <f t="shared" si="3"/>
        <v>40.930312499999992</v>
      </c>
      <c r="R53" s="555">
        <f t="shared" si="3"/>
        <v>0</v>
      </c>
      <c r="S53" s="555">
        <f t="shared" si="3"/>
        <v>0</v>
      </c>
      <c r="T53" s="555">
        <f t="shared" si="3"/>
        <v>0</v>
      </c>
      <c r="U53" s="540">
        <f t="shared" si="4"/>
        <v>327.4425</v>
      </c>
    </row>
    <row r="54" spans="3:21" s="572" customFormat="1" outlineLevel="1" x14ac:dyDescent="0.2">
      <c r="D54" s="559">
        <v>2.75</v>
      </c>
      <c r="E54" s="555">
        <f t="shared" si="3"/>
        <v>0</v>
      </c>
      <c r="F54" s="555">
        <f t="shared" si="3"/>
        <v>20.380937499999998</v>
      </c>
      <c r="G54" s="555">
        <f t="shared" si="3"/>
        <v>24.086562499999999</v>
      </c>
      <c r="H54" s="555">
        <f t="shared" si="3"/>
        <v>27.792187499999997</v>
      </c>
      <c r="I54" s="555">
        <f t="shared" si="3"/>
        <v>31.497812500000002</v>
      </c>
      <c r="J54" s="555">
        <f t="shared" si="3"/>
        <v>35.2034375</v>
      </c>
      <c r="K54" s="555">
        <f t="shared" si="3"/>
        <v>38.909062499999997</v>
      </c>
      <c r="L54" s="555">
        <f t="shared" si="3"/>
        <v>42.614687499999995</v>
      </c>
      <c r="M54" s="555">
        <f t="shared" si="3"/>
        <v>46.3203125</v>
      </c>
      <c r="N54" s="555">
        <f t="shared" si="3"/>
        <v>50.025937500000005</v>
      </c>
      <c r="O54" s="555">
        <f t="shared" si="3"/>
        <v>53.731562499999995</v>
      </c>
      <c r="P54" s="555">
        <f t="shared" si="3"/>
        <v>57.4371875</v>
      </c>
      <c r="Q54" s="555">
        <f t="shared" si="3"/>
        <v>0</v>
      </c>
      <c r="R54" s="555">
        <f t="shared" si="3"/>
        <v>0</v>
      </c>
      <c r="S54" s="555">
        <f t="shared" si="3"/>
        <v>0</v>
      </c>
      <c r="T54" s="555">
        <f t="shared" si="3"/>
        <v>0</v>
      </c>
      <c r="U54" s="540">
        <f t="shared" si="4"/>
        <v>427.99968749999999</v>
      </c>
    </row>
    <row r="55" spans="3:21" s="572" customFormat="1" outlineLevel="1" x14ac:dyDescent="0.2">
      <c r="D55" s="559">
        <v>3.25</v>
      </c>
      <c r="E55" s="555">
        <f t="shared" si="3"/>
        <v>0</v>
      </c>
      <c r="F55" s="555">
        <f t="shared" si="3"/>
        <v>0</v>
      </c>
      <c r="G55" s="555">
        <f t="shared" si="3"/>
        <v>33.641562499999999</v>
      </c>
      <c r="H55" s="555">
        <f t="shared" si="3"/>
        <v>38.817187499999996</v>
      </c>
      <c r="I55" s="555">
        <f t="shared" si="3"/>
        <v>43.992812499999999</v>
      </c>
      <c r="J55" s="555">
        <f t="shared" si="3"/>
        <v>49.168437500000003</v>
      </c>
      <c r="K55" s="555">
        <f t="shared" si="3"/>
        <v>54.344062499999993</v>
      </c>
      <c r="L55" s="555">
        <f t="shared" si="3"/>
        <v>59.519687499999996</v>
      </c>
      <c r="M55" s="555">
        <f t="shared" si="3"/>
        <v>64.6953125</v>
      </c>
      <c r="N55" s="555">
        <f t="shared" si="3"/>
        <v>69.870937499999997</v>
      </c>
      <c r="O55" s="555">
        <f t="shared" si="3"/>
        <v>75.046562499999993</v>
      </c>
      <c r="P55" s="555">
        <f t="shared" si="3"/>
        <v>80.222187500000004</v>
      </c>
      <c r="Q55" s="555">
        <f t="shared" si="3"/>
        <v>0</v>
      </c>
      <c r="R55" s="555">
        <f t="shared" si="3"/>
        <v>0</v>
      </c>
      <c r="S55" s="555">
        <f t="shared" si="3"/>
        <v>0</v>
      </c>
      <c r="T55" s="555">
        <f t="shared" si="3"/>
        <v>0</v>
      </c>
      <c r="U55" s="540">
        <f t="shared" si="4"/>
        <v>569.31874999999991</v>
      </c>
    </row>
    <row r="56" spans="3:21" s="572" customFormat="1" outlineLevel="1" x14ac:dyDescent="0.2">
      <c r="D56" s="559">
        <v>3.75</v>
      </c>
      <c r="E56" s="555">
        <f t="shared" si="3"/>
        <v>0</v>
      </c>
      <c r="F56" s="555">
        <f t="shared" si="3"/>
        <v>0</v>
      </c>
      <c r="G56" s="555">
        <f t="shared" si="3"/>
        <v>44.7890625</v>
      </c>
      <c r="H56" s="555">
        <f t="shared" si="3"/>
        <v>51.6796875</v>
      </c>
      <c r="I56" s="555">
        <f t="shared" si="3"/>
        <v>58.5703125</v>
      </c>
      <c r="J56" s="555">
        <f t="shared" si="3"/>
        <v>65.4609375</v>
      </c>
      <c r="K56" s="555">
        <f t="shared" si="3"/>
        <v>72.3515625</v>
      </c>
      <c r="L56" s="555">
        <f t="shared" si="3"/>
        <v>79.2421875</v>
      </c>
      <c r="M56" s="555">
        <f t="shared" si="3"/>
        <v>86.1328125</v>
      </c>
      <c r="N56" s="555">
        <f t="shared" si="3"/>
        <v>93.0234375</v>
      </c>
      <c r="O56" s="555">
        <f t="shared" si="3"/>
        <v>99.9140625</v>
      </c>
      <c r="P56" s="555">
        <f t="shared" si="3"/>
        <v>106.8046875</v>
      </c>
      <c r="Q56" s="555">
        <f t="shared" si="3"/>
        <v>0</v>
      </c>
      <c r="R56" s="555">
        <f t="shared" si="3"/>
        <v>0</v>
      </c>
      <c r="S56" s="555">
        <f t="shared" si="3"/>
        <v>0</v>
      </c>
      <c r="T56" s="555">
        <f t="shared" si="3"/>
        <v>0</v>
      </c>
      <c r="U56" s="540">
        <f t="shared" si="4"/>
        <v>757.96875</v>
      </c>
    </row>
    <row r="57" spans="3:21" s="572" customFormat="1" outlineLevel="1" x14ac:dyDescent="0.2">
      <c r="D57" s="559">
        <v>4.25</v>
      </c>
      <c r="E57" s="555">
        <f t="shared" si="3"/>
        <v>0</v>
      </c>
      <c r="F57" s="555">
        <f t="shared" si="3"/>
        <v>0</v>
      </c>
      <c r="G57" s="555">
        <f t="shared" si="3"/>
        <v>0</v>
      </c>
      <c r="H57" s="555">
        <f t="shared" si="3"/>
        <v>66.379687500000003</v>
      </c>
      <c r="I57" s="555">
        <f t="shared" si="3"/>
        <v>75.230312499999997</v>
      </c>
      <c r="J57" s="555">
        <f t="shared" si="3"/>
        <v>84.080937500000005</v>
      </c>
      <c r="K57" s="555">
        <f t="shared" si="3"/>
        <v>92.931562499999998</v>
      </c>
      <c r="L57" s="555">
        <f t="shared" si="3"/>
        <v>101.78218749999999</v>
      </c>
      <c r="M57" s="555">
        <f t="shared" si="3"/>
        <v>110.6328125</v>
      </c>
      <c r="N57" s="555">
        <f t="shared" si="3"/>
        <v>119.48343750000001</v>
      </c>
      <c r="O57" s="555">
        <f t="shared" si="3"/>
        <v>128.33406249999999</v>
      </c>
      <c r="P57" s="555">
        <f t="shared" si="3"/>
        <v>137.1846875</v>
      </c>
      <c r="Q57" s="555">
        <f t="shared" si="3"/>
        <v>146.03531249999997</v>
      </c>
      <c r="R57" s="555">
        <f t="shared" si="3"/>
        <v>0</v>
      </c>
      <c r="S57" s="555">
        <f t="shared" si="3"/>
        <v>0</v>
      </c>
      <c r="T57" s="555">
        <f t="shared" si="3"/>
        <v>0</v>
      </c>
      <c r="U57" s="540">
        <f t="shared" si="4"/>
        <v>1062.075</v>
      </c>
    </row>
    <row r="58" spans="3:21" s="572" customFormat="1" outlineLevel="1" x14ac:dyDescent="0.2">
      <c r="D58" s="559">
        <v>4.75</v>
      </c>
      <c r="E58" s="555">
        <f t="shared" si="3"/>
        <v>0</v>
      </c>
      <c r="F58" s="555">
        <f t="shared" si="3"/>
        <v>0</v>
      </c>
      <c r="G58" s="555">
        <f t="shared" si="3"/>
        <v>0</v>
      </c>
      <c r="H58" s="555">
        <f t="shared" si="3"/>
        <v>0</v>
      </c>
      <c r="I58" s="555">
        <f t="shared" si="3"/>
        <v>93.972812500000003</v>
      </c>
      <c r="J58" s="555">
        <f t="shared" si="3"/>
        <v>105.02843750000001</v>
      </c>
      <c r="K58" s="555">
        <f t="shared" si="3"/>
        <v>116.08406249999999</v>
      </c>
      <c r="L58" s="555">
        <f t="shared" si="3"/>
        <v>127.13968749999999</v>
      </c>
      <c r="M58" s="555">
        <f t="shared" si="3"/>
        <v>138.1953125</v>
      </c>
      <c r="N58" s="555">
        <f t="shared" si="3"/>
        <v>149.25093749999999</v>
      </c>
      <c r="O58" s="555">
        <f t="shared" si="3"/>
        <v>160.30656249999998</v>
      </c>
      <c r="P58" s="555">
        <f t="shared" si="3"/>
        <v>171.3621875</v>
      </c>
      <c r="Q58" s="555">
        <f t="shared" si="3"/>
        <v>182.41781249999997</v>
      </c>
      <c r="R58" s="555">
        <f t="shared" si="3"/>
        <v>0</v>
      </c>
      <c r="S58" s="555">
        <f t="shared" si="3"/>
        <v>0</v>
      </c>
      <c r="T58" s="555">
        <f t="shared" si="3"/>
        <v>0</v>
      </c>
      <c r="U58" s="540">
        <f t="shared" si="4"/>
        <v>1243.7578124999995</v>
      </c>
    </row>
    <row r="59" spans="3:21" s="572" customFormat="1" outlineLevel="1" x14ac:dyDescent="0.2">
      <c r="D59" s="559">
        <v>5.25</v>
      </c>
      <c r="E59" s="555">
        <f t="shared" si="3"/>
        <v>0</v>
      </c>
      <c r="F59" s="555">
        <f t="shared" si="3"/>
        <v>0</v>
      </c>
      <c r="G59" s="555">
        <f t="shared" si="3"/>
        <v>0</v>
      </c>
      <c r="H59" s="555">
        <f t="shared" si="3"/>
        <v>0</v>
      </c>
      <c r="I59" s="555">
        <f t="shared" si="3"/>
        <v>0</v>
      </c>
      <c r="J59" s="555">
        <f t="shared" si="3"/>
        <v>128.3034375</v>
      </c>
      <c r="K59" s="555">
        <f t="shared" si="3"/>
        <v>141.80906249999998</v>
      </c>
      <c r="L59" s="555">
        <f t="shared" si="3"/>
        <v>155.31468749999999</v>
      </c>
      <c r="M59" s="555">
        <f t="shared" si="3"/>
        <v>168.8203125</v>
      </c>
      <c r="N59" s="555">
        <f t="shared" si="3"/>
        <v>182.32593750000001</v>
      </c>
      <c r="O59" s="555">
        <f t="shared" si="3"/>
        <v>195.83156249999999</v>
      </c>
      <c r="P59" s="555">
        <f t="shared" si="3"/>
        <v>209.3371875</v>
      </c>
      <c r="Q59" s="555">
        <f t="shared" si="3"/>
        <v>222.84281249999998</v>
      </c>
      <c r="R59" s="555">
        <f t="shared" si="3"/>
        <v>0</v>
      </c>
      <c r="S59" s="555">
        <f t="shared" si="3"/>
        <v>0</v>
      </c>
      <c r="T59" s="555">
        <f t="shared" si="3"/>
        <v>0</v>
      </c>
      <c r="U59" s="540">
        <f t="shared" si="4"/>
        <v>1404.585</v>
      </c>
    </row>
    <row r="60" spans="3:21" s="572" customFormat="1" outlineLevel="1" x14ac:dyDescent="0.2">
      <c r="D60" s="559">
        <v>5.75</v>
      </c>
      <c r="E60" s="555">
        <f t="shared" si="3"/>
        <v>0</v>
      </c>
      <c r="F60" s="555">
        <f t="shared" si="3"/>
        <v>0</v>
      </c>
      <c r="G60" s="555">
        <f t="shared" si="3"/>
        <v>0</v>
      </c>
      <c r="H60" s="555">
        <f t="shared" si="3"/>
        <v>0</v>
      </c>
      <c r="I60" s="555">
        <f t="shared" si="3"/>
        <v>0</v>
      </c>
      <c r="J60" s="555">
        <f t="shared" si="3"/>
        <v>153.90593750000002</v>
      </c>
      <c r="K60" s="555">
        <f t="shared" si="3"/>
        <v>170.1065625</v>
      </c>
      <c r="L60" s="555">
        <f t="shared" si="3"/>
        <v>186.3071875</v>
      </c>
      <c r="M60" s="555">
        <f t="shared" si="3"/>
        <v>202.5078125</v>
      </c>
      <c r="N60" s="555">
        <f t="shared" si="3"/>
        <v>218.7084375</v>
      </c>
      <c r="O60" s="555">
        <f t="shared" si="3"/>
        <v>234.90906249999998</v>
      </c>
      <c r="P60" s="555">
        <f t="shared" si="3"/>
        <v>251.10968749999998</v>
      </c>
      <c r="Q60" s="555">
        <f t="shared" si="3"/>
        <v>267.31031249999995</v>
      </c>
      <c r="R60" s="555">
        <f t="shared" si="3"/>
        <v>0</v>
      </c>
      <c r="S60" s="555">
        <f t="shared" si="3"/>
        <v>0</v>
      </c>
      <c r="T60" s="555">
        <f t="shared" si="3"/>
        <v>0</v>
      </c>
      <c r="U60" s="540">
        <f t="shared" si="4"/>
        <v>1684.865</v>
      </c>
    </row>
    <row r="61" spans="3:21" s="572" customFormat="1" outlineLevel="1" x14ac:dyDescent="0.2">
      <c r="D61" s="559">
        <v>6.25</v>
      </c>
      <c r="E61" s="555">
        <f t="shared" si="3"/>
        <v>0</v>
      </c>
      <c r="F61" s="555">
        <f t="shared" si="3"/>
        <v>0</v>
      </c>
      <c r="G61" s="555">
        <f t="shared" si="3"/>
        <v>0</v>
      </c>
      <c r="H61" s="555">
        <f t="shared" si="3"/>
        <v>0</v>
      </c>
      <c r="I61" s="555">
        <f t="shared" si="3"/>
        <v>0</v>
      </c>
      <c r="J61" s="555">
        <f t="shared" si="3"/>
        <v>0</v>
      </c>
      <c r="K61" s="555">
        <f t="shared" si="3"/>
        <v>200.97656249999997</v>
      </c>
      <c r="L61" s="555">
        <f t="shared" si="3"/>
        <v>220.1171875</v>
      </c>
      <c r="M61" s="555">
        <f t="shared" si="3"/>
        <v>239.2578125</v>
      </c>
      <c r="N61" s="555">
        <f t="shared" si="3"/>
        <v>258.3984375</v>
      </c>
      <c r="O61" s="555">
        <f t="shared" si="3"/>
        <v>277.5390625</v>
      </c>
      <c r="P61" s="555">
        <f t="shared" si="3"/>
        <v>296.6796875</v>
      </c>
      <c r="Q61" s="555">
        <f t="shared" si="3"/>
        <v>0</v>
      </c>
      <c r="R61" s="555">
        <f t="shared" si="3"/>
        <v>0</v>
      </c>
      <c r="S61" s="555">
        <f t="shared" si="3"/>
        <v>0</v>
      </c>
      <c r="T61" s="555">
        <f t="shared" si="3"/>
        <v>0</v>
      </c>
      <c r="U61" s="540">
        <f t="shared" si="4"/>
        <v>1492.96875</v>
      </c>
    </row>
    <row r="62" spans="3:21" s="572" customFormat="1" outlineLevel="1" x14ac:dyDescent="0.2">
      <c r="D62" s="559">
        <v>6.75</v>
      </c>
      <c r="E62" s="555">
        <f t="shared" si="3"/>
        <v>0</v>
      </c>
      <c r="F62" s="555">
        <f t="shared" si="3"/>
        <v>0</v>
      </c>
      <c r="G62" s="555">
        <f t="shared" si="3"/>
        <v>0</v>
      </c>
      <c r="H62" s="555">
        <f t="shared" si="3"/>
        <v>0</v>
      </c>
      <c r="I62" s="555">
        <f t="shared" si="3"/>
        <v>0</v>
      </c>
      <c r="J62" s="555">
        <f t="shared" si="3"/>
        <v>0</v>
      </c>
      <c r="K62" s="555">
        <f t="shared" si="3"/>
        <v>0</v>
      </c>
      <c r="L62" s="555">
        <f t="shared" si="3"/>
        <v>0</v>
      </c>
      <c r="M62" s="555">
        <f t="shared" si="3"/>
        <v>279.0703125</v>
      </c>
      <c r="N62" s="555">
        <f t="shared" si="3"/>
        <v>301.3959375</v>
      </c>
      <c r="O62" s="555">
        <f t="shared" si="3"/>
        <v>323.7215625</v>
      </c>
      <c r="P62" s="555">
        <f t="shared" si="3"/>
        <v>346.04718750000001</v>
      </c>
      <c r="Q62" s="555">
        <f t="shared" si="3"/>
        <v>0</v>
      </c>
      <c r="R62" s="555">
        <f t="shared" si="3"/>
        <v>0</v>
      </c>
      <c r="S62" s="555">
        <f t="shared" si="3"/>
        <v>0</v>
      </c>
      <c r="T62" s="555">
        <f t="shared" si="3"/>
        <v>0</v>
      </c>
      <c r="U62" s="540">
        <f t="shared" si="4"/>
        <v>1250.2349999999999</v>
      </c>
    </row>
    <row r="63" spans="3:21" s="572" customFormat="1" outlineLevel="1" x14ac:dyDescent="0.2">
      <c r="D63" s="559">
        <v>7.25</v>
      </c>
      <c r="E63" s="555">
        <f t="shared" si="3"/>
        <v>0</v>
      </c>
      <c r="F63" s="555">
        <f t="shared" si="3"/>
        <v>0</v>
      </c>
      <c r="G63" s="555">
        <f t="shared" si="3"/>
        <v>0</v>
      </c>
      <c r="H63" s="555">
        <f t="shared" si="3"/>
        <v>0</v>
      </c>
      <c r="I63" s="555">
        <f t="shared" si="3"/>
        <v>0</v>
      </c>
      <c r="J63" s="555">
        <f t="shared" si="3"/>
        <v>0</v>
      </c>
      <c r="K63" s="555">
        <f t="shared" si="3"/>
        <v>0</v>
      </c>
      <c r="L63" s="555">
        <f t="shared" si="3"/>
        <v>296.18968749999999</v>
      </c>
      <c r="M63" s="555">
        <f t="shared" si="3"/>
        <v>321.9453125</v>
      </c>
      <c r="N63" s="555">
        <f t="shared" si="3"/>
        <v>347.70093750000001</v>
      </c>
      <c r="O63" s="555">
        <f t="shared" si="3"/>
        <v>373.45656249999996</v>
      </c>
      <c r="P63" s="555">
        <f t="shared" si="3"/>
        <v>399.21218749999997</v>
      </c>
      <c r="Q63" s="555">
        <f t="shared" si="3"/>
        <v>0</v>
      </c>
      <c r="R63" s="555">
        <f t="shared" si="3"/>
        <v>0</v>
      </c>
      <c r="S63" s="555">
        <f t="shared" si="3"/>
        <v>0</v>
      </c>
      <c r="T63" s="555">
        <f t="shared" si="3"/>
        <v>0</v>
      </c>
      <c r="U63" s="540">
        <f t="shared" si="4"/>
        <v>1738.5046875</v>
      </c>
    </row>
    <row r="64" spans="3:21" s="572" customFormat="1" outlineLevel="1" x14ac:dyDescent="0.2">
      <c r="D64" s="559">
        <v>7.75</v>
      </c>
      <c r="E64" s="555">
        <f t="shared" si="3"/>
        <v>0</v>
      </c>
      <c r="F64" s="555">
        <f t="shared" si="3"/>
        <v>0</v>
      </c>
      <c r="G64" s="555">
        <f t="shared" si="3"/>
        <v>0</v>
      </c>
      <c r="H64" s="555">
        <f t="shared" si="3"/>
        <v>0</v>
      </c>
      <c r="I64" s="555">
        <f t="shared" si="3"/>
        <v>0</v>
      </c>
      <c r="J64" s="555">
        <f t="shared" si="3"/>
        <v>0</v>
      </c>
      <c r="K64" s="555">
        <f t="shared" si="3"/>
        <v>0</v>
      </c>
      <c r="L64" s="555">
        <f t="shared" si="3"/>
        <v>0</v>
      </c>
      <c r="M64" s="555">
        <f t="shared" si="3"/>
        <v>0</v>
      </c>
      <c r="N64" s="555">
        <f t="shared" si="3"/>
        <v>397.31343750000002</v>
      </c>
      <c r="O64" s="555">
        <f t="shared" si="3"/>
        <v>426.74406249999998</v>
      </c>
      <c r="P64" s="555">
        <f t="shared" si="3"/>
        <v>0</v>
      </c>
      <c r="Q64" s="555">
        <f t="shared" si="3"/>
        <v>0</v>
      </c>
      <c r="R64" s="555">
        <f t="shared" si="3"/>
        <v>0</v>
      </c>
      <c r="S64" s="555">
        <f t="shared" si="3"/>
        <v>0</v>
      </c>
      <c r="T64" s="555">
        <f t="shared" si="3"/>
        <v>0</v>
      </c>
      <c r="U64" s="540">
        <f t="shared" si="4"/>
        <v>824.0575</v>
      </c>
    </row>
    <row r="65" spans="1:21" s="572" customFormat="1" outlineLevel="1" x14ac:dyDescent="0.2">
      <c r="D65" s="559">
        <v>8.25</v>
      </c>
      <c r="E65" s="555">
        <f t="shared" si="3"/>
        <v>0</v>
      </c>
      <c r="F65" s="555">
        <f t="shared" si="3"/>
        <v>0</v>
      </c>
      <c r="G65" s="555">
        <f t="shared" si="3"/>
        <v>0</v>
      </c>
      <c r="H65" s="555">
        <f t="shared" si="3"/>
        <v>0</v>
      </c>
      <c r="I65" s="555">
        <f t="shared" si="3"/>
        <v>0</v>
      </c>
      <c r="J65" s="555">
        <f t="shared" si="3"/>
        <v>0</v>
      </c>
      <c r="K65" s="555">
        <f t="shared" si="3"/>
        <v>0</v>
      </c>
      <c r="L65" s="555">
        <f t="shared" si="3"/>
        <v>0</v>
      </c>
      <c r="M65" s="555">
        <f t="shared" si="3"/>
        <v>0</v>
      </c>
      <c r="N65" s="555">
        <f t="shared" si="3"/>
        <v>0</v>
      </c>
      <c r="O65" s="555">
        <f t="shared" si="3"/>
        <v>483.58406249999996</v>
      </c>
      <c r="P65" s="555">
        <f t="shared" si="3"/>
        <v>0</v>
      </c>
      <c r="Q65" s="555">
        <f t="shared" ref="F65:T68" si="5">IF(Q40&gt;0,0.49*Q$23*$D40^2,0)</f>
        <v>0</v>
      </c>
      <c r="R65" s="555">
        <f t="shared" si="5"/>
        <v>0</v>
      </c>
      <c r="S65" s="555">
        <f t="shared" si="5"/>
        <v>0</v>
      </c>
      <c r="T65" s="555">
        <f t="shared" si="5"/>
        <v>0</v>
      </c>
      <c r="U65" s="540">
        <f t="shared" si="4"/>
        <v>483.58406249999996</v>
      </c>
    </row>
    <row r="66" spans="1:21" s="572" customFormat="1" outlineLevel="1" x14ac:dyDescent="0.2">
      <c r="D66" s="559">
        <v>8.75</v>
      </c>
      <c r="E66" s="555">
        <f t="shared" si="3"/>
        <v>0</v>
      </c>
      <c r="F66" s="555">
        <f t="shared" si="5"/>
        <v>0</v>
      </c>
      <c r="G66" s="555">
        <f t="shared" si="5"/>
        <v>0</v>
      </c>
      <c r="H66" s="555">
        <f t="shared" si="5"/>
        <v>0</v>
      </c>
      <c r="I66" s="555">
        <f t="shared" si="5"/>
        <v>0</v>
      </c>
      <c r="J66" s="555">
        <f t="shared" si="5"/>
        <v>0</v>
      </c>
      <c r="K66" s="555">
        <f t="shared" si="5"/>
        <v>0</v>
      </c>
      <c r="L66" s="555">
        <f t="shared" si="5"/>
        <v>0</v>
      </c>
      <c r="M66" s="555">
        <f t="shared" si="5"/>
        <v>0</v>
      </c>
      <c r="N66" s="555">
        <f t="shared" si="5"/>
        <v>0</v>
      </c>
      <c r="O66" s="555">
        <f t="shared" si="5"/>
        <v>543.9765625</v>
      </c>
      <c r="P66" s="555">
        <f t="shared" si="5"/>
        <v>0</v>
      </c>
      <c r="Q66" s="555">
        <f t="shared" si="5"/>
        <v>0</v>
      </c>
      <c r="R66" s="555">
        <f t="shared" si="5"/>
        <v>0</v>
      </c>
      <c r="S66" s="555">
        <f t="shared" si="5"/>
        <v>0</v>
      </c>
      <c r="T66" s="555">
        <f t="shared" si="5"/>
        <v>0</v>
      </c>
      <c r="U66" s="540">
        <f t="shared" si="4"/>
        <v>543.9765625</v>
      </c>
    </row>
    <row r="67" spans="1:21" s="572" customFormat="1" outlineLevel="1" x14ac:dyDescent="0.2">
      <c r="D67" s="559">
        <v>9.25</v>
      </c>
      <c r="E67" s="555">
        <f t="shared" si="3"/>
        <v>0</v>
      </c>
      <c r="F67" s="555">
        <f t="shared" si="5"/>
        <v>0</v>
      </c>
      <c r="G67" s="555">
        <f t="shared" si="5"/>
        <v>0</v>
      </c>
      <c r="H67" s="555">
        <f t="shared" si="5"/>
        <v>0</v>
      </c>
      <c r="I67" s="555">
        <f t="shared" si="5"/>
        <v>0</v>
      </c>
      <c r="J67" s="555">
        <f t="shared" si="5"/>
        <v>0</v>
      </c>
      <c r="K67" s="555">
        <f t="shared" si="5"/>
        <v>0</v>
      </c>
      <c r="L67" s="555">
        <f t="shared" si="5"/>
        <v>0</v>
      </c>
      <c r="M67" s="555">
        <f t="shared" si="5"/>
        <v>0</v>
      </c>
      <c r="N67" s="555">
        <f t="shared" si="5"/>
        <v>0</v>
      </c>
      <c r="O67" s="555">
        <f t="shared" si="5"/>
        <v>0</v>
      </c>
      <c r="P67" s="555">
        <f t="shared" si="5"/>
        <v>0</v>
      </c>
      <c r="Q67" s="555">
        <f t="shared" si="5"/>
        <v>0</v>
      </c>
      <c r="R67" s="555">
        <f t="shared" si="5"/>
        <v>0</v>
      </c>
      <c r="S67" s="555">
        <f t="shared" si="5"/>
        <v>0</v>
      </c>
      <c r="T67" s="555">
        <f t="shared" si="5"/>
        <v>0</v>
      </c>
      <c r="U67" s="540">
        <f t="shared" si="4"/>
        <v>0</v>
      </c>
    </row>
    <row r="68" spans="1:21" s="561" customFormat="1" outlineLevel="1" x14ac:dyDescent="0.2">
      <c r="A68" s="572"/>
      <c r="B68" s="572"/>
      <c r="C68" s="572"/>
      <c r="D68" s="559">
        <v>9.75</v>
      </c>
      <c r="E68" s="555">
        <f t="shared" si="3"/>
        <v>0</v>
      </c>
      <c r="F68" s="555">
        <f t="shared" si="5"/>
        <v>0</v>
      </c>
      <c r="G68" s="555">
        <f t="shared" si="5"/>
        <v>0</v>
      </c>
      <c r="H68" s="555">
        <f t="shared" si="5"/>
        <v>0</v>
      </c>
      <c r="I68" s="555">
        <f t="shared" si="5"/>
        <v>0</v>
      </c>
      <c r="J68" s="555">
        <f t="shared" si="5"/>
        <v>0</v>
      </c>
      <c r="K68" s="555">
        <f t="shared" si="5"/>
        <v>0</v>
      </c>
      <c r="L68" s="555">
        <f t="shared" si="5"/>
        <v>0</v>
      </c>
      <c r="M68" s="555">
        <f t="shared" si="5"/>
        <v>0</v>
      </c>
      <c r="N68" s="555">
        <f t="shared" si="5"/>
        <v>0</v>
      </c>
      <c r="O68" s="555">
        <f t="shared" si="5"/>
        <v>0</v>
      </c>
      <c r="P68" s="555">
        <f t="shared" si="5"/>
        <v>0</v>
      </c>
      <c r="Q68" s="555">
        <f t="shared" si="5"/>
        <v>0</v>
      </c>
      <c r="R68" s="555">
        <f t="shared" si="5"/>
        <v>0</v>
      </c>
      <c r="S68" s="555">
        <f t="shared" si="5"/>
        <v>0</v>
      </c>
      <c r="T68" s="555">
        <f t="shared" si="5"/>
        <v>0</v>
      </c>
      <c r="U68" s="540">
        <f t="shared" si="4"/>
        <v>0</v>
      </c>
    </row>
    <row r="69" spans="1:21" s="561" customFormat="1" outlineLevel="1" x14ac:dyDescent="0.2">
      <c r="E69" s="540">
        <f>SUM(E49:E68)</f>
        <v>3.4453125</v>
      </c>
      <c r="F69" s="540">
        <f t="shared" ref="F69:T69" si="6">SUM(F49:F68)</f>
        <v>48.004687499999996</v>
      </c>
      <c r="G69" s="540">
        <f t="shared" si="6"/>
        <v>135.16343749999999</v>
      </c>
      <c r="H69" s="540">
        <f t="shared" si="6"/>
        <v>222.33749999999998</v>
      </c>
      <c r="I69" s="540">
        <f t="shared" si="6"/>
        <v>345.95531249999999</v>
      </c>
      <c r="J69" s="540">
        <f t="shared" si="6"/>
        <v>668.86531250000007</v>
      </c>
      <c r="K69" s="540">
        <f t="shared" si="6"/>
        <v>940.24874999999997</v>
      </c>
      <c r="L69" s="540">
        <f t="shared" si="6"/>
        <v>1325.9859375000001</v>
      </c>
      <c r="M69" s="540">
        <f t="shared" si="6"/>
        <v>1716.9140625</v>
      </c>
      <c r="N69" s="540">
        <f t="shared" si="6"/>
        <v>2244.9656249999998</v>
      </c>
      <c r="O69" s="540">
        <f t="shared" si="6"/>
        <v>3413.0643749999999</v>
      </c>
      <c r="P69" s="540">
        <f t="shared" si="6"/>
        <v>2098.1187500000001</v>
      </c>
      <c r="Q69" s="540">
        <f t="shared" si="6"/>
        <v>872.16937499999995</v>
      </c>
      <c r="R69" s="540">
        <f t="shared" si="6"/>
        <v>39.659374999999997</v>
      </c>
      <c r="S69" s="540">
        <f t="shared" si="6"/>
        <v>0</v>
      </c>
      <c r="T69" s="540">
        <f t="shared" si="6"/>
        <v>0</v>
      </c>
    </row>
    <row r="70" spans="1:21" s="561" customFormat="1" outlineLevel="1" x14ac:dyDescent="0.2">
      <c r="A70" s="575" t="s">
        <v>288</v>
      </c>
    </row>
    <row r="71" spans="1:21" s="572" customFormat="1" outlineLevel="1" x14ac:dyDescent="0.2">
      <c r="A71" s="575"/>
      <c r="E71" s="572" t="s">
        <v>291</v>
      </c>
    </row>
    <row r="72" spans="1:21" s="561" customFormat="1" outlineLevel="1" x14ac:dyDescent="0.2">
      <c r="D72" s="567"/>
      <c r="E72" s="568">
        <v>4.5</v>
      </c>
      <c r="F72" s="568">
        <v>5.5</v>
      </c>
      <c r="G72" s="568">
        <v>6.5</v>
      </c>
      <c r="H72" s="568">
        <v>7.5</v>
      </c>
      <c r="I72" s="568">
        <v>8.5</v>
      </c>
      <c r="J72" s="568">
        <v>9.5</v>
      </c>
      <c r="K72" s="568">
        <v>10.5</v>
      </c>
      <c r="L72" s="568">
        <v>11.5</v>
      </c>
      <c r="M72" s="568">
        <v>12.5</v>
      </c>
      <c r="N72" s="568">
        <v>13.5</v>
      </c>
      <c r="O72" s="568">
        <v>14.5</v>
      </c>
      <c r="P72" s="568">
        <v>15.5</v>
      </c>
      <c r="Q72" s="568">
        <v>16.5</v>
      </c>
      <c r="R72" s="568">
        <v>17.5</v>
      </c>
      <c r="S72" s="568">
        <v>18.5</v>
      </c>
      <c r="T72" s="568">
        <v>19.5</v>
      </c>
    </row>
    <row r="73" spans="1:21" s="561" customFormat="1" outlineLevel="1" x14ac:dyDescent="0.2">
      <c r="C73" s="561" t="s">
        <v>290</v>
      </c>
      <c r="D73" s="559">
        <v>0.25</v>
      </c>
      <c r="E73" s="553">
        <v>0.45136794239086453</v>
      </c>
      <c r="F73" s="553">
        <v>0.74493178795503456</v>
      </c>
      <c r="G73" s="553">
        <v>1.0399242995588902</v>
      </c>
      <c r="H73" s="553">
        <v>1.2836977846045259</v>
      </c>
      <c r="I73" s="553">
        <v>1.395163023312358</v>
      </c>
      <c r="J73" s="553">
        <v>1.357572999714304</v>
      </c>
      <c r="K73" s="553">
        <v>1.2232166161494915</v>
      </c>
      <c r="L73" s="553">
        <v>1.0501940091651099</v>
      </c>
      <c r="M73" s="553">
        <v>0.87626985984930295</v>
      </c>
      <c r="N73" s="553">
        <v>0.72010758026590005</v>
      </c>
      <c r="O73" s="553">
        <v>0.58829414929090518</v>
      </c>
      <c r="P73" s="553">
        <v>0.48025576694439709</v>
      </c>
      <c r="Q73" s="553">
        <v>0.39325772089067096</v>
      </c>
      <c r="R73" s="553">
        <v>0.32357566227710172</v>
      </c>
      <c r="S73" s="553">
        <v>0.26776845237615565</v>
      </c>
      <c r="T73" s="553">
        <v>0.22294201257368948</v>
      </c>
    </row>
    <row r="74" spans="1:21" s="561" customFormat="1" outlineLevel="1" x14ac:dyDescent="0.2">
      <c r="D74" s="559">
        <v>0.75</v>
      </c>
      <c r="E74" s="553">
        <v>4.0559553916043258</v>
      </c>
      <c r="F74" s="553">
        <v>6.682582086915998</v>
      </c>
      <c r="G74" s="553">
        <v>9.2955045691470684</v>
      </c>
      <c r="H74" s="553">
        <v>11.396217420505916</v>
      </c>
      <c r="I74" s="553">
        <v>12.30448560841873</v>
      </c>
      <c r="J74" s="553">
        <v>11.930978920772821</v>
      </c>
      <c r="K74" s="553">
        <v>10.742680722556418</v>
      </c>
      <c r="L74" s="553">
        <v>9.2285137064097249</v>
      </c>
      <c r="M74" s="553">
        <v>7.7086927361470661</v>
      </c>
      <c r="N74" s="553">
        <v>6.3429538358316311</v>
      </c>
      <c r="O74" s="553">
        <v>5.1870021732473575</v>
      </c>
      <c r="P74" s="553">
        <v>4.2409391156426643</v>
      </c>
      <c r="Q74" s="553">
        <v>3.4769762776878945</v>
      </c>
      <c r="R74" s="553">
        <v>2.8636617283268988</v>
      </c>
      <c r="S74" s="553">
        <v>2.3729246400907682</v>
      </c>
      <c r="T74" s="553">
        <v>1.978451866168714</v>
      </c>
    </row>
    <row r="75" spans="1:21" s="561" customFormat="1" outlineLevel="1" x14ac:dyDescent="0.2">
      <c r="D75" s="559">
        <v>1.25</v>
      </c>
      <c r="E75" s="553">
        <v>11.23967239070876</v>
      </c>
      <c r="F75" s="553">
        <v>18.48730809441907</v>
      </c>
      <c r="G75" s="553">
        <v>25.623064604399985</v>
      </c>
      <c r="H75" s="553">
        <v>31.220748991802001</v>
      </c>
      <c r="I75" s="553">
        <v>33.510732556807596</v>
      </c>
      <c r="J75" s="553">
        <v>32.393614979410138</v>
      </c>
      <c r="K75" s="553">
        <v>29.143101510082104</v>
      </c>
      <c r="L75" s="553">
        <v>25.048614045265442</v>
      </c>
      <c r="M75" s="553">
        <v>20.94412482148477</v>
      </c>
      <c r="N75" s="553">
        <v>17.252531796064748</v>
      </c>
      <c r="O75" s="553">
        <v>14.123540988375272</v>
      </c>
      <c r="P75" s="553">
        <v>11.556627326725481</v>
      </c>
      <c r="Q75" s="553">
        <v>9.4850056144360781</v>
      </c>
      <c r="R75" s="553">
        <v>7.8233223212389955</v>
      </c>
      <c r="S75" s="553">
        <v>6.4879818106978595</v>
      </c>
      <c r="T75" s="553">
        <v>5.4154735197410657</v>
      </c>
    </row>
    <row r="76" spans="1:21" s="561" customFormat="1" outlineLevel="1" x14ac:dyDescent="0.2">
      <c r="D76" s="559">
        <v>1.75</v>
      </c>
      <c r="E76" s="553">
        <v>21.974582097122472</v>
      </c>
      <c r="F76" s="553">
        <v>36.084013947009758</v>
      </c>
      <c r="G76" s="553">
        <v>49.839844661830213</v>
      </c>
      <c r="H76" s="553">
        <v>60.373898109892359</v>
      </c>
      <c r="I76" s="553">
        <v>64.472180407091898</v>
      </c>
      <c r="J76" s="553">
        <v>62.149612211523468</v>
      </c>
      <c r="K76" s="553">
        <v>55.879372463038216</v>
      </c>
      <c r="L76" s="553">
        <v>48.045489519655987</v>
      </c>
      <c r="M76" s="553">
        <v>40.20924522708011</v>
      </c>
      <c r="N76" s="553">
        <v>33.154990249574368</v>
      </c>
      <c r="O76" s="553">
        <v>27.16820997632205</v>
      </c>
      <c r="P76" s="553">
        <v>22.251611520679905</v>
      </c>
      <c r="Q76" s="553">
        <v>18.275227552272781</v>
      </c>
      <c r="R76" s="553">
        <v>15.088546508489541</v>
      </c>
      <c r="S76" s="553">
        <v>12.530152641900528</v>
      </c>
      <c r="T76" s="553">
        <v>10.465999279947846</v>
      </c>
    </row>
    <row r="77" spans="1:21" s="561" customFormat="1" outlineLevel="1" x14ac:dyDescent="0.2">
      <c r="D77" s="559">
        <v>2.25</v>
      </c>
      <c r="E77" s="553">
        <v>36.233138921226242</v>
      </c>
      <c r="F77" s="553">
        <v>59.399202153734429</v>
      </c>
      <c r="G77" s="553">
        <v>81.765555013493525</v>
      </c>
      <c r="H77" s="553">
        <v>98.526916344942535</v>
      </c>
      <c r="I77" s="553">
        <v>104.72571112696509</v>
      </c>
      <c r="J77" s="553">
        <v>100.70488675151721</v>
      </c>
      <c r="K77" s="553">
        <v>90.478716070398093</v>
      </c>
      <c r="L77" s="553">
        <v>77.837008595591328</v>
      </c>
      <c r="M77" s="553">
        <v>65.196553739578874</v>
      </c>
      <c r="N77" s="553">
        <v>53.807747536950131</v>
      </c>
      <c r="O77" s="553">
        <v>44.119363833068881</v>
      </c>
      <c r="P77" s="553">
        <v>36.166823017562784</v>
      </c>
      <c r="Q77" s="553">
        <v>29.738362631890453</v>
      </c>
      <c r="R77" s="553">
        <v>24.568086689994661</v>
      </c>
      <c r="S77" s="553">
        <v>20.421112600826479</v>
      </c>
      <c r="T77" s="553">
        <v>17.072698097808264</v>
      </c>
    </row>
    <row r="78" spans="1:21" s="561" customFormat="1" outlineLevel="1" x14ac:dyDescent="0.2">
      <c r="D78" s="559">
        <v>2.75</v>
      </c>
      <c r="E78" s="553">
        <v>53.988380160524898</v>
      </c>
      <c r="F78" s="553">
        <v>88.361260409669967</v>
      </c>
      <c r="G78" s="553">
        <v>121.24153235896883</v>
      </c>
      <c r="H78" s="553">
        <v>145.37266413648888</v>
      </c>
      <c r="I78" s="553">
        <v>153.87792095101517</v>
      </c>
      <c r="J78" s="553">
        <v>147.64100052843688</v>
      </c>
      <c r="K78" s="553">
        <v>132.57726934584494</v>
      </c>
      <c r="L78" s="553">
        <v>114.10033778034254</v>
      </c>
      <c r="M78" s="553">
        <v>95.625147522578303</v>
      </c>
      <c r="N78" s="553">
        <v>78.988574651640747</v>
      </c>
      <c r="O78" s="553">
        <v>64.836468570549584</v>
      </c>
      <c r="P78" s="553">
        <v>53.177769131856913</v>
      </c>
      <c r="Q78" s="553">
        <v>43.761666881391186</v>
      </c>
      <c r="R78" s="553">
        <v>36.183227374416575</v>
      </c>
      <c r="S78" s="553">
        <v>30.101416417292764</v>
      </c>
      <c r="T78" s="553">
        <v>25.186894775238741</v>
      </c>
    </row>
    <row r="79" spans="1:21" s="561" customFormat="1" outlineLevel="1" x14ac:dyDescent="0.2">
      <c r="D79" s="559">
        <v>3.25</v>
      </c>
      <c r="E79" s="553">
        <v>75.214386944221346</v>
      </c>
      <c r="F79" s="553">
        <v>122.89969273018343</v>
      </c>
      <c r="G79" s="553">
        <v>168.09447408606854</v>
      </c>
      <c r="H79" s="553">
        <v>200.63424245816586</v>
      </c>
      <c r="I79" s="553">
        <v>211.56839544507122</v>
      </c>
      <c r="J79" s="553">
        <v>202.59348912726921</v>
      </c>
      <c r="K79" s="553">
        <v>181.83897887454842</v>
      </c>
      <c r="L79" s="553">
        <v>156.53432979654013</v>
      </c>
      <c r="M79" s="553">
        <v>131.30985483795178</v>
      </c>
      <c r="N79" s="553">
        <v>108.52758876299885</v>
      </c>
      <c r="O79" s="553">
        <v>89.15311750166704</v>
      </c>
      <c r="P79" s="553">
        <v>73.176184651145846</v>
      </c>
      <c r="Q79" s="553">
        <v>60.265265276857086</v>
      </c>
      <c r="R79" s="553">
        <v>49.867267075117489</v>
      </c>
      <c r="S79" s="553">
        <v>41.505103365788962</v>
      </c>
      <c r="T79" s="553">
        <v>34.767398388379014</v>
      </c>
    </row>
    <row r="80" spans="1:21" s="561" customFormat="1" outlineLevel="1" x14ac:dyDescent="0.2">
      <c r="D80" s="559">
        <v>3.75</v>
      </c>
      <c r="E80" s="553">
        <v>99.884257003185198</v>
      </c>
      <c r="F80" s="553">
        <v>162.94547346545286</v>
      </c>
      <c r="G80" s="553">
        <v>222.19636953740132</v>
      </c>
      <c r="H80" s="553">
        <v>264.05677897361306</v>
      </c>
      <c r="I80" s="553">
        <v>277.49447974727934</v>
      </c>
      <c r="J80" s="553">
        <v>265.23482168104465</v>
      </c>
      <c r="K80" s="553">
        <v>237.94983492215297</v>
      </c>
      <c r="L80" s="553">
        <v>204.94234562634739</v>
      </c>
      <c r="M80" s="553">
        <v>172.00959158786677</v>
      </c>
      <c r="N80" s="553">
        <v>142.27271019051545</v>
      </c>
      <c r="O80" s="553">
        <v>116.96319289824623</v>
      </c>
      <c r="P80" s="553">
        <v>96.071732223725419</v>
      </c>
      <c r="Q80" s="553">
        <v>79.177165088929442</v>
      </c>
      <c r="R80" s="553">
        <v>65.56449291512601</v>
      </c>
      <c r="S80" s="553">
        <v>54.610563280425602</v>
      </c>
      <c r="T80" s="553">
        <v>45.763452433450659</v>
      </c>
    </row>
    <row r="81" spans="1:20" s="490" customFormat="1" outlineLevel="1" x14ac:dyDescent="0.2">
      <c r="D81" s="559">
        <v>4.25</v>
      </c>
      <c r="E81" s="553">
        <v>127.97191970600217</v>
      </c>
      <c r="F81" s="553">
        <v>208.43102498523214</v>
      </c>
      <c r="G81" s="553">
        <v>283.38633669162084</v>
      </c>
      <c r="H81" s="553">
        <v>335.40241912797802</v>
      </c>
      <c r="I81" s="553">
        <v>351.37157924591446</v>
      </c>
      <c r="J81" s="553">
        <v>335.28650062695147</v>
      </c>
      <c r="K81" s="553">
        <v>300.66955156622106</v>
      </c>
      <c r="L81" s="553">
        <v>259.0602991098213</v>
      </c>
      <c r="M81" s="553">
        <v>217.57569955753721</v>
      </c>
      <c r="N81" s="553">
        <v>180.13751523835703</v>
      </c>
      <c r="O81" s="553">
        <v>148.16476484397131</v>
      </c>
      <c r="P81" s="553">
        <v>121.78454108468463</v>
      </c>
      <c r="Q81" s="553">
        <v>100.43514422829887</v>
      </c>
      <c r="R81" s="553">
        <v>83.226250333832056</v>
      </c>
      <c r="S81" s="553">
        <v>69.370855460292475</v>
      </c>
      <c r="T81" s="553">
        <v>58.173364079585568</v>
      </c>
    </row>
    <row r="82" spans="1:20" s="490" customFormat="1" outlineLevel="1" x14ac:dyDescent="0.2">
      <c r="D82" s="559">
        <v>4.75</v>
      </c>
      <c r="E82" s="553">
        <v>159.45165509858492</v>
      </c>
      <c r="F82" s="553">
        <v>259.28897138898748</v>
      </c>
      <c r="G82" s="553">
        <v>351.51386592815493</v>
      </c>
      <c r="H82" s="553">
        <v>414.45521843170354</v>
      </c>
      <c r="I82" s="553">
        <v>432.94827425211543</v>
      </c>
      <c r="J82" s="553">
        <v>412.5172551189126</v>
      </c>
      <c r="K82" s="553">
        <v>369.82742340093</v>
      </c>
      <c r="L82" s="553">
        <v>318.72670451897</v>
      </c>
      <c r="M82" s="553">
        <v>267.86430221028201</v>
      </c>
      <c r="N82" s="553">
        <v>221.88357824419421</v>
      </c>
      <c r="O82" s="553">
        <v>182.67196835772612</v>
      </c>
      <c r="P82" s="553">
        <v>150.24855874962478</v>
      </c>
      <c r="Q82" s="553">
        <v>123.9539567734477</v>
      </c>
      <c r="R82" s="553">
        <v>102.80999853407918</v>
      </c>
      <c r="S82" s="553">
        <v>85.751770704958076</v>
      </c>
      <c r="T82" s="553">
        <v>71.958675150387933</v>
      </c>
    </row>
    <row r="83" spans="1:20" s="490" customFormat="1" outlineLevel="1" x14ac:dyDescent="0.2">
      <c r="D83" s="559">
        <v>5.25</v>
      </c>
      <c r="E83" s="553">
        <v>194.29776403268957</v>
      </c>
      <c r="F83" s="553">
        <v>315.45540904109777</v>
      </c>
      <c r="G83" s="553">
        <v>426.47933232519068</v>
      </c>
      <c r="H83" s="553">
        <v>501.06360754380466</v>
      </c>
      <c r="I83" s="553">
        <v>521.9970197843046</v>
      </c>
      <c r="J83" s="553">
        <v>496.67805236817935</v>
      </c>
      <c r="K83" s="553">
        <v>445.14351827228921</v>
      </c>
      <c r="L83" s="553">
        <v>383.77922240281441</v>
      </c>
      <c r="M83" s="553">
        <v>322.74822116139961</v>
      </c>
      <c r="N83" s="553">
        <v>267.53977147381568</v>
      </c>
      <c r="O83" s="553">
        <v>220.40939683391628</v>
      </c>
      <c r="P83" s="553">
        <v>181.40736602135692</v>
      </c>
      <c r="Q83" s="553">
        <v>149.75518756641441</v>
      </c>
      <c r="R83" s="553">
        <v>124.24950283497296</v>
      </c>
      <c r="S83" s="553">
        <v>103.69601965529351</v>
      </c>
      <c r="T83" s="553">
        <v>87.069140452042831</v>
      </c>
    </row>
    <row r="84" spans="1:20" s="490" customFormat="1" outlineLevel="1" x14ac:dyDescent="0.2">
      <c r="D84" s="559">
        <v>5.75</v>
      </c>
      <c r="E84" s="553">
        <v>232.48530558477222</v>
      </c>
      <c r="F84" s="553">
        <v>376.86600235615964</v>
      </c>
      <c r="G84" s="553">
        <v>508.13096410457013</v>
      </c>
      <c r="H84" s="553">
        <v>594.95732695342122</v>
      </c>
      <c r="I84" s="553">
        <v>618.30429646168636</v>
      </c>
      <c r="J84" s="553">
        <v>587.57259613604629</v>
      </c>
      <c r="K84" s="553">
        <v>526.47366128420515</v>
      </c>
      <c r="L84" s="553">
        <v>454.0732957862956</v>
      </c>
      <c r="M84" s="553">
        <v>382.1129951246262</v>
      </c>
      <c r="N84" s="553">
        <v>316.97771305416308</v>
      </c>
      <c r="O84" s="553">
        <v>261.25032739634008</v>
      </c>
      <c r="P84" s="553">
        <v>215.20941937717583</v>
      </c>
      <c r="Q84" s="553">
        <v>177.76822528172977</v>
      </c>
      <c r="R84" s="553">
        <v>147.58146913254654</v>
      </c>
      <c r="S84" s="553">
        <v>123.24277860083554</v>
      </c>
      <c r="T84" s="553">
        <v>103.54392797022547</v>
      </c>
    </row>
    <row r="85" spans="1:20" s="490" customFormat="1" outlineLevel="1" x14ac:dyDescent="0.2">
      <c r="D85" s="559">
        <v>6.25</v>
      </c>
      <c r="E85" s="553">
        <v>273.98943309023741</v>
      </c>
      <c r="F85" s="553">
        <v>443.4588845653339</v>
      </c>
      <c r="G85" s="553">
        <v>596.32450037264562</v>
      </c>
      <c r="H85" s="553">
        <v>695.98091773984947</v>
      </c>
      <c r="I85" s="553">
        <v>721.67605215891001</v>
      </c>
      <c r="J85" s="553">
        <v>684.99855073718243</v>
      </c>
      <c r="K85" s="553">
        <v>613.58795612361155</v>
      </c>
      <c r="L85" s="553">
        <v>529.47513927446414</v>
      </c>
      <c r="M85" s="553">
        <v>445.85627526701984</v>
      </c>
      <c r="N85" s="553">
        <v>370.11840489721277</v>
      </c>
      <c r="O85" s="553">
        <v>305.25781765736707</v>
      </c>
      <c r="P85" s="553">
        <v>251.55336687227197</v>
      </c>
      <c r="Q85" s="553">
        <v>207.96059574378813</v>
      </c>
      <c r="R85" s="553">
        <v>172.74687203209709</v>
      </c>
      <c r="S85" s="553">
        <v>144.34182924645208</v>
      </c>
      <c r="T85" s="553">
        <v>121.3403056550594</v>
      </c>
    </row>
    <row r="86" spans="1:20" s="490" customFormat="1" outlineLevel="1" x14ac:dyDescent="0.2">
      <c r="D86" s="559">
        <v>6.75</v>
      </c>
      <c r="E86" s="553">
        <v>318.7850376829536</v>
      </c>
      <c r="F86" s="553">
        <v>515.17128096700992</v>
      </c>
      <c r="G86" s="553">
        <v>691.00980925949875</v>
      </c>
      <c r="H86" s="553">
        <v>804.06013620247302</v>
      </c>
      <c r="I86" s="553">
        <v>831.92512156148121</v>
      </c>
      <c r="J86" s="553">
        <v>788.83076768469243</v>
      </c>
      <c r="K86" s="553">
        <v>706.48030784383593</v>
      </c>
      <c r="L86" s="553">
        <v>609.77546352322224</v>
      </c>
      <c r="M86" s="553">
        <v>513.78510946405459</v>
      </c>
      <c r="N86" s="553">
        <v>426.89066920019064</v>
      </c>
      <c r="O86" s="553">
        <v>352.32053894812316</v>
      </c>
      <c r="P86" s="553">
        <v>290.52136317297635</v>
      </c>
      <c r="Q86" s="553">
        <v>240.25467304142302</v>
      </c>
      <c r="R86" s="553">
        <v>199.67867632894544</v>
      </c>
      <c r="S86" s="553">
        <v>166.93513760029558</v>
      </c>
      <c r="T86" s="553">
        <v>140.40926426435362</v>
      </c>
    </row>
    <row r="87" spans="1:20" s="490" customFormat="1" outlineLevel="1" x14ac:dyDescent="0.2">
      <c r="D87" s="559">
        <v>7.25</v>
      </c>
      <c r="E87" s="553">
        <v>366.84778265401172</v>
      </c>
      <c r="F87" s="553">
        <v>591.94312094467455</v>
      </c>
      <c r="G87" s="553">
        <v>792.02632649150826</v>
      </c>
      <c r="H87" s="553">
        <v>918.89125690861579</v>
      </c>
      <c r="I87" s="553">
        <v>948.9296242684984</v>
      </c>
      <c r="J87" s="553">
        <v>898.88769164647454</v>
      </c>
      <c r="K87" s="553">
        <v>804.94729250940361</v>
      </c>
      <c r="L87" s="553">
        <v>695.05872338622805</v>
      </c>
      <c r="M87" s="553">
        <v>586.02740654452259</v>
      </c>
      <c r="N87" s="553">
        <v>487.14503542722372</v>
      </c>
      <c r="O87" s="553">
        <v>402.30861434921968</v>
      </c>
      <c r="P87" s="553">
        <v>332.01591327732098</v>
      </c>
      <c r="Q87" s="553">
        <v>274.72842126119662</v>
      </c>
      <c r="R87" s="553">
        <v>228.45623304915409</v>
      </c>
      <c r="S87" s="553">
        <v>191.0966678671823</v>
      </c>
      <c r="T87" s="553">
        <v>160.81836423617963</v>
      </c>
    </row>
    <row r="88" spans="1:20" s="490" customFormat="1" outlineLevel="1" x14ac:dyDescent="0.2">
      <c r="D88" s="559">
        <v>7.75</v>
      </c>
      <c r="E88" s="553">
        <v>418.15310981380571</v>
      </c>
      <c r="F88" s="553">
        <v>673.73132323432742</v>
      </c>
      <c r="G88" s="553">
        <v>899.20630667397154</v>
      </c>
      <c r="H88" s="553">
        <v>1040.4772823404867</v>
      </c>
      <c r="I88" s="553">
        <v>1072.4812932465086</v>
      </c>
      <c r="J88" s="553">
        <v>1015.0145480340046</v>
      </c>
      <c r="K88" s="553">
        <v>908.85605038940707</v>
      </c>
      <c r="L88" s="553">
        <v>785.12170024779118</v>
      </c>
      <c r="M88" s="553">
        <v>662.39479370316985</v>
      </c>
      <c r="N88" s="553">
        <v>551.01292240495036</v>
      </c>
      <c r="O88" s="553">
        <v>455.36121139659053</v>
      </c>
      <c r="P88" s="553">
        <v>375.94485700812851</v>
      </c>
      <c r="Q88" s="553">
        <v>311.24628543072151</v>
      </c>
      <c r="R88" s="553">
        <v>258.95543191004572</v>
      </c>
      <c r="S88" s="553">
        <v>216.71779847994185</v>
      </c>
      <c r="T88" s="553">
        <v>182.47281087707762</v>
      </c>
    </row>
    <row r="89" spans="1:20" s="490" customFormat="1" outlineLevel="1" x14ac:dyDescent="0.2">
      <c r="D89" s="559">
        <v>8.25</v>
      </c>
      <c r="E89" s="553">
        <v>472.67789003253546</v>
      </c>
      <c r="F89" s="553">
        <v>760.45533755617248</v>
      </c>
      <c r="G89" s="553">
        <v>1012.5955211415769</v>
      </c>
      <c r="H89" s="553">
        <v>1168.519081154416</v>
      </c>
      <c r="I89" s="553">
        <v>1202.4264769569597</v>
      </c>
      <c r="J89" s="553">
        <v>1137.0665564952876</v>
      </c>
      <c r="K89" s="553">
        <v>1018.0010575307936</v>
      </c>
      <c r="L89" s="553">
        <v>879.74834378766786</v>
      </c>
      <c r="M89" s="553">
        <v>742.69039734064813</v>
      </c>
      <c r="N89" s="553">
        <v>618.22492073484045</v>
      </c>
      <c r="O89" s="553">
        <v>511.23936319940111</v>
      </c>
      <c r="P89" s="553">
        <v>422.42352192092324</v>
      </c>
      <c r="Q89" s="553">
        <v>349.92294396827947</v>
      </c>
      <c r="R89" s="553">
        <v>291.28833648120838</v>
      </c>
      <c r="S89" s="553">
        <v>243.90174152156175</v>
      </c>
      <c r="T89" s="553">
        <v>205.46589429336424</v>
      </c>
    </row>
    <row r="90" spans="1:20" s="490" customFormat="1" outlineLevel="1" x14ac:dyDescent="0.2">
      <c r="D90" s="559">
        <v>8.75</v>
      </c>
      <c r="E90" s="553">
        <v>530.39886217606102</v>
      </c>
      <c r="F90" s="553">
        <v>852.0675221742847</v>
      </c>
      <c r="G90" s="553">
        <v>1132.0022668120346</v>
      </c>
      <c r="H90" s="553">
        <v>1303.0620550500735</v>
      </c>
      <c r="I90" s="553">
        <v>1338.7273526324059</v>
      </c>
      <c r="J90" s="553">
        <v>1264.9828465844205</v>
      </c>
      <c r="K90" s="553">
        <v>1132.4972195328062</v>
      </c>
      <c r="L90" s="553">
        <v>979.13600150021102</v>
      </c>
      <c r="M90" s="553">
        <v>827.13561669408114</v>
      </c>
      <c r="N90" s="553">
        <v>688.99649043539398</v>
      </c>
      <c r="O90" s="553">
        <v>570.14747943709278</v>
      </c>
      <c r="P90" s="553">
        <v>471.2784562696765</v>
      </c>
      <c r="Q90" s="553">
        <v>390.60146238339672</v>
      </c>
      <c r="R90" s="553">
        <v>325.3117039663536</v>
      </c>
      <c r="S90" s="553">
        <v>272.52294021410364</v>
      </c>
      <c r="T90" s="553">
        <v>229.68902745448383</v>
      </c>
    </row>
    <row r="91" spans="1:20" s="490" customFormat="1" outlineLevel="1" x14ac:dyDescent="0.2">
      <c r="D91" s="559">
        <v>9.25</v>
      </c>
      <c r="E91" s="553">
        <v>591.29267403195252</v>
      </c>
      <c r="F91" s="553">
        <v>948.5124656910175</v>
      </c>
      <c r="G91" s="553">
        <v>1257.3250994665359</v>
      </c>
      <c r="H91" s="553">
        <v>1443.7662491309147</v>
      </c>
      <c r="I91" s="553">
        <v>1481.1192002973182</v>
      </c>
      <c r="J91" s="553">
        <v>1398.5648525918159</v>
      </c>
      <c r="K91" s="553">
        <v>1252.0976744232864</v>
      </c>
      <c r="L91" s="553">
        <v>1083.0351298431299</v>
      </c>
      <c r="M91" s="553">
        <v>915.35104222376356</v>
      </c>
      <c r="N91" s="553">
        <v>763.00108231819013</v>
      </c>
      <c r="O91" s="553">
        <v>631.80060219651193</v>
      </c>
      <c r="P91" s="553">
        <v>522.65725429208464</v>
      </c>
      <c r="Q91" s="553">
        <v>433.42167911389436</v>
      </c>
      <c r="R91" s="553">
        <v>361.15912210125384</v>
      </c>
      <c r="S91" s="553">
        <v>302.62651390552941</v>
      </c>
      <c r="T91" s="553">
        <v>255.18235679400007</v>
      </c>
    </row>
    <row r="92" spans="1:20" s="490" customFormat="1" outlineLevel="1" x14ac:dyDescent="0.2">
      <c r="D92" s="559">
        <v>9.75</v>
      </c>
      <c r="E92" s="553">
        <v>655.33643344537268</v>
      </c>
      <c r="F92" s="553">
        <v>1049.7351851625183</v>
      </c>
      <c r="G92" s="553">
        <v>1388.4647239453716</v>
      </c>
      <c r="H92" s="553">
        <v>1590.7698177787233</v>
      </c>
      <c r="I92" s="553">
        <v>1629.6155150616794</v>
      </c>
      <c r="J92" s="553">
        <v>1537.7823359302856</v>
      </c>
      <c r="K92" s="553">
        <v>1376.6670301834358</v>
      </c>
      <c r="L92" s="553">
        <v>1191.2875904706684</v>
      </c>
      <c r="M92" s="553">
        <v>1007.6466270960815</v>
      </c>
      <c r="N92" s="553">
        <v>840.51729511347219</v>
      </c>
      <c r="O92" s="553">
        <v>696.45342099578147</v>
      </c>
      <c r="P92" s="553">
        <v>576.37499981396229</v>
      </c>
      <c r="Q92" s="553">
        <v>478.22160436365311</v>
      </c>
      <c r="R92" s="553">
        <v>398.68436182601204</v>
      </c>
      <c r="S92" s="553">
        <v>334.3104153241398</v>
      </c>
      <c r="T92" s="553">
        <v>282.03572315088985</v>
      </c>
    </row>
    <row r="93" spans="1:20" s="572" customFormat="1" outlineLevel="1" x14ac:dyDescent="0.2">
      <c r="D93" s="559"/>
      <c r="E93" s="571"/>
      <c r="F93" s="571"/>
      <c r="G93" s="571"/>
      <c r="H93" s="571"/>
      <c r="I93" s="571"/>
      <c r="J93" s="571"/>
      <c r="K93" s="571"/>
      <c r="L93" s="571"/>
      <c r="M93" s="571"/>
      <c r="N93" s="571"/>
      <c r="O93" s="571"/>
      <c r="P93" s="571"/>
      <c r="Q93" s="571"/>
      <c r="R93" s="571"/>
      <c r="S93" s="571"/>
      <c r="T93" s="571"/>
    </row>
    <row r="94" spans="1:20" s="572" customFormat="1" outlineLevel="1" x14ac:dyDescent="0.2">
      <c r="A94" s="575" t="s">
        <v>289</v>
      </c>
      <c r="D94" s="559"/>
      <c r="E94" s="571"/>
      <c r="F94" s="571"/>
      <c r="G94" s="571"/>
      <c r="H94" s="571"/>
      <c r="I94" s="571"/>
      <c r="J94" s="571"/>
      <c r="K94" s="571"/>
      <c r="L94" s="571"/>
      <c r="M94" s="571"/>
      <c r="N94" s="571"/>
      <c r="O94" s="571"/>
      <c r="P94" s="571"/>
      <c r="Q94" s="571"/>
      <c r="R94" s="571"/>
      <c r="S94" s="571"/>
      <c r="T94" s="571"/>
    </row>
    <row r="95" spans="1:20" s="572" customFormat="1" outlineLevel="1" x14ac:dyDescent="0.2">
      <c r="A95" s="575"/>
      <c r="D95" s="559"/>
      <c r="E95" s="571" t="s">
        <v>291</v>
      </c>
      <c r="F95" s="571"/>
      <c r="G95" s="571"/>
      <c r="H95" s="571"/>
      <c r="I95" s="571"/>
      <c r="J95" s="571"/>
      <c r="K95" s="571"/>
      <c r="L95" s="571"/>
      <c r="M95" s="571"/>
      <c r="N95" s="571"/>
      <c r="O95" s="571"/>
      <c r="P95" s="571"/>
      <c r="Q95" s="571"/>
      <c r="R95" s="571"/>
      <c r="S95" s="571"/>
      <c r="T95" s="571"/>
    </row>
    <row r="96" spans="1:20" s="572" customFormat="1" outlineLevel="1" x14ac:dyDescent="0.2">
      <c r="D96" s="587"/>
      <c r="E96" s="588">
        <v>4.5</v>
      </c>
      <c r="F96" s="588">
        <v>5.5</v>
      </c>
      <c r="G96" s="588">
        <v>6.5</v>
      </c>
      <c r="H96" s="588">
        <v>7.5</v>
      </c>
      <c r="I96" s="588">
        <v>8.5</v>
      </c>
      <c r="J96" s="588">
        <v>9.5</v>
      </c>
      <c r="K96" s="588">
        <v>10.5</v>
      </c>
      <c r="L96" s="588">
        <v>11.5</v>
      </c>
      <c r="M96" s="588">
        <v>12.5</v>
      </c>
      <c r="N96" s="588">
        <v>13.5</v>
      </c>
      <c r="O96" s="588">
        <v>14.5</v>
      </c>
      <c r="P96" s="588">
        <v>15.5</v>
      </c>
      <c r="Q96" s="588">
        <v>16.5</v>
      </c>
      <c r="R96" s="588">
        <v>17.5</v>
      </c>
      <c r="S96" s="588">
        <v>18.5</v>
      </c>
      <c r="T96" s="588">
        <v>19.5</v>
      </c>
    </row>
    <row r="97" spans="3:20" s="572" customFormat="1" outlineLevel="1" x14ac:dyDescent="0.2">
      <c r="C97" s="572" t="s">
        <v>290</v>
      </c>
      <c r="D97" s="559">
        <v>0.25</v>
      </c>
      <c r="E97" s="555">
        <f>MIN(E73*$G$6,$G$7)</f>
        <v>0.36109435391269162</v>
      </c>
      <c r="F97" s="555">
        <f t="shared" ref="F97:T97" si="7">MIN(F73*$G$6,$G$7)</f>
        <v>0.5959454303640277</v>
      </c>
      <c r="G97" s="555">
        <f t="shared" si="7"/>
        <v>0.83193943964711226</v>
      </c>
      <c r="H97" s="555">
        <f t="shared" si="7"/>
        <v>1.0269582276836207</v>
      </c>
      <c r="I97" s="555">
        <f t="shared" si="7"/>
        <v>1.1161304186498864</v>
      </c>
      <c r="J97" s="555">
        <f t="shared" si="7"/>
        <v>1.0860583997714433</v>
      </c>
      <c r="K97" s="555">
        <f t="shared" si="7"/>
        <v>0.97857329291959327</v>
      </c>
      <c r="L97" s="555">
        <f t="shared" si="7"/>
        <v>0.84015520733208793</v>
      </c>
      <c r="M97" s="555">
        <f t="shared" si="7"/>
        <v>0.70101588787944236</v>
      </c>
      <c r="N97" s="555">
        <f t="shared" si="7"/>
        <v>0.57608606421272002</v>
      </c>
      <c r="O97" s="555">
        <f t="shared" si="7"/>
        <v>0.47063531943272419</v>
      </c>
      <c r="P97" s="555">
        <f t="shared" si="7"/>
        <v>0.38420461355551772</v>
      </c>
      <c r="Q97" s="555">
        <f t="shared" si="7"/>
        <v>0.31460617671253677</v>
      </c>
      <c r="R97" s="555">
        <f t="shared" si="7"/>
        <v>0.2588605298216814</v>
      </c>
      <c r="S97" s="555">
        <f t="shared" si="7"/>
        <v>0.21421476190092453</v>
      </c>
      <c r="T97" s="555">
        <f t="shared" si="7"/>
        <v>0.17835361005895159</v>
      </c>
    </row>
    <row r="98" spans="3:20" s="572" customFormat="1" outlineLevel="1" x14ac:dyDescent="0.2">
      <c r="D98" s="559">
        <v>0.75</v>
      </c>
      <c r="E98" s="555">
        <f t="shared" ref="E98:T116" si="8">MIN(E74*$G$6,$G$7)</f>
        <v>3.2447643132834609</v>
      </c>
      <c r="F98" s="555">
        <f t="shared" si="8"/>
        <v>5.3460656695327984</v>
      </c>
      <c r="G98" s="555">
        <f t="shared" si="8"/>
        <v>7.4364036553176547</v>
      </c>
      <c r="H98" s="555">
        <f t="shared" si="8"/>
        <v>9.1169739364047331</v>
      </c>
      <c r="I98" s="555">
        <f t="shared" si="8"/>
        <v>9.8435884867349852</v>
      </c>
      <c r="J98" s="555">
        <f t="shared" si="8"/>
        <v>9.5447831366182569</v>
      </c>
      <c r="K98" s="555">
        <f t="shared" si="8"/>
        <v>8.5941445780451353</v>
      </c>
      <c r="L98" s="555">
        <f t="shared" si="8"/>
        <v>7.3828109651277805</v>
      </c>
      <c r="M98" s="555">
        <f t="shared" si="8"/>
        <v>6.1669541889176536</v>
      </c>
      <c r="N98" s="555">
        <f t="shared" si="8"/>
        <v>5.0743630686653054</v>
      </c>
      <c r="O98" s="555">
        <f t="shared" si="8"/>
        <v>4.1496017385978865</v>
      </c>
      <c r="P98" s="555">
        <f t="shared" si="8"/>
        <v>3.3927512925141317</v>
      </c>
      <c r="Q98" s="555">
        <f t="shared" si="8"/>
        <v>2.7815810221503159</v>
      </c>
      <c r="R98" s="555">
        <f t="shared" si="8"/>
        <v>2.2909293826615191</v>
      </c>
      <c r="S98" s="555">
        <f t="shared" si="8"/>
        <v>1.8983397120726146</v>
      </c>
      <c r="T98" s="555">
        <f t="shared" si="8"/>
        <v>1.5827614929349714</v>
      </c>
    </row>
    <row r="99" spans="3:20" s="572" customFormat="1" outlineLevel="1" x14ac:dyDescent="0.2">
      <c r="D99" s="559">
        <v>1.25</v>
      </c>
      <c r="E99" s="555">
        <f t="shared" si="8"/>
        <v>8.9917379125670092</v>
      </c>
      <c r="F99" s="555">
        <f t="shared" si="8"/>
        <v>14.789846475535256</v>
      </c>
      <c r="G99" s="555">
        <f t="shared" si="8"/>
        <v>20.498451683519988</v>
      </c>
      <c r="H99" s="555">
        <f t="shared" si="8"/>
        <v>24.976599193441601</v>
      </c>
      <c r="I99" s="555">
        <f t="shared" si="8"/>
        <v>26.808586045446077</v>
      </c>
      <c r="J99" s="555">
        <f t="shared" si="8"/>
        <v>25.914891983528111</v>
      </c>
      <c r="K99" s="555">
        <f t="shared" si="8"/>
        <v>23.314481208065686</v>
      </c>
      <c r="L99" s="555">
        <f t="shared" si="8"/>
        <v>20.038891236212354</v>
      </c>
      <c r="M99" s="555">
        <f t="shared" si="8"/>
        <v>16.755299857187818</v>
      </c>
      <c r="N99" s="555">
        <f t="shared" si="8"/>
        <v>13.8020254368518</v>
      </c>
      <c r="O99" s="555">
        <f t="shared" si="8"/>
        <v>11.298832790700217</v>
      </c>
      <c r="P99" s="555">
        <f t="shared" si="8"/>
        <v>9.2453018613803852</v>
      </c>
      <c r="Q99" s="555">
        <f t="shared" si="8"/>
        <v>7.5880044915488627</v>
      </c>
      <c r="R99" s="555">
        <f t="shared" si="8"/>
        <v>6.2586578569911966</v>
      </c>
      <c r="S99" s="555">
        <f t="shared" si="8"/>
        <v>5.1903854485582883</v>
      </c>
      <c r="T99" s="555">
        <f t="shared" si="8"/>
        <v>4.3323788157928531</v>
      </c>
    </row>
    <row r="100" spans="3:20" s="572" customFormat="1" outlineLevel="1" x14ac:dyDescent="0.2">
      <c r="D100" s="559">
        <v>1.75</v>
      </c>
      <c r="E100" s="555">
        <f t="shared" si="8"/>
        <v>17.579665677697978</v>
      </c>
      <c r="F100" s="555">
        <f t="shared" si="8"/>
        <v>28.867211157607809</v>
      </c>
      <c r="G100" s="555">
        <f t="shared" si="8"/>
        <v>39.871875729464172</v>
      </c>
      <c r="H100" s="555">
        <f t="shared" si="8"/>
        <v>48.299118487913887</v>
      </c>
      <c r="I100" s="555">
        <f t="shared" si="8"/>
        <v>51.577744325673521</v>
      </c>
      <c r="J100" s="555">
        <f t="shared" si="8"/>
        <v>49.719689769218775</v>
      </c>
      <c r="K100" s="555">
        <f t="shared" si="8"/>
        <v>44.703497970430575</v>
      </c>
      <c r="L100" s="555">
        <f t="shared" si="8"/>
        <v>38.436391615724794</v>
      </c>
      <c r="M100" s="555">
        <f t="shared" si="8"/>
        <v>32.167396181664088</v>
      </c>
      <c r="N100" s="555">
        <f t="shared" si="8"/>
        <v>26.523992199659496</v>
      </c>
      <c r="O100" s="555">
        <f t="shared" si="8"/>
        <v>21.734567981057641</v>
      </c>
      <c r="P100" s="555">
        <f t="shared" si="8"/>
        <v>17.801289216543925</v>
      </c>
      <c r="Q100" s="555">
        <f t="shared" si="8"/>
        <v>14.620182041818225</v>
      </c>
      <c r="R100" s="555">
        <f t="shared" si="8"/>
        <v>12.070837206791634</v>
      </c>
      <c r="S100" s="555">
        <f t="shared" si="8"/>
        <v>10.024122113520423</v>
      </c>
      <c r="T100" s="555">
        <f t="shared" si="8"/>
        <v>8.372799423958277</v>
      </c>
    </row>
    <row r="101" spans="3:20" s="572" customFormat="1" outlineLevel="1" x14ac:dyDescent="0.2">
      <c r="D101" s="559">
        <v>2.25</v>
      </c>
      <c r="E101" s="555">
        <f t="shared" si="8"/>
        <v>28.986511136980994</v>
      </c>
      <c r="F101" s="555">
        <f t="shared" si="8"/>
        <v>47.519361722987547</v>
      </c>
      <c r="G101" s="555">
        <f t="shared" si="8"/>
        <v>65.412444010794829</v>
      </c>
      <c r="H101" s="555">
        <f t="shared" si="8"/>
        <v>78.821533075954036</v>
      </c>
      <c r="I101" s="555">
        <f t="shared" si="8"/>
        <v>83.780568901572082</v>
      </c>
      <c r="J101" s="555">
        <f t="shared" si="8"/>
        <v>80.563909401213778</v>
      </c>
      <c r="K101" s="555">
        <f t="shared" si="8"/>
        <v>72.382972856318474</v>
      </c>
      <c r="L101" s="555">
        <f t="shared" si="8"/>
        <v>62.269606876473063</v>
      </c>
      <c r="M101" s="555">
        <f t="shared" si="8"/>
        <v>52.157242991663104</v>
      </c>
      <c r="N101" s="555">
        <f t="shared" si="8"/>
        <v>43.046198029560109</v>
      </c>
      <c r="O101" s="555">
        <f t="shared" si="8"/>
        <v>35.295491066455106</v>
      </c>
      <c r="P101" s="555">
        <f t="shared" si="8"/>
        <v>28.933458414050229</v>
      </c>
      <c r="Q101" s="555">
        <f t="shared" si="8"/>
        <v>23.790690105512365</v>
      </c>
      <c r="R101" s="555">
        <f t="shared" si="8"/>
        <v>19.654469351995729</v>
      </c>
      <c r="S101" s="555">
        <f t="shared" si="8"/>
        <v>16.336890080661185</v>
      </c>
      <c r="T101" s="555">
        <f t="shared" si="8"/>
        <v>13.658158478246612</v>
      </c>
    </row>
    <row r="102" spans="3:20" s="572" customFormat="1" outlineLevel="1" x14ac:dyDescent="0.2">
      <c r="D102" s="559">
        <v>2.75</v>
      </c>
      <c r="E102" s="555">
        <f t="shared" si="8"/>
        <v>43.190704128419924</v>
      </c>
      <c r="F102" s="555">
        <f t="shared" si="8"/>
        <v>70.689008327735976</v>
      </c>
      <c r="G102" s="555">
        <f t="shared" si="8"/>
        <v>96.993225887175072</v>
      </c>
      <c r="H102" s="555">
        <f t="shared" si="8"/>
        <v>116.29813130919111</v>
      </c>
      <c r="I102" s="555">
        <f t="shared" si="8"/>
        <v>123.10233676081214</v>
      </c>
      <c r="J102" s="555">
        <f t="shared" si="8"/>
        <v>118.1128004227495</v>
      </c>
      <c r="K102" s="555">
        <f t="shared" si="8"/>
        <v>106.06181547667596</v>
      </c>
      <c r="L102" s="555">
        <f t="shared" si="8"/>
        <v>91.280270224274034</v>
      </c>
      <c r="M102" s="555">
        <f t="shared" si="8"/>
        <v>76.500118018062651</v>
      </c>
      <c r="N102" s="555">
        <f t="shared" si="8"/>
        <v>63.190859721312599</v>
      </c>
      <c r="O102" s="555">
        <f t="shared" si="8"/>
        <v>51.86917485643967</v>
      </c>
      <c r="P102" s="555">
        <f t="shared" si="8"/>
        <v>42.542215305485534</v>
      </c>
      <c r="Q102" s="555">
        <f t="shared" si="8"/>
        <v>35.009333505112949</v>
      </c>
      <c r="R102" s="555">
        <f t="shared" si="8"/>
        <v>28.94658189953326</v>
      </c>
      <c r="S102" s="555">
        <f t="shared" si="8"/>
        <v>24.081133133834214</v>
      </c>
      <c r="T102" s="555">
        <f t="shared" si="8"/>
        <v>20.149515820190995</v>
      </c>
    </row>
    <row r="103" spans="3:20" s="572" customFormat="1" outlineLevel="1" x14ac:dyDescent="0.2">
      <c r="D103" s="559">
        <v>3.25</v>
      </c>
      <c r="E103" s="555">
        <f t="shared" si="8"/>
        <v>60.171509555377078</v>
      </c>
      <c r="F103" s="555">
        <f t="shared" si="8"/>
        <v>98.319754184146746</v>
      </c>
      <c r="G103" s="555">
        <f t="shared" si="8"/>
        <v>134.47557926885483</v>
      </c>
      <c r="H103" s="555">
        <f t="shared" si="8"/>
        <v>160.5073939665327</v>
      </c>
      <c r="I103" s="555">
        <f t="shared" si="8"/>
        <v>169.25471635605697</v>
      </c>
      <c r="J103" s="555">
        <f t="shared" si="8"/>
        <v>162.07479130181537</v>
      </c>
      <c r="K103" s="555">
        <f t="shared" si="8"/>
        <v>145.47118309963875</v>
      </c>
      <c r="L103" s="555">
        <f t="shared" si="8"/>
        <v>125.22746383723211</v>
      </c>
      <c r="M103" s="555">
        <f t="shared" si="8"/>
        <v>105.04788387036143</v>
      </c>
      <c r="N103" s="555">
        <f t="shared" si="8"/>
        <v>86.822071010399085</v>
      </c>
      <c r="O103" s="555">
        <f t="shared" si="8"/>
        <v>71.322494001333638</v>
      </c>
      <c r="P103" s="555">
        <f t="shared" si="8"/>
        <v>58.540947720916677</v>
      </c>
      <c r="Q103" s="555">
        <f t="shared" si="8"/>
        <v>48.212212221485672</v>
      </c>
      <c r="R103" s="555">
        <f t="shared" si="8"/>
        <v>39.893813660093997</v>
      </c>
      <c r="S103" s="555">
        <f t="shared" si="8"/>
        <v>33.204082692631168</v>
      </c>
      <c r="T103" s="555">
        <f t="shared" si="8"/>
        <v>27.813918710703213</v>
      </c>
    </row>
    <row r="104" spans="3:20" s="572" customFormat="1" outlineLevel="1" x14ac:dyDescent="0.2">
      <c r="D104" s="559">
        <v>3.75</v>
      </c>
      <c r="E104" s="555">
        <f t="shared" si="8"/>
        <v>79.907405602548167</v>
      </c>
      <c r="F104" s="555">
        <f t="shared" si="8"/>
        <v>130.35637877236229</v>
      </c>
      <c r="G104" s="555">
        <f t="shared" si="8"/>
        <v>177.75709562992108</v>
      </c>
      <c r="H104" s="555">
        <f t="shared" si="8"/>
        <v>211.24542317889046</v>
      </c>
      <c r="I104" s="555">
        <f t="shared" si="8"/>
        <v>221.99558379782349</v>
      </c>
      <c r="J104" s="555">
        <f t="shared" si="8"/>
        <v>212.18785734483572</v>
      </c>
      <c r="K104" s="555">
        <f t="shared" si="8"/>
        <v>190.35986793772238</v>
      </c>
      <c r="L104" s="555">
        <f t="shared" si="8"/>
        <v>163.95387650107793</v>
      </c>
      <c r="M104" s="555">
        <f t="shared" si="8"/>
        <v>137.60767327029342</v>
      </c>
      <c r="N104" s="555">
        <f t="shared" si="8"/>
        <v>113.81816815241237</v>
      </c>
      <c r="O104" s="555">
        <f t="shared" si="8"/>
        <v>93.57055431859699</v>
      </c>
      <c r="P104" s="555">
        <f t="shared" si="8"/>
        <v>76.857385778980344</v>
      </c>
      <c r="Q104" s="555">
        <f t="shared" si="8"/>
        <v>63.341732071143554</v>
      </c>
      <c r="R104" s="555">
        <f t="shared" si="8"/>
        <v>52.451594332100811</v>
      </c>
      <c r="S104" s="555">
        <f t="shared" si="8"/>
        <v>43.688450624340483</v>
      </c>
      <c r="T104" s="555">
        <f t="shared" si="8"/>
        <v>36.610761946760526</v>
      </c>
    </row>
    <row r="105" spans="3:20" s="572" customFormat="1" outlineLevel="1" x14ac:dyDescent="0.2">
      <c r="D105" s="559">
        <v>4.25</v>
      </c>
      <c r="E105" s="555">
        <f t="shared" si="8"/>
        <v>102.37753576480173</v>
      </c>
      <c r="F105" s="555">
        <f t="shared" si="8"/>
        <v>166.74481998818572</v>
      </c>
      <c r="G105" s="555">
        <f t="shared" si="8"/>
        <v>226.70906935329668</v>
      </c>
      <c r="H105" s="555">
        <f t="shared" si="8"/>
        <v>268.32193530238243</v>
      </c>
      <c r="I105" s="555">
        <f t="shared" si="8"/>
        <v>281.09726339673159</v>
      </c>
      <c r="J105" s="555">
        <f t="shared" si="8"/>
        <v>268.22920050156119</v>
      </c>
      <c r="K105" s="555">
        <f t="shared" si="8"/>
        <v>240.53564125297686</v>
      </c>
      <c r="L105" s="555">
        <f t="shared" si="8"/>
        <v>207.24823928785705</v>
      </c>
      <c r="M105" s="555">
        <f t="shared" si="8"/>
        <v>174.06055964602979</v>
      </c>
      <c r="N105" s="555">
        <f t="shared" si="8"/>
        <v>144.11001219068564</v>
      </c>
      <c r="O105" s="555">
        <f t="shared" si="8"/>
        <v>118.53181187517706</v>
      </c>
      <c r="P105" s="555">
        <f t="shared" si="8"/>
        <v>97.427632867747718</v>
      </c>
      <c r="Q105" s="555">
        <f t="shared" si="8"/>
        <v>80.348115382639094</v>
      </c>
      <c r="R105" s="555">
        <f t="shared" si="8"/>
        <v>66.581000267065647</v>
      </c>
      <c r="S105" s="555">
        <f t="shared" si="8"/>
        <v>55.496684368233986</v>
      </c>
      <c r="T105" s="555">
        <f t="shared" si="8"/>
        <v>46.538691263668454</v>
      </c>
    </row>
    <row r="106" spans="3:20" s="572" customFormat="1" outlineLevel="1" x14ac:dyDescent="0.2">
      <c r="D106" s="559">
        <v>4.75</v>
      </c>
      <c r="E106" s="555">
        <f t="shared" si="8"/>
        <v>127.56132407886794</v>
      </c>
      <c r="F106" s="555">
        <f t="shared" si="8"/>
        <v>207.43117711118998</v>
      </c>
      <c r="G106" s="555">
        <f t="shared" si="8"/>
        <v>281.21109274252393</v>
      </c>
      <c r="H106" s="555">
        <f t="shared" si="8"/>
        <v>286</v>
      </c>
      <c r="I106" s="555">
        <f t="shared" si="8"/>
        <v>286</v>
      </c>
      <c r="J106" s="555">
        <f t="shared" si="8"/>
        <v>286</v>
      </c>
      <c r="K106" s="555">
        <f t="shared" si="8"/>
        <v>286</v>
      </c>
      <c r="L106" s="555">
        <f t="shared" si="8"/>
        <v>254.98136361517601</v>
      </c>
      <c r="M106" s="555">
        <f t="shared" si="8"/>
        <v>214.29144176822561</v>
      </c>
      <c r="N106" s="555">
        <f t="shared" si="8"/>
        <v>177.50686259535539</v>
      </c>
      <c r="O106" s="555">
        <f t="shared" si="8"/>
        <v>146.1375746861809</v>
      </c>
      <c r="P106" s="555">
        <f t="shared" si="8"/>
        <v>120.19884699969982</v>
      </c>
      <c r="Q106" s="555">
        <f t="shared" si="8"/>
        <v>99.163165418758169</v>
      </c>
      <c r="R106" s="555">
        <f t="shared" si="8"/>
        <v>82.247998827263359</v>
      </c>
      <c r="S106" s="555">
        <f t="shared" si="8"/>
        <v>68.601416563966467</v>
      </c>
      <c r="T106" s="555">
        <f t="shared" si="8"/>
        <v>57.566940120310349</v>
      </c>
    </row>
    <row r="107" spans="3:20" s="572" customFormat="1" outlineLevel="1" x14ac:dyDescent="0.2">
      <c r="D107" s="559">
        <v>5.25</v>
      </c>
      <c r="E107" s="555">
        <f t="shared" si="8"/>
        <v>155.43821122615168</v>
      </c>
      <c r="F107" s="555">
        <f t="shared" si="8"/>
        <v>252.36432723287822</v>
      </c>
      <c r="G107" s="555">
        <f t="shared" si="8"/>
        <v>286</v>
      </c>
      <c r="H107" s="555">
        <f t="shared" si="8"/>
        <v>286</v>
      </c>
      <c r="I107" s="555">
        <f t="shared" si="8"/>
        <v>286</v>
      </c>
      <c r="J107" s="555">
        <f t="shared" si="8"/>
        <v>286</v>
      </c>
      <c r="K107" s="555">
        <f t="shared" si="8"/>
        <v>286</v>
      </c>
      <c r="L107" s="555">
        <f t="shared" si="8"/>
        <v>286</v>
      </c>
      <c r="M107" s="555">
        <f t="shared" si="8"/>
        <v>258.19857692911972</v>
      </c>
      <c r="N107" s="555">
        <f t="shared" si="8"/>
        <v>214.03181717905255</v>
      </c>
      <c r="O107" s="555">
        <f t="shared" si="8"/>
        <v>176.32751746713302</v>
      </c>
      <c r="P107" s="555">
        <f t="shared" si="8"/>
        <v>145.12589281708554</v>
      </c>
      <c r="Q107" s="555">
        <f t="shared" si="8"/>
        <v>119.80415005313154</v>
      </c>
      <c r="R107" s="555">
        <f t="shared" si="8"/>
        <v>99.399602267978366</v>
      </c>
      <c r="S107" s="555">
        <f t="shared" si="8"/>
        <v>82.956815724234815</v>
      </c>
      <c r="T107" s="555">
        <f t="shared" si="8"/>
        <v>69.655312361634273</v>
      </c>
    </row>
    <row r="108" spans="3:20" s="572" customFormat="1" outlineLevel="1" x14ac:dyDescent="0.2">
      <c r="D108" s="559">
        <v>5.75</v>
      </c>
      <c r="E108" s="555">
        <f t="shared" si="8"/>
        <v>185.98824446781779</v>
      </c>
      <c r="F108" s="555">
        <f t="shared" si="8"/>
        <v>286</v>
      </c>
      <c r="G108" s="555">
        <f t="shared" si="8"/>
        <v>286</v>
      </c>
      <c r="H108" s="555">
        <f t="shared" si="8"/>
        <v>286</v>
      </c>
      <c r="I108" s="555">
        <f t="shared" si="8"/>
        <v>286</v>
      </c>
      <c r="J108" s="555">
        <f t="shared" si="8"/>
        <v>286</v>
      </c>
      <c r="K108" s="555">
        <f t="shared" si="8"/>
        <v>286</v>
      </c>
      <c r="L108" s="555">
        <f t="shared" si="8"/>
        <v>286</v>
      </c>
      <c r="M108" s="555">
        <f t="shared" si="8"/>
        <v>286</v>
      </c>
      <c r="N108" s="555">
        <f t="shared" si="8"/>
        <v>253.58217044333048</v>
      </c>
      <c r="O108" s="555">
        <f t="shared" si="8"/>
        <v>209.00026191707207</v>
      </c>
      <c r="P108" s="555">
        <f t="shared" si="8"/>
        <v>172.16753550174067</v>
      </c>
      <c r="Q108" s="555">
        <f t="shared" si="8"/>
        <v>142.21458022538383</v>
      </c>
      <c r="R108" s="555">
        <f t="shared" si="8"/>
        <v>118.06517530603725</v>
      </c>
      <c r="S108" s="555">
        <f t="shared" si="8"/>
        <v>98.59422288066844</v>
      </c>
      <c r="T108" s="555">
        <f t="shared" si="8"/>
        <v>82.835142376180386</v>
      </c>
    </row>
    <row r="109" spans="3:20" s="572" customFormat="1" outlineLevel="1" x14ac:dyDescent="0.2">
      <c r="D109" s="559">
        <v>6.25</v>
      </c>
      <c r="E109" s="555">
        <f t="shared" si="8"/>
        <v>219.19154647218994</v>
      </c>
      <c r="F109" s="555">
        <f t="shared" si="8"/>
        <v>286</v>
      </c>
      <c r="G109" s="555">
        <f t="shared" si="8"/>
        <v>286</v>
      </c>
      <c r="H109" s="555">
        <f t="shared" si="8"/>
        <v>286</v>
      </c>
      <c r="I109" s="555">
        <f t="shared" si="8"/>
        <v>286</v>
      </c>
      <c r="J109" s="555">
        <f t="shared" si="8"/>
        <v>286</v>
      </c>
      <c r="K109" s="555">
        <f t="shared" si="8"/>
        <v>286</v>
      </c>
      <c r="L109" s="555">
        <f t="shared" si="8"/>
        <v>286</v>
      </c>
      <c r="M109" s="555">
        <f t="shared" si="8"/>
        <v>286</v>
      </c>
      <c r="N109" s="555">
        <f t="shared" si="8"/>
        <v>286</v>
      </c>
      <c r="O109" s="555">
        <f t="shared" si="8"/>
        <v>244.20625412589368</v>
      </c>
      <c r="P109" s="555">
        <f t="shared" si="8"/>
        <v>201.24269349781758</v>
      </c>
      <c r="Q109" s="555">
        <f t="shared" si="8"/>
        <v>166.36847659503053</v>
      </c>
      <c r="R109" s="555">
        <f t="shared" si="8"/>
        <v>138.19749762567767</v>
      </c>
      <c r="S109" s="555">
        <f t="shared" si="8"/>
        <v>115.47346339716167</v>
      </c>
      <c r="T109" s="555">
        <f t="shared" si="8"/>
        <v>97.07224452404752</v>
      </c>
    </row>
    <row r="110" spans="3:20" s="572" customFormat="1" outlineLevel="1" x14ac:dyDescent="0.2">
      <c r="D110" s="559">
        <v>6.75</v>
      </c>
      <c r="E110" s="555">
        <f t="shared" si="8"/>
        <v>255.02803014636288</v>
      </c>
      <c r="F110" s="555">
        <f t="shared" si="8"/>
        <v>286</v>
      </c>
      <c r="G110" s="555">
        <f t="shared" si="8"/>
        <v>286</v>
      </c>
      <c r="H110" s="555">
        <f t="shared" si="8"/>
        <v>286</v>
      </c>
      <c r="I110" s="555">
        <f t="shared" si="8"/>
        <v>286</v>
      </c>
      <c r="J110" s="555">
        <f t="shared" si="8"/>
        <v>286</v>
      </c>
      <c r="K110" s="555">
        <f t="shared" si="8"/>
        <v>286</v>
      </c>
      <c r="L110" s="555">
        <f t="shared" si="8"/>
        <v>286</v>
      </c>
      <c r="M110" s="555">
        <f t="shared" si="8"/>
        <v>286</v>
      </c>
      <c r="N110" s="555">
        <f t="shared" si="8"/>
        <v>286</v>
      </c>
      <c r="O110" s="555">
        <f t="shared" si="8"/>
        <v>281.85643115849854</v>
      </c>
      <c r="P110" s="555">
        <f t="shared" si="8"/>
        <v>232.4170905383811</v>
      </c>
      <c r="Q110" s="555">
        <f t="shared" si="8"/>
        <v>192.20373843313843</v>
      </c>
      <c r="R110" s="555">
        <f t="shared" si="8"/>
        <v>159.74294106315637</v>
      </c>
      <c r="S110" s="555">
        <f t="shared" si="8"/>
        <v>133.54811008023646</v>
      </c>
      <c r="T110" s="555">
        <f t="shared" si="8"/>
        <v>112.3274114114829</v>
      </c>
    </row>
    <row r="111" spans="3:20" s="572" customFormat="1" outlineLevel="1" x14ac:dyDescent="0.2">
      <c r="D111" s="559">
        <v>7.25</v>
      </c>
      <c r="E111" s="555">
        <f t="shared" si="8"/>
        <v>286</v>
      </c>
      <c r="F111" s="555">
        <f t="shared" si="8"/>
        <v>286</v>
      </c>
      <c r="G111" s="555">
        <f t="shared" si="8"/>
        <v>286</v>
      </c>
      <c r="H111" s="555">
        <f t="shared" si="8"/>
        <v>286</v>
      </c>
      <c r="I111" s="555">
        <f t="shared" si="8"/>
        <v>286</v>
      </c>
      <c r="J111" s="555">
        <f t="shared" si="8"/>
        <v>286</v>
      </c>
      <c r="K111" s="555">
        <f t="shared" si="8"/>
        <v>286</v>
      </c>
      <c r="L111" s="555">
        <f t="shared" si="8"/>
        <v>286</v>
      </c>
      <c r="M111" s="555">
        <f t="shared" si="8"/>
        <v>286</v>
      </c>
      <c r="N111" s="555">
        <f t="shared" si="8"/>
        <v>286</v>
      </c>
      <c r="O111" s="555">
        <f t="shared" si="8"/>
        <v>286</v>
      </c>
      <c r="P111" s="555">
        <f t="shared" si="8"/>
        <v>265.61273062185677</v>
      </c>
      <c r="Q111" s="555">
        <f t="shared" si="8"/>
        <v>219.7827370089573</v>
      </c>
      <c r="R111" s="555">
        <f t="shared" si="8"/>
        <v>182.76498643932328</v>
      </c>
      <c r="S111" s="555">
        <f t="shared" si="8"/>
        <v>152.87733429374586</v>
      </c>
      <c r="T111" s="555">
        <f t="shared" si="8"/>
        <v>128.65469138894372</v>
      </c>
    </row>
    <row r="112" spans="3:20" s="572" customFormat="1" outlineLevel="1" x14ac:dyDescent="0.2">
      <c r="D112" s="559">
        <v>7.75</v>
      </c>
      <c r="E112" s="555">
        <f t="shared" si="8"/>
        <v>286</v>
      </c>
      <c r="F112" s="555">
        <f t="shared" si="8"/>
        <v>286</v>
      </c>
      <c r="G112" s="555">
        <f t="shared" si="8"/>
        <v>286</v>
      </c>
      <c r="H112" s="555">
        <f t="shared" si="8"/>
        <v>286</v>
      </c>
      <c r="I112" s="555">
        <f t="shared" si="8"/>
        <v>286</v>
      </c>
      <c r="J112" s="555">
        <f t="shared" si="8"/>
        <v>286</v>
      </c>
      <c r="K112" s="555">
        <f t="shared" si="8"/>
        <v>286</v>
      </c>
      <c r="L112" s="555">
        <f t="shared" si="8"/>
        <v>286</v>
      </c>
      <c r="M112" s="555">
        <f t="shared" si="8"/>
        <v>286</v>
      </c>
      <c r="N112" s="555">
        <f t="shared" si="8"/>
        <v>286</v>
      </c>
      <c r="O112" s="555">
        <f t="shared" si="8"/>
        <v>286</v>
      </c>
      <c r="P112" s="555">
        <f t="shared" si="8"/>
        <v>286</v>
      </c>
      <c r="Q112" s="555">
        <f t="shared" si="8"/>
        <v>248.99702834457722</v>
      </c>
      <c r="R112" s="555">
        <f t="shared" si="8"/>
        <v>207.16434552803659</v>
      </c>
      <c r="S112" s="555">
        <f t="shared" si="8"/>
        <v>173.3742387839535</v>
      </c>
      <c r="T112" s="555">
        <f t="shared" si="8"/>
        <v>145.9782487016621</v>
      </c>
    </row>
    <row r="113" spans="1:20" s="572" customFormat="1" outlineLevel="1" x14ac:dyDescent="0.2">
      <c r="D113" s="559">
        <v>8.25</v>
      </c>
      <c r="E113" s="555">
        <f t="shared" si="8"/>
        <v>286</v>
      </c>
      <c r="F113" s="555">
        <f t="shared" si="8"/>
        <v>286</v>
      </c>
      <c r="G113" s="555">
        <f t="shared" si="8"/>
        <v>286</v>
      </c>
      <c r="H113" s="555">
        <f t="shared" si="8"/>
        <v>286</v>
      </c>
      <c r="I113" s="555">
        <f t="shared" si="8"/>
        <v>286</v>
      </c>
      <c r="J113" s="555">
        <f t="shared" si="8"/>
        <v>286</v>
      </c>
      <c r="K113" s="555">
        <f t="shared" si="8"/>
        <v>286</v>
      </c>
      <c r="L113" s="555">
        <f t="shared" si="8"/>
        <v>286</v>
      </c>
      <c r="M113" s="555">
        <f t="shared" si="8"/>
        <v>286</v>
      </c>
      <c r="N113" s="555">
        <f t="shared" si="8"/>
        <v>286</v>
      </c>
      <c r="O113" s="555">
        <f t="shared" si="8"/>
        <v>286</v>
      </c>
      <c r="P113" s="555">
        <f t="shared" si="8"/>
        <v>286</v>
      </c>
      <c r="Q113" s="555">
        <f t="shared" ref="F113:T116" si="9">MIN(Q89*$G$6,$G$7)</f>
        <v>279.93835517462361</v>
      </c>
      <c r="R113" s="555">
        <f t="shared" si="9"/>
        <v>233.03066918496671</v>
      </c>
      <c r="S113" s="555">
        <f t="shared" si="9"/>
        <v>195.12139321724942</v>
      </c>
      <c r="T113" s="555">
        <f t="shared" si="9"/>
        <v>164.3727154346914</v>
      </c>
    </row>
    <row r="114" spans="1:20" s="572" customFormat="1" outlineLevel="1" x14ac:dyDescent="0.2">
      <c r="D114" s="559">
        <v>8.75</v>
      </c>
      <c r="E114" s="555">
        <f t="shared" si="8"/>
        <v>286</v>
      </c>
      <c r="F114" s="555">
        <f t="shared" si="9"/>
        <v>286</v>
      </c>
      <c r="G114" s="555">
        <f t="shared" si="9"/>
        <v>286</v>
      </c>
      <c r="H114" s="555">
        <f t="shared" si="9"/>
        <v>286</v>
      </c>
      <c r="I114" s="555">
        <f t="shared" si="9"/>
        <v>286</v>
      </c>
      <c r="J114" s="555">
        <f t="shared" si="9"/>
        <v>286</v>
      </c>
      <c r="K114" s="555">
        <f t="shared" si="9"/>
        <v>286</v>
      </c>
      <c r="L114" s="555">
        <f t="shared" si="9"/>
        <v>286</v>
      </c>
      <c r="M114" s="555">
        <f t="shared" si="9"/>
        <v>286</v>
      </c>
      <c r="N114" s="555">
        <f t="shared" si="9"/>
        <v>286</v>
      </c>
      <c r="O114" s="555">
        <f t="shared" si="9"/>
        <v>286</v>
      </c>
      <c r="P114" s="555">
        <f t="shared" si="9"/>
        <v>286</v>
      </c>
      <c r="Q114" s="555">
        <f t="shared" si="9"/>
        <v>286</v>
      </c>
      <c r="R114" s="555">
        <f t="shared" si="9"/>
        <v>260.24936317308288</v>
      </c>
      <c r="S114" s="555">
        <f t="shared" si="9"/>
        <v>218.01835217128291</v>
      </c>
      <c r="T114" s="555">
        <f t="shared" si="9"/>
        <v>183.75122196358708</v>
      </c>
    </row>
    <row r="115" spans="1:20" s="572" customFormat="1" outlineLevel="1" x14ac:dyDescent="0.2">
      <c r="D115" s="559">
        <v>9.25</v>
      </c>
      <c r="E115" s="555">
        <f t="shared" si="8"/>
        <v>286</v>
      </c>
      <c r="F115" s="555">
        <f t="shared" si="9"/>
        <v>286</v>
      </c>
      <c r="G115" s="555">
        <f t="shared" si="9"/>
        <v>286</v>
      </c>
      <c r="H115" s="555">
        <f t="shared" si="9"/>
        <v>286</v>
      </c>
      <c r="I115" s="555">
        <f t="shared" si="9"/>
        <v>286</v>
      </c>
      <c r="J115" s="555">
        <f t="shared" si="9"/>
        <v>286</v>
      </c>
      <c r="K115" s="555">
        <f t="shared" si="9"/>
        <v>286</v>
      </c>
      <c r="L115" s="555">
        <f t="shared" si="9"/>
        <v>286</v>
      </c>
      <c r="M115" s="555">
        <f t="shared" si="9"/>
        <v>286</v>
      </c>
      <c r="N115" s="555">
        <f t="shared" si="9"/>
        <v>286</v>
      </c>
      <c r="O115" s="555">
        <f t="shared" si="9"/>
        <v>286</v>
      </c>
      <c r="P115" s="555">
        <f t="shared" si="9"/>
        <v>286</v>
      </c>
      <c r="Q115" s="555">
        <f t="shared" si="9"/>
        <v>286</v>
      </c>
      <c r="R115" s="555">
        <f t="shared" si="9"/>
        <v>286</v>
      </c>
      <c r="S115" s="555">
        <f t="shared" si="9"/>
        <v>242.10121112442354</v>
      </c>
      <c r="T115" s="555">
        <f t="shared" si="9"/>
        <v>204.14588543520006</v>
      </c>
    </row>
    <row r="116" spans="1:20" s="447" customFormat="1" outlineLevel="1" x14ac:dyDescent="0.2">
      <c r="B116" s="537"/>
      <c r="C116" s="537"/>
      <c r="D116" s="559">
        <v>9.75</v>
      </c>
      <c r="E116" s="555">
        <f t="shared" si="8"/>
        <v>286</v>
      </c>
      <c r="F116" s="555">
        <f t="shared" si="9"/>
        <v>286</v>
      </c>
      <c r="G116" s="555">
        <f t="shared" si="9"/>
        <v>286</v>
      </c>
      <c r="H116" s="555">
        <f t="shared" si="9"/>
        <v>286</v>
      </c>
      <c r="I116" s="555">
        <f t="shared" si="9"/>
        <v>286</v>
      </c>
      <c r="J116" s="555">
        <f t="shared" si="9"/>
        <v>286</v>
      </c>
      <c r="K116" s="555">
        <f t="shared" si="9"/>
        <v>286</v>
      </c>
      <c r="L116" s="555">
        <f t="shared" si="9"/>
        <v>286</v>
      </c>
      <c r="M116" s="555">
        <f t="shared" si="9"/>
        <v>286</v>
      </c>
      <c r="N116" s="555">
        <f t="shared" si="9"/>
        <v>286</v>
      </c>
      <c r="O116" s="555">
        <f t="shared" si="9"/>
        <v>286</v>
      </c>
      <c r="P116" s="555">
        <f t="shared" si="9"/>
        <v>286</v>
      </c>
      <c r="Q116" s="555">
        <f t="shared" si="9"/>
        <v>286</v>
      </c>
      <c r="R116" s="555">
        <f t="shared" si="9"/>
        <v>286</v>
      </c>
      <c r="S116" s="555">
        <f t="shared" si="9"/>
        <v>267.44833225931183</v>
      </c>
      <c r="T116" s="555">
        <f t="shared" si="9"/>
        <v>225.6285785207119</v>
      </c>
    </row>
    <row r="117" spans="1:20" s="572" customFormat="1" outlineLevel="1" x14ac:dyDescent="0.2">
      <c r="B117" s="537"/>
      <c r="C117" s="537"/>
      <c r="D117" s="559"/>
      <c r="E117" s="571"/>
      <c r="F117" s="571"/>
      <c r="G117" s="571"/>
      <c r="H117" s="571"/>
      <c r="I117" s="571"/>
      <c r="J117" s="571"/>
      <c r="K117" s="571"/>
      <c r="L117" s="571"/>
      <c r="M117" s="571"/>
      <c r="N117" s="571"/>
      <c r="O117" s="571"/>
      <c r="P117" s="571"/>
      <c r="Q117" s="571"/>
      <c r="R117" s="571"/>
      <c r="S117" s="571"/>
      <c r="T117" s="571"/>
    </row>
    <row r="118" spans="1:20" outlineLevel="1" x14ac:dyDescent="0.2">
      <c r="B118" s="576"/>
      <c r="C118" s="541"/>
      <c r="D118" s="545"/>
      <c r="E118" s="147"/>
      <c r="F118" s="147"/>
      <c r="G118" s="147"/>
      <c r="H118" s="400"/>
      <c r="I118" s="508"/>
      <c r="J118" s="147"/>
      <c r="K118" s="196"/>
      <c r="L118" s="196"/>
    </row>
    <row r="119" spans="1:20" x14ac:dyDescent="0.2">
      <c r="A119" s="126" t="s">
        <v>183</v>
      </c>
      <c r="J119" s="141"/>
      <c r="K119" s="141"/>
      <c r="L119" s="141"/>
      <c r="N119" s="141"/>
    </row>
    <row r="120" spans="1:20" outlineLevel="1" x14ac:dyDescent="0.2">
      <c r="B120" s="138" t="s">
        <v>190</v>
      </c>
      <c r="G120" s="448">
        <v>20</v>
      </c>
      <c r="H120" s="399"/>
      <c r="I120" s="501"/>
    </row>
    <row r="121" spans="1:20" outlineLevel="1" x14ac:dyDescent="0.2">
      <c r="B121" s="142" t="s">
        <v>189</v>
      </c>
      <c r="G121" s="135">
        <v>0.4</v>
      </c>
      <c r="H121" s="417"/>
      <c r="I121" s="506"/>
    </row>
    <row r="122" spans="1:20" outlineLevel="1" x14ac:dyDescent="0.2">
      <c r="B122" s="142" t="s">
        <v>184</v>
      </c>
      <c r="G122" s="135">
        <v>0</v>
      </c>
      <c r="H122" s="417"/>
      <c r="I122" s="506"/>
    </row>
    <row r="123" spans="1:20" outlineLevel="1" x14ac:dyDescent="0.2">
      <c r="B123" s="142" t="s">
        <v>169</v>
      </c>
      <c r="G123" s="140">
        <f>G121+G122*(1-G121)</f>
        <v>0.4</v>
      </c>
      <c r="H123" s="379"/>
      <c r="I123" s="507"/>
    </row>
    <row r="124" spans="1:20" outlineLevel="1" x14ac:dyDescent="0.2">
      <c r="B124" s="142" t="s">
        <v>168</v>
      </c>
      <c r="G124" s="135">
        <v>0.08</v>
      </c>
      <c r="H124" s="417"/>
      <c r="I124" s="506"/>
    </row>
    <row r="125" spans="1:20" outlineLevel="1" x14ac:dyDescent="0.2">
      <c r="B125" s="142" t="s">
        <v>200</v>
      </c>
      <c r="G125" s="135">
        <v>0.5</v>
      </c>
      <c r="H125" s="417"/>
      <c r="I125" s="506"/>
    </row>
    <row r="126" spans="1:20" outlineLevel="1" x14ac:dyDescent="0.2">
      <c r="B126" s="142" t="s">
        <v>201</v>
      </c>
      <c r="G126" s="135">
        <v>0.5</v>
      </c>
      <c r="H126" s="417"/>
      <c r="I126" s="506"/>
    </row>
    <row r="127" spans="1:20" outlineLevel="1" x14ac:dyDescent="0.2">
      <c r="B127" s="142" t="s">
        <v>186</v>
      </c>
      <c r="G127" s="135">
        <v>0.5</v>
      </c>
      <c r="H127" s="417"/>
      <c r="I127" s="506"/>
    </row>
    <row r="128" spans="1:20" outlineLevel="1" x14ac:dyDescent="0.2">
      <c r="B128" s="142" t="s">
        <v>185</v>
      </c>
      <c r="G128" s="135">
        <v>9.7000000000000003E-2</v>
      </c>
      <c r="H128" s="417"/>
      <c r="I128" s="506"/>
    </row>
    <row r="129" spans="2:12" outlineLevel="1" x14ac:dyDescent="0.2">
      <c r="B129" s="142" t="s">
        <v>187</v>
      </c>
      <c r="G129" s="135">
        <v>0.5</v>
      </c>
      <c r="H129" s="417"/>
      <c r="I129" s="506"/>
    </row>
    <row r="130" spans="2:12" outlineLevel="1" x14ac:dyDescent="0.2">
      <c r="B130" s="142" t="s">
        <v>188</v>
      </c>
      <c r="G130" s="135">
        <v>0.08</v>
      </c>
      <c r="H130" s="417"/>
      <c r="I130" s="506"/>
    </row>
    <row r="131" spans="2:12" outlineLevel="1" x14ac:dyDescent="0.2">
      <c r="B131" s="142" t="s">
        <v>199</v>
      </c>
      <c r="G131" s="143">
        <f>IF(G123&gt;0,G129*G130*(1-G123)+(1-G129)*G128,G129*G130+(1-G129)*G128)</f>
        <v>7.2500000000000009E-2</v>
      </c>
      <c r="H131" s="419"/>
      <c r="I131" s="505"/>
    </row>
    <row r="132" spans="2:12" outlineLevel="1" x14ac:dyDescent="0.2">
      <c r="B132" s="142" t="s">
        <v>167</v>
      </c>
      <c r="F132" s="123" t="s">
        <v>191</v>
      </c>
      <c r="G132" s="144">
        <v>0.2</v>
      </c>
      <c r="H132" s="416"/>
      <c r="I132" s="416"/>
    </row>
    <row r="133" spans="2:12" outlineLevel="1" x14ac:dyDescent="0.2">
      <c r="B133" s="126"/>
      <c r="F133" s="123" t="s">
        <v>192</v>
      </c>
      <c r="G133" s="145">
        <v>0.32</v>
      </c>
      <c r="H133" s="382"/>
      <c r="I133" s="382"/>
    </row>
    <row r="134" spans="2:12" outlineLevel="1" x14ac:dyDescent="0.2">
      <c r="F134" s="123" t="s">
        <v>193</v>
      </c>
      <c r="G134" s="145">
        <v>0.192</v>
      </c>
      <c r="H134" s="382"/>
      <c r="I134" s="382"/>
    </row>
    <row r="135" spans="2:12" outlineLevel="1" x14ac:dyDescent="0.2">
      <c r="F135" s="123" t="s">
        <v>194</v>
      </c>
      <c r="G135" s="145">
        <v>0.1152</v>
      </c>
      <c r="H135" s="382"/>
      <c r="I135" s="382"/>
    </row>
    <row r="136" spans="2:12" outlineLevel="1" x14ac:dyDescent="0.2">
      <c r="F136" s="123" t="s">
        <v>195</v>
      </c>
      <c r="G136" s="145">
        <v>0.1152</v>
      </c>
      <c r="H136" s="382"/>
      <c r="I136" s="382"/>
    </row>
    <row r="137" spans="2:12" outlineLevel="1" x14ac:dyDescent="0.2">
      <c r="F137" s="123" t="s">
        <v>196</v>
      </c>
      <c r="G137" s="145">
        <v>5.7599999999999998E-2</v>
      </c>
      <c r="H137" s="382"/>
      <c r="I137" s="382"/>
      <c r="J137" s="139"/>
      <c r="K137" s="139"/>
      <c r="L137" s="139"/>
    </row>
    <row r="138" spans="2:12" outlineLevel="1" x14ac:dyDescent="0.2">
      <c r="B138" s="123" t="s">
        <v>202</v>
      </c>
      <c r="G138" s="136">
        <f>1+(1-G123)*((1+G124)^(0.5)-1)</f>
        <v>1.0235382907247959</v>
      </c>
      <c r="H138" s="123" t="s">
        <v>205</v>
      </c>
    </row>
    <row r="139" spans="2:12" outlineLevel="1" x14ac:dyDescent="0.2">
      <c r="B139" s="123" t="s">
        <v>203</v>
      </c>
      <c r="G139" s="136">
        <f>1+(1-G123)*((1+G124)^(1+0.5)-1)</f>
        <v>1.0734213539827795</v>
      </c>
      <c r="H139" s="123" t="s">
        <v>205</v>
      </c>
    </row>
    <row r="140" spans="2:12" outlineLevel="1" x14ac:dyDescent="0.2">
      <c r="B140" s="123" t="s">
        <v>198</v>
      </c>
      <c r="G140" s="149">
        <f>SUMPRODUCT(G125:G126,G138:G139)</f>
        <v>1.0484798223537877</v>
      </c>
      <c r="H140" s="123"/>
    </row>
    <row r="141" spans="2:12" outlineLevel="1" x14ac:dyDescent="0.2">
      <c r="B141" s="123" t="s">
        <v>206</v>
      </c>
      <c r="G141" s="137">
        <f>-PMT(G131,G120,1)</f>
        <v>9.6234840220136078E-2</v>
      </c>
      <c r="H141" s="123"/>
    </row>
    <row r="142" spans="2:12" outlineLevel="1" x14ac:dyDescent="0.2">
      <c r="B142" s="123" t="s">
        <v>197</v>
      </c>
      <c r="G142" s="146">
        <f>NPV(G131,G132:G137)</f>
        <v>0.82641453990921676</v>
      </c>
      <c r="H142" s="123"/>
    </row>
    <row r="143" spans="2:12" outlineLevel="1" x14ac:dyDescent="0.2">
      <c r="B143" s="123" t="s">
        <v>207</v>
      </c>
      <c r="G143" s="139">
        <f>G140*G141*(1-G123*G142)/(1-G123)</f>
        <v>0.11257683680939656</v>
      </c>
      <c r="H143" s="148" t="s">
        <v>204</v>
      </c>
      <c r="I143" s="148"/>
      <c r="K143" s="148"/>
      <c r="L143" s="148"/>
    </row>
  </sheetData>
  <dataConsolidate/>
  <pageMargins left="0.75" right="0.75" top="1" bottom="1" header="0.5" footer="0.5"/>
  <pageSetup scale="92" orientation="portrait" horizontalDpi="300" verticalDpi="300" r:id="rId1"/>
  <headerFooter alignWithMargins="0"/>
  <colBreaks count="2" manualBreakCount="2">
    <brk id="13" max="1048575" man="1"/>
    <brk id="21" max="1048575" man="1"/>
  </colBreaks>
  <drawing r:id="rId2"/>
  <legacyDrawing r:id="rId3"/>
  <controls>
    <mc:AlternateContent xmlns:mc="http://schemas.openxmlformats.org/markup-compatibility/2006">
      <mc:Choice Requires="x14">
        <control shapeId="29697" r:id="rId4" name="CommandButton1">
          <controlPr locked="0" defaultSize="0" autoLine="0" autoPict="0" r:id="rId5">
            <anchor moveWithCells="1" sizeWithCells="1">
              <from>
                <xdr:col>1</xdr:col>
                <xdr:colOff>38100</xdr:colOff>
                <xdr:row>20</xdr:row>
                <xdr:rowOff>0</xdr:rowOff>
              </from>
              <to>
                <xdr:col>9</xdr:col>
                <xdr:colOff>495300</xdr:colOff>
                <xdr:row>20</xdr:row>
                <xdr:rowOff>0</xdr:rowOff>
              </to>
            </anchor>
          </controlPr>
        </control>
      </mc:Choice>
      <mc:Fallback>
        <control shapeId="29697" r:id="rId4" name="CommandButton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8"/>
  <sheetViews>
    <sheetView zoomScale="70" zoomScaleNormal="70" workbookViewId="0">
      <pane xSplit="8" ySplit="4" topLeftCell="K44" activePane="bottomRight" state="frozen"/>
      <selection activeCell="A3" sqref="A3"/>
      <selection pane="topRight" activeCell="I3" sqref="I3"/>
      <selection pane="bottomLeft" activeCell="A5" sqref="A5"/>
      <selection pane="bottomRight" activeCell="L73" sqref="L73"/>
    </sheetView>
  </sheetViews>
  <sheetFormatPr defaultColWidth="9.140625" defaultRowHeight="15" outlineLevelRow="2" x14ac:dyDescent="0.25"/>
  <cols>
    <col min="1" max="1" width="8.42578125" style="40" customWidth="1"/>
    <col min="2" max="2" width="3.85546875" style="73" customWidth="1"/>
    <col min="3" max="4" width="4.140625" style="73" customWidth="1"/>
    <col min="5" max="7" width="9.140625" style="73"/>
    <col min="8" max="9" width="20.28515625" style="73" customWidth="1"/>
    <col min="10" max="10" width="19.5703125" style="73" bestFit="1" customWidth="1"/>
    <col min="11" max="11" width="10.140625" style="62" customWidth="1"/>
    <col min="12" max="12" width="20.42578125" style="73" bestFit="1" customWidth="1"/>
    <col min="13" max="13" width="10.140625" style="62" customWidth="1"/>
    <col min="14" max="14" width="22.7109375" style="73" bestFit="1" customWidth="1"/>
    <col min="15" max="15" width="11.5703125" style="62" customWidth="1"/>
    <col min="16" max="16" width="20.85546875" style="73" customWidth="1"/>
    <col min="17" max="17" width="11" style="73" customWidth="1"/>
    <col min="18" max="18" width="17.140625" style="73" bestFit="1" customWidth="1"/>
    <col min="19" max="19" width="16.85546875" style="73" bestFit="1" customWidth="1"/>
    <col min="20" max="22" width="13.28515625" style="73" bestFit="1" customWidth="1"/>
    <col min="23" max="16384" width="9.140625" style="73"/>
  </cols>
  <sheetData>
    <row r="1" spans="1:19" ht="21.75" customHeight="1" x14ac:dyDescent="0.25">
      <c r="A1" s="40" t="s">
        <v>209</v>
      </c>
      <c r="J1" s="520">
        <f>J4*'Performance &amp; Economics'!$S$15</f>
        <v>286</v>
      </c>
      <c r="K1" s="520"/>
      <c r="L1" s="520">
        <f>L4*'Performance &amp; Economics'!$S$15</f>
        <v>2860</v>
      </c>
      <c r="M1" s="520"/>
      <c r="N1" s="520">
        <f>N4*'Performance &amp; Economics'!$S$15</f>
        <v>14300</v>
      </c>
      <c r="O1" s="520"/>
      <c r="P1" s="520">
        <f>P4*'Performance &amp; Economics'!$S$15</f>
        <v>28600</v>
      </c>
    </row>
    <row r="2" spans="1:19" ht="27" customHeight="1" x14ac:dyDescent="0.25">
      <c r="A2" s="40" t="s">
        <v>210</v>
      </c>
      <c r="J2" s="59">
        <f>'Performance &amp; Economics'!$S$17</f>
        <v>700.73523459621902</v>
      </c>
      <c r="K2" s="162"/>
      <c r="L2" s="59">
        <f>J2*L4</f>
        <v>7007.3523459621902</v>
      </c>
      <c r="M2" s="162"/>
      <c r="N2" s="59">
        <f>J2*N4</f>
        <v>35036.761729810954</v>
      </c>
      <c r="O2" s="162"/>
      <c r="P2" s="59">
        <f>J2*P4</f>
        <v>70073.523459621909</v>
      </c>
    </row>
    <row r="3" spans="1:19" ht="22.5" customHeight="1" x14ac:dyDescent="0.25">
      <c r="A3" s="3" t="s">
        <v>277</v>
      </c>
      <c r="I3" s="61"/>
      <c r="J3" s="749" t="s">
        <v>66</v>
      </c>
      <c r="K3" s="749"/>
      <c r="L3" s="749"/>
      <c r="M3" s="749"/>
      <c r="N3" s="749"/>
      <c r="O3" s="749"/>
      <c r="P3" s="749"/>
      <c r="Q3" s="61"/>
    </row>
    <row r="4" spans="1:19" ht="24.75" customHeight="1" x14ac:dyDescent="0.25">
      <c r="I4" s="61" t="s">
        <v>112</v>
      </c>
      <c r="J4" s="61">
        <v>1</v>
      </c>
      <c r="K4" s="101" t="s">
        <v>147</v>
      </c>
      <c r="L4" s="61">
        <v>10</v>
      </c>
      <c r="M4" s="101" t="s">
        <v>147</v>
      </c>
      <c r="N4" s="61">
        <v>50</v>
      </c>
      <c r="O4" s="101" t="s">
        <v>148</v>
      </c>
      <c r="P4" s="61">
        <v>100</v>
      </c>
      <c r="Q4" s="101" t="s">
        <v>148</v>
      </c>
      <c r="R4" s="61"/>
      <c r="S4" s="74"/>
    </row>
    <row r="5" spans="1:19" s="62" customFormat="1" outlineLevel="1" x14ac:dyDescent="0.25">
      <c r="A5" s="74">
        <v>1</v>
      </c>
      <c r="B5" s="488" t="s">
        <v>0</v>
      </c>
      <c r="C5" s="488"/>
      <c r="D5" s="488"/>
      <c r="E5" s="488"/>
      <c r="F5" s="488"/>
      <c r="G5" s="488"/>
      <c r="H5" s="488"/>
      <c r="I5" s="80"/>
      <c r="J5" s="164"/>
      <c r="K5" s="94"/>
      <c r="L5" s="164"/>
      <c r="M5" s="94"/>
      <c r="N5" s="164"/>
      <c r="O5" s="94"/>
      <c r="P5" s="164"/>
      <c r="Q5" s="95"/>
      <c r="R5" s="93"/>
      <c r="S5" s="93"/>
    </row>
    <row r="6" spans="1:19" s="488" customFormat="1" outlineLevel="2" x14ac:dyDescent="0.25">
      <c r="A6" s="74">
        <v>1.1000000000000001</v>
      </c>
      <c r="C6" s="488" t="s">
        <v>101</v>
      </c>
      <c r="I6" s="83"/>
      <c r="J6" s="704">
        <f>('CBS (Total)'!J4*'Performance &amp; Economics'!$G$143)/'CBS (CoE)'!J$2/10</f>
        <v>73.152618824130073</v>
      </c>
      <c r="K6" s="697">
        <f t="shared" ref="K6:K35" si="0">J6/$J$56</f>
        <v>0.26041689758480463</v>
      </c>
      <c r="L6" s="704">
        <f>('CBS (Total)'!L4*'Performance &amp; Economics'!$G$143)/'CBS (CoE)'!L$2/10</f>
        <v>14.095594212262061</v>
      </c>
      <c r="M6" s="697">
        <f t="shared" ref="M6:M35" si="1">L6/$L$56</f>
        <v>0.14342719651329047</v>
      </c>
      <c r="N6" s="704">
        <f>('CBS (Total)'!N4*'Performance &amp; Economics'!$G$143)/'CBS (CoE)'!N$2/10</f>
        <v>3.5354318802450253</v>
      </c>
      <c r="O6" s="697">
        <f t="shared" ref="O6:O35" si="2">N6/$N$56</f>
        <v>5.3130037114327067E-2</v>
      </c>
      <c r="P6" s="704">
        <f>('CBS (Total)'!P4*'Performance &amp; Economics'!$G$143)/'CBS (CoE)'!P$2/10</f>
        <v>1.7383000350521189</v>
      </c>
      <c r="Q6" s="700">
        <f t="shared" ref="Q6:Q35" si="3">P6/$P$56</f>
        <v>2.7758390895052016E-2</v>
      </c>
    </row>
    <row r="7" spans="1:19" s="62" customFormat="1" outlineLevel="2" x14ac:dyDescent="0.25">
      <c r="A7" s="438" t="s">
        <v>2</v>
      </c>
      <c r="B7" s="547"/>
      <c r="C7" s="547"/>
      <c r="D7" s="547" t="s">
        <v>1</v>
      </c>
      <c r="E7" s="547"/>
      <c r="F7" s="547"/>
      <c r="G7" s="547"/>
      <c r="H7" s="547"/>
      <c r="I7" s="80"/>
      <c r="J7" s="720">
        <f>('CBS (Total)'!J5*'Performance &amp; Economics'!$G$143)/'CBS (CoE)'!J$2/10</f>
        <v>57.876075667801082</v>
      </c>
      <c r="K7" s="712">
        <f t="shared" si="0"/>
        <v>0.20603374577781416</v>
      </c>
      <c r="L7" s="720">
        <f>('CBS (Total)'!L5*'Performance &amp; Economics'!$G$143)/'CBS (CoE)'!L$2/10</f>
        <v>11.020954311758929</v>
      </c>
      <c r="M7" s="712">
        <f t="shared" si="1"/>
        <v>0.11214174840969493</v>
      </c>
      <c r="N7" s="720">
        <f>('CBS (Total)'!N5*'Performance &amp; Economics'!$G$143)/'CBS (CoE)'!N$2/10</f>
        <v>2.2547972852119029</v>
      </c>
      <c r="O7" s="712">
        <f t="shared" si="2"/>
        <v>3.3884817331083658E-2</v>
      </c>
      <c r="P7" s="720">
        <f>('CBS (Total)'!P5*'Performance &amp; Economics'!$G$143)/'CBS (CoE)'!P$2/10</f>
        <v>1.1273986426059515</v>
      </c>
      <c r="Q7" s="713">
        <f t="shared" si="3"/>
        <v>1.8003090136892705E-2</v>
      </c>
      <c r="R7" s="93"/>
    </row>
    <row r="8" spans="1:19" s="62" customFormat="1" outlineLevel="2" x14ac:dyDescent="0.25">
      <c r="A8" s="438" t="s">
        <v>102</v>
      </c>
      <c r="B8" s="547"/>
      <c r="C8" s="547"/>
      <c r="D8" s="547"/>
      <c r="E8" s="547" t="s">
        <v>3</v>
      </c>
      <c r="F8" s="547"/>
      <c r="G8" s="547"/>
      <c r="H8" s="547"/>
      <c r="I8" s="80"/>
      <c r="J8" s="720">
        <f>('CBS (Total)'!J6*'Performance &amp; Economics'!$G$143)/'CBS (CoE)'!J$2/10</f>
        <v>5.3819529073458323</v>
      </c>
      <c r="K8" s="712">
        <f t="shared" si="0"/>
        <v>1.9159279621254056E-2</v>
      </c>
      <c r="L8" s="720">
        <f>('CBS (Total)'!L6*'Performance &amp; Economics'!$G$143)/'CBS (CoE)'!L$2/10</f>
        <v>0.68278507033491898</v>
      </c>
      <c r="M8" s="712">
        <f t="shared" si="1"/>
        <v>6.9475572994344512E-3</v>
      </c>
      <c r="N8" s="720">
        <f>('CBS (Total)'!N6*'Performance &amp; Economics'!$G$143)/'CBS (CoE)'!N$2/10</f>
        <v>0.13655701406698378</v>
      </c>
      <c r="O8" s="712">
        <f t="shared" si="2"/>
        <v>2.0521620756267264E-3</v>
      </c>
      <c r="P8" s="720">
        <f>('CBS (Total)'!P6*'Performance &amp; Economics'!$G$143)/'CBS (CoE)'!P$2/10</f>
        <v>6.8278507033491892E-2</v>
      </c>
      <c r="Q8" s="713">
        <f t="shared" si="3"/>
        <v>1.09031896090907E-3</v>
      </c>
    </row>
    <row r="9" spans="1:19" s="62" customFormat="1" outlineLevel="2" x14ac:dyDescent="0.25">
      <c r="A9" s="438" t="s">
        <v>103</v>
      </c>
      <c r="B9" s="547"/>
      <c r="C9" s="547"/>
      <c r="D9" s="547"/>
      <c r="E9" s="547" t="s">
        <v>5</v>
      </c>
      <c r="F9" s="547"/>
      <c r="G9" s="547"/>
      <c r="H9" s="547"/>
      <c r="I9" s="80"/>
      <c r="J9" s="720">
        <f>('CBS (Total)'!J7*'Performance &amp; Economics'!$G$143)/'CBS (CoE)'!J$2/10</f>
        <v>26.226979466394244</v>
      </c>
      <c r="K9" s="712">
        <f t="shared" si="0"/>
        <v>9.3365743228947015E-2</v>
      </c>
      <c r="L9" s="720">
        <f>('CBS (Total)'!L7*'Performance &amp; Economics'!$G$143)/'CBS (CoE)'!L$2/10</f>
        <v>4.5786763540106339</v>
      </c>
      <c r="M9" s="712">
        <f t="shared" si="1"/>
        <v>4.6589501890325152E-2</v>
      </c>
      <c r="N9" s="720">
        <f>('CBS (Total)'!N7*'Performance &amp; Economics'!$G$143)/'CBS (CoE)'!N$2/10</f>
        <v>0.89404680386207624</v>
      </c>
      <c r="O9" s="712">
        <f t="shared" si="2"/>
        <v>1.3435625824544392E-2</v>
      </c>
      <c r="P9" s="720">
        <f>('CBS (Total)'!P7*'Performance &amp; Economics'!$G$143)/'CBS (CoE)'!P$2/10</f>
        <v>0.44702340193103812</v>
      </c>
      <c r="Q9" s="713">
        <f t="shared" si="3"/>
        <v>7.1383823734811475E-3</v>
      </c>
    </row>
    <row r="10" spans="1:19" s="62" customFormat="1" outlineLevel="1" x14ac:dyDescent="0.25">
      <c r="A10" s="438" t="s">
        <v>104</v>
      </c>
      <c r="B10" s="547"/>
      <c r="C10" s="547"/>
      <c r="D10" s="547"/>
      <c r="E10" s="547" t="s">
        <v>7</v>
      </c>
      <c r="F10" s="547"/>
      <c r="G10" s="547"/>
      <c r="H10" s="547"/>
      <c r="I10" s="80"/>
      <c r="J10" s="720">
        <f>('CBS (Total)'!J8*'Performance &amp; Economics'!$G$143)/'CBS (CoE)'!J$2/10</f>
        <v>11.406527057359824</v>
      </c>
      <c r="K10" s="712">
        <f t="shared" si="0"/>
        <v>4.0606234421165316E-2</v>
      </c>
      <c r="L10" s="720">
        <f>('CBS (Total)'!L8*'Performance &amp; Economics'!$G$143)/'CBS (CoE)'!L$2/10</f>
        <v>3.646875552141803</v>
      </c>
      <c r="M10" s="712">
        <f t="shared" si="1"/>
        <v>3.710812957580284E-2</v>
      </c>
      <c r="N10" s="720">
        <f>('CBS (Total)'!N8*'Performance &amp; Economics'!$G$143)/'CBS (CoE)'!N$2/10</f>
        <v>0.72937511042836056</v>
      </c>
      <c r="O10" s="712">
        <f t="shared" si="2"/>
        <v>1.0960959792170988E-2</v>
      </c>
      <c r="P10" s="720">
        <f>('CBS (Total)'!P8*'Performance &amp; Economics'!$G$143)/'CBS (CoE)'!P$2/10</f>
        <v>0.36468755521418028</v>
      </c>
      <c r="Q10" s="713">
        <f t="shared" si="3"/>
        <v>5.8235859794437397E-3</v>
      </c>
    </row>
    <row r="11" spans="1:19" s="62" customFormat="1" outlineLevel="1" x14ac:dyDescent="0.25">
      <c r="A11" s="438" t="s">
        <v>105</v>
      </c>
      <c r="B11" s="547"/>
      <c r="C11" s="547"/>
      <c r="D11" s="547"/>
      <c r="E11" s="547" t="s">
        <v>8</v>
      </c>
      <c r="F11" s="547"/>
      <c r="G11" s="547"/>
      <c r="H11" s="547"/>
      <c r="I11" s="80"/>
      <c r="J11" s="720">
        <f>('CBS (Total)'!J9*'Performance &amp; Economics'!$G$143)/'CBS (CoE)'!J$2/10</f>
        <v>14.86061623670118</v>
      </c>
      <c r="K11" s="712">
        <f t="shared" si="0"/>
        <v>5.290248850644777E-2</v>
      </c>
      <c r="L11" s="720">
        <f>('CBS (Total)'!L9*'Performance &amp; Economics'!$G$143)/'CBS (CoE)'!L$2/10</f>
        <v>2.1126173352715734</v>
      </c>
      <c r="M11" s="712">
        <f t="shared" si="1"/>
        <v>2.1496559644132485E-2</v>
      </c>
      <c r="N11" s="720">
        <f>('CBS (Total)'!N9*'Performance &amp; Economics'!$G$143)/'CBS (CoE)'!N$2/10</f>
        <v>0.4948183568544825</v>
      </c>
      <c r="O11" s="712">
        <f t="shared" si="2"/>
        <v>7.4360696387415519E-3</v>
      </c>
      <c r="P11" s="720">
        <f>('CBS (Total)'!P9*'Performance &amp; Economics'!$G$143)/'CBS (CoE)'!P$2/10</f>
        <v>0.24740917842724125</v>
      </c>
      <c r="Q11" s="713">
        <f t="shared" si="3"/>
        <v>3.9508028230587485E-3</v>
      </c>
    </row>
    <row r="12" spans="1:19" s="61" customFormat="1" x14ac:dyDescent="0.25">
      <c r="A12" s="438" t="s">
        <v>4</v>
      </c>
      <c r="B12" s="547"/>
      <c r="C12" s="547"/>
      <c r="D12" s="547" t="s">
        <v>106</v>
      </c>
      <c r="E12" s="547"/>
      <c r="F12" s="547"/>
      <c r="G12" s="547"/>
      <c r="H12" s="547"/>
      <c r="I12" s="83"/>
      <c r="J12" s="720">
        <f>('CBS (Total)'!J10*'Performance &amp; Economics'!$G$143)/'CBS (CoE)'!J$2/10</f>
        <v>3.1161186022911034</v>
      </c>
      <c r="K12" s="712">
        <f t="shared" si="0"/>
        <v>1.1093108516947165E-2</v>
      </c>
      <c r="L12" s="720">
        <f>('CBS (Total)'!L10*'Performance &amp; Economics'!$G$143)/'CBS (CoE)'!L$2/10</f>
        <v>0.4724246131006038</v>
      </c>
      <c r="M12" s="712">
        <f t="shared" si="1"/>
        <v>4.807072110656457E-3</v>
      </c>
      <c r="N12" s="720">
        <f>('CBS (Total)'!N10*'Performance &amp; Economics'!$G$143)/'CBS (CoE)'!N$2/10</f>
        <v>9.4484922620120745E-2</v>
      </c>
      <c r="O12" s="712">
        <f t="shared" si="2"/>
        <v>1.4199078402844019E-3</v>
      </c>
      <c r="P12" s="720">
        <f>('CBS (Total)'!P10*'Performance &amp; Economics'!$G$143)/'CBS (CoE)'!P$2/10</f>
        <v>4.7242461310060373E-2</v>
      </c>
      <c r="Q12" s="713">
        <f t="shared" si="3"/>
        <v>7.544006681503107E-4</v>
      </c>
    </row>
    <row r="13" spans="1:19" s="62" customFormat="1" outlineLevel="1" x14ac:dyDescent="0.25">
      <c r="A13" s="438" t="s">
        <v>6</v>
      </c>
      <c r="B13" s="547"/>
      <c r="C13" s="547"/>
      <c r="D13" s="547" t="s">
        <v>163</v>
      </c>
      <c r="E13" s="547"/>
      <c r="F13" s="547"/>
      <c r="G13" s="547"/>
      <c r="H13" s="547"/>
      <c r="I13" s="80"/>
      <c r="J13" s="720">
        <f>('CBS (Total)'!J11*'Performance &amp; Economics'!$G$143)/'CBS (CoE)'!J$2/10</f>
        <v>12.160424554037883</v>
      </c>
      <c r="K13" s="712">
        <f t="shared" si="0"/>
        <v>4.3290043290043295E-2</v>
      </c>
      <c r="L13" s="720">
        <f>('CBS (Total)'!L11*'Performance &amp; Economics'!$G$143)/'CBS (CoE)'!L$2/10</f>
        <v>2.6022152874025282</v>
      </c>
      <c r="M13" s="712">
        <f t="shared" si="1"/>
        <v>2.6478375992939101E-2</v>
      </c>
      <c r="N13" s="720">
        <f>('CBS (Total)'!N11*'Performance &amp; Economics'!$G$143)/'CBS (CoE)'!N$2/10</f>
        <v>1.186149672413001</v>
      </c>
      <c r="O13" s="712">
        <f t="shared" si="2"/>
        <v>1.7825311942958996E-2</v>
      </c>
      <c r="P13" s="720">
        <f>('CBS (Total)'!P11*'Performance &amp; Economics'!$G$143)/'CBS (CoE)'!P$2/10</f>
        <v>0.5636589311361071</v>
      </c>
      <c r="Q13" s="713">
        <f t="shared" si="3"/>
        <v>9.0009000900090012E-3</v>
      </c>
    </row>
    <row r="14" spans="1:19" s="488" customFormat="1" outlineLevel="1" x14ac:dyDescent="0.25">
      <c r="A14" s="74">
        <v>1.2</v>
      </c>
      <c r="C14" s="488" t="s">
        <v>10</v>
      </c>
      <c r="I14" s="83"/>
      <c r="J14" s="719">
        <f>('CBS (Total)'!J12*'Performance &amp; Economics'!$G$143)/'CBS (CoE)'!J$2/10</f>
        <v>15.904875756036938</v>
      </c>
      <c r="K14" s="90">
        <f t="shared" si="0"/>
        <v>5.6619960671765723E-2</v>
      </c>
      <c r="L14" s="719">
        <f>('CBS (Total)'!L12*'Performance &amp; Economics'!$G$143)/'CBS (CoE)'!L$2/10</f>
        <v>7.807848098418134</v>
      </c>
      <c r="M14" s="709">
        <f t="shared" si="1"/>
        <v>7.9447361118238691E-2</v>
      </c>
      <c r="N14" s="719">
        <f>('CBS (Total)'!N12*'Performance &amp; Economics'!$G$143)/'CBS (CoE)'!N$2/10</f>
        <v>2.4310361610136457</v>
      </c>
      <c r="O14" s="709">
        <f t="shared" si="2"/>
        <v>3.6533313562804273E-2</v>
      </c>
      <c r="P14" s="719">
        <f>('CBS (Total)'!P12*'Performance &amp; Economics'!$G$143)/'CBS (CoE)'!P$2/10</f>
        <v>2.7809434276464584</v>
      </c>
      <c r="Q14" s="714">
        <f t="shared" si="3"/>
        <v>4.4408049913731776E-2</v>
      </c>
    </row>
    <row r="15" spans="1:19" s="62" customFormat="1" outlineLevel="1" x14ac:dyDescent="0.25">
      <c r="A15" s="438" t="s">
        <v>9</v>
      </c>
      <c r="B15" s="547"/>
      <c r="C15" s="547"/>
      <c r="D15" s="547" t="s">
        <v>12</v>
      </c>
      <c r="E15" s="547"/>
      <c r="F15" s="547"/>
      <c r="G15" s="547"/>
      <c r="H15" s="547"/>
      <c r="I15" s="80"/>
      <c r="J15" s="720">
        <f>('CBS (Total)'!J13*'Performance &amp; Economics'!$G$143)/'CBS (CoE)'!J$2/10</f>
        <v>14.458977960033579</v>
      </c>
      <c r="K15" s="712">
        <f t="shared" si="0"/>
        <v>5.1472691519787013E-2</v>
      </c>
      <c r="L15" s="720">
        <f>('CBS (Total)'!L13*'Performance &amp; Economics'!$G$143)/'CBS (CoE)'!L$2/10</f>
        <v>1.4458977960033579</v>
      </c>
      <c r="M15" s="712">
        <f t="shared" si="1"/>
        <v>1.4712474281155311E-2</v>
      </c>
      <c r="N15" s="720">
        <f>('CBS (Total)'!N13*'Performance &amp; Economics'!$G$143)/'CBS (CoE)'!N$2/10</f>
        <v>1.0796036876825073</v>
      </c>
      <c r="O15" s="712">
        <f t="shared" si="2"/>
        <v>1.6224151939072475E-2</v>
      </c>
      <c r="P15" s="720">
        <f>('CBS (Total)'!P13*'Performance &amp; Economics'!$G$143)/'CBS (CoE)'!P$2/10</f>
        <v>1.3977012028032461</v>
      </c>
      <c r="Q15" s="713">
        <f t="shared" si="3"/>
        <v>2.2319470493903322E-2</v>
      </c>
    </row>
    <row r="16" spans="1:19" s="62" customFormat="1" outlineLevel="1" x14ac:dyDescent="0.25">
      <c r="A16" s="438" t="s">
        <v>11</v>
      </c>
      <c r="B16" s="547"/>
      <c r="C16" s="547"/>
      <c r="D16" s="547" t="s">
        <v>151</v>
      </c>
      <c r="E16" s="547"/>
      <c r="F16" s="547"/>
      <c r="G16" s="547"/>
      <c r="H16" s="547"/>
      <c r="I16" s="80"/>
      <c r="J16" s="720">
        <f>('CBS (Total)'!J14*'Performance &amp; Economics'!$G$143)/'CBS (CoE)'!J$2/10</f>
        <v>1.4458977960033581</v>
      </c>
      <c r="K16" s="712">
        <f t="shared" si="0"/>
        <v>5.1472691519787025E-3</v>
      </c>
      <c r="L16" s="720">
        <f>('CBS (Total)'!L14*'Performance &amp; Economics'!$G$143)/'CBS (CoE)'!L$2/10</f>
        <v>0.14458977960033581</v>
      </c>
      <c r="M16" s="712">
        <f t="shared" si="1"/>
        <v>1.4712474281155313E-3</v>
      </c>
      <c r="N16" s="720">
        <f>('CBS (Total)'!N14*'Performance &amp; Economics'!$G$143)/'CBS (CoE)'!N$2/10</f>
        <v>0.10796036876825073</v>
      </c>
      <c r="O16" s="712">
        <f t="shared" si="2"/>
        <v>1.6224151939072476E-3</v>
      </c>
      <c r="P16" s="720">
        <f>('CBS (Total)'!P14*'Performance &amp; Economics'!$G$143)/'CBS (CoE)'!P$2/10</f>
        <v>0.13977012028032459</v>
      </c>
      <c r="Q16" s="713">
        <f t="shared" si="3"/>
        <v>2.2319470493903319E-3</v>
      </c>
    </row>
    <row r="17" spans="1:27" s="62" customFormat="1" outlineLevel="1" x14ac:dyDescent="0.25">
      <c r="A17" s="438" t="s">
        <v>13</v>
      </c>
      <c r="B17" s="547"/>
      <c r="C17" s="547"/>
      <c r="D17" s="547" t="s">
        <v>14</v>
      </c>
      <c r="E17" s="547"/>
      <c r="F17" s="547"/>
      <c r="G17" s="547"/>
      <c r="H17" s="547"/>
      <c r="I17" s="80"/>
      <c r="J17" s="720">
        <f>('CBS (Total)'!J15*'Performance &amp; Economics'!$G$143)/'CBS (CoE)'!J$2/10</f>
        <v>0</v>
      </c>
      <c r="K17" s="712">
        <f t="shared" si="0"/>
        <v>0</v>
      </c>
      <c r="L17" s="720">
        <f>('CBS (Total)'!L15*'Performance &amp; Economics'!$G$143)/'CBS (CoE)'!L$2/10</f>
        <v>0</v>
      </c>
      <c r="M17" s="712">
        <f t="shared" si="1"/>
        <v>0</v>
      </c>
      <c r="N17" s="720">
        <f>('CBS (Total)'!N15*'Performance &amp; Economics'!$G$143)/'CBS (CoE)'!N$2/10</f>
        <v>0</v>
      </c>
      <c r="O17" s="712">
        <f t="shared" si="2"/>
        <v>0</v>
      </c>
      <c r="P17" s="720">
        <f>('CBS (Total)'!P15*'Performance &amp; Economics'!$G$143)/'CBS (CoE)'!P$2/10</f>
        <v>0</v>
      </c>
      <c r="Q17" s="713">
        <f t="shared" si="3"/>
        <v>0</v>
      </c>
    </row>
    <row r="18" spans="1:27" s="61" customFormat="1" x14ac:dyDescent="0.25">
      <c r="A18" s="438" t="s">
        <v>15</v>
      </c>
      <c r="B18" s="547"/>
      <c r="C18" s="547"/>
      <c r="D18" s="547" t="s">
        <v>59</v>
      </c>
      <c r="E18" s="547"/>
      <c r="F18" s="547"/>
      <c r="G18" s="547"/>
      <c r="H18" s="547"/>
      <c r="I18" s="83"/>
      <c r="J18" s="720">
        <f>('CBS (Total)'!J16*'Performance &amp; Economics'!$G$143)/'CBS (CoE)'!J$2/10</f>
        <v>0</v>
      </c>
      <c r="K18" s="712">
        <f t="shared" si="0"/>
        <v>0</v>
      </c>
      <c r="L18" s="720">
        <f>('CBS (Total)'!L16*'Performance &amp; Economics'!$G$143)/'CBS (CoE)'!L$2/10</f>
        <v>6.2173605228144391</v>
      </c>
      <c r="M18" s="712">
        <f t="shared" si="1"/>
        <v>6.3263639408967828E-2</v>
      </c>
      <c r="N18" s="720">
        <f>('CBS (Total)'!N16*'Performance &amp; Economics'!$G$143)/'CBS (CoE)'!N$2/10</f>
        <v>1.2434721045628876</v>
      </c>
      <c r="O18" s="712">
        <f t="shared" si="2"/>
        <v>1.8686746429824545E-2</v>
      </c>
      <c r="P18" s="720">
        <f>('CBS (Total)'!P16*'Performance &amp; Economics'!$G$143)/'CBS (CoE)'!P$2/10</f>
        <v>1.2434721045628876</v>
      </c>
      <c r="Q18" s="713">
        <f t="shared" si="3"/>
        <v>1.9856632370438124E-2</v>
      </c>
    </row>
    <row r="19" spans="1:27" s="62" customFormat="1" outlineLevel="1" x14ac:dyDescent="0.25">
      <c r="A19" s="438" t="s">
        <v>16</v>
      </c>
      <c r="B19" s="547"/>
      <c r="C19" s="547"/>
      <c r="D19" s="547" t="s">
        <v>17</v>
      </c>
      <c r="E19" s="547"/>
      <c r="F19" s="547"/>
      <c r="G19" s="547"/>
      <c r="H19" s="547"/>
      <c r="I19" s="80"/>
      <c r="J19" s="720">
        <f>('CBS (Total)'!J17*'Performance &amp; Economics'!$G$143)/'CBS (CoE)'!J$2/10</f>
        <v>0</v>
      </c>
      <c r="K19" s="712">
        <f t="shared" si="0"/>
        <v>0</v>
      </c>
      <c r="L19" s="720">
        <f>('CBS (Total)'!L17*'Performance &amp; Economics'!$G$143)/'CBS (CoE)'!L$2/10</f>
        <v>0</v>
      </c>
      <c r="M19" s="712">
        <f t="shared" si="1"/>
        <v>0</v>
      </c>
      <c r="N19" s="720">
        <f>('CBS (Total)'!N17*'Performance &amp; Economics'!$G$143)/'CBS (CoE)'!N$2/10</f>
        <v>0</v>
      </c>
      <c r="O19" s="712">
        <f t="shared" si="2"/>
        <v>0</v>
      </c>
      <c r="P19" s="720">
        <f>('CBS (Total)'!P17*'Performance &amp; Economics'!$G$143)/'CBS (CoE)'!P$2/10</f>
        <v>0</v>
      </c>
      <c r="Q19" s="713">
        <f t="shared" si="3"/>
        <v>0</v>
      </c>
    </row>
    <row r="20" spans="1:27" s="488" customFormat="1" outlineLevel="1" x14ac:dyDescent="0.25">
      <c r="A20" s="74">
        <v>1.3</v>
      </c>
      <c r="C20" s="488" t="s">
        <v>18</v>
      </c>
      <c r="I20" s="83"/>
      <c r="J20" s="719">
        <f>('CBS (Total)'!J18*'Performance &amp; Economics'!$G$143)/'CBS (CoE)'!J$2/10</f>
        <v>8.430789065529579</v>
      </c>
      <c r="K20" s="90">
        <f t="shared" si="0"/>
        <v>3.0012868546995811E-2</v>
      </c>
      <c r="L20" s="719">
        <f>('CBS (Total)'!L18*'Performance &amp; Economics'!$G$143)/'CBS (CoE)'!L$2/10</f>
        <v>7.5877101589766216</v>
      </c>
      <c r="M20" s="709">
        <f t="shared" si="1"/>
        <v>7.7207386908932779E-2</v>
      </c>
      <c r="N20" s="719">
        <f>('CBS (Total)'!N18*'Performance &amp; Economics'!$G$143)/'CBS (CoE)'!N$2/10</f>
        <v>7.5877101589766198</v>
      </c>
      <c r="O20" s="709">
        <f t="shared" si="2"/>
        <v>0.11402717857803692</v>
      </c>
      <c r="P20" s="719">
        <f>('CBS (Total)'!P18*'Performance &amp; Economics'!$G$143)/'CBS (CoE)'!P$2/10</f>
        <v>7.5877101589766198</v>
      </c>
      <c r="Q20" s="714">
        <f t="shared" si="3"/>
        <v>0.12116586339763565</v>
      </c>
    </row>
    <row r="21" spans="1:27" s="62" customFormat="1" outlineLevel="1" x14ac:dyDescent="0.25">
      <c r="A21" s="438" t="s">
        <v>19</v>
      </c>
      <c r="B21" s="547"/>
      <c r="C21" s="547"/>
      <c r="D21" s="547" t="s">
        <v>20</v>
      </c>
      <c r="E21" s="547"/>
      <c r="F21" s="547"/>
      <c r="G21" s="547"/>
      <c r="H21" s="547"/>
      <c r="I21" s="80"/>
      <c r="J21" s="720">
        <f>('CBS (Total)'!J19*'Performance &amp; Economics'!$G$143)/'CBS (CoE)'!J$2/10</f>
        <v>2.9315577813968083</v>
      </c>
      <c r="K21" s="712">
        <f t="shared" si="0"/>
        <v>1.0436088205636818E-2</v>
      </c>
      <c r="L21" s="720">
        <f>('CBS (Total)'!L19*'Performance &amp; Economics'!$G$143)/'CBS (CoE)'!L$2/10</f>
        <v>2.6384020032571276</v>
      </c>
      <c r="M21" s="712">
        <f t="shared" si="1"/>
        <v>2.6846587444538154E-2</v>
      </c>
      <c r="N21" s="720">
        <f>('CBS (Total)'!N19*'Performance &amp; Economics'!$G$143)/'CBS (CoE)'!N$2/10</f>
        <v>2.6384020032571271</v>
      </c>
      <c r="O21" s="712">
        <f t="shared" si="2"/>
        <v>3.9649582032351562E-2</v>
      </c>
      <c r="P21" s="720">
        <f>('CBS (Total)'!P19*'Performance &amp; Economics'!$G$143)/'CBS (CoE)'!P$2/10</f>
        <v>2.6384020032571271</v>
      </c>
      <c r="Q21" s="713">
        <f t="shared" si="3"/>
        <v>4.2131848741810425E-2</v>
      </c>
    </row>
    <row r="22" spans="1:27" s="62" customFormat="1" outlineLevel="1" x14ac:dyDescent="0.25">
      <c r="A22" s="438" t="s">
        <v>21</v>
      </c>
      <c r="B22" s="547"/>
      <c r="C22" s="547"/>
      <c r="D22" s="547" t="s">
        <v>22</v>
      </c>
      <c r="E22" s="547"/>
      <c r="F22" s="547"/>
      <c r="G22" s="547"/>
      <c r="H22" s="547"/>
      <c r="I22" s="80"/>
      <c r="J22" s="720">
        <f>('CBS (Total)'!J20*'Performance &amp; Economics'!$G$143)/'CBS (CoE)'!J$2/10</f>
        <v>2.8917955920067162</v>
      </c>
      <c r="K22" s="712">
        <f t="shared" si="0"/>
        <v>1.0294538303957405E-2</v>
      </c>
      <c r="L22" s="720">
        <f>('CBS (Total)'!L20*'Performance &amp; Economics'!$G$143)/'CBS (CoE)'!L$2/10</f>
        <v>2.6026160328060444</v>
      </c>
      <c r="M22" s="712">
        <f t="shared" si="1"/>
        <v>2.6482453706079559E-2</v>
      </c>
      <c r="N22" s="720">
        <f>('CBS (Total)'!N20*'Performance &amp; Economics'!$G$143)/'CBS (CoE)'!N$2/10</f>
        <v>2.6026160328060444</v>
      </c>
      <c r="O22" s="712">
        <f t="shared" si="2"/>
        <v>3.9111794853121148E-2</v>
      </c>
      <c r="P22" s="720">
        <f>('CBS (Total)'!P20*'Performance &amp; Economics'!$G$143)/'CBS (CoE)'!P$2/10</f>
        <v>2.6026160328060444</v>
      </c>
      <c r="Q22" s="713">
        <f t="shared" si="3"/>
        <v>4.1560393333475151E-2</v>
      </c>
      <c r="R22" s="107"/>
    </row>
    <row r="23" spans="1:27" s="62" customFormat="1" outlineLevel="1" x14ac:dyDescent="0.25">
      <c r="A23" s="438" t="s">
        <v>23</v>
      </c>
      <c r="B23" s="547"/>
      <c r="C23" s="547"/>
      <c r="D23" s="547" t="s">
        <v>401</v>
      </c>
      <c r="E23" s="547"/>
      <c r="F23" s="547"/>
      <c r="G23" s="547"/>
      <c r="H23" s="547"/>
      <c r="I23" s="80"/>
      <c r="J23" s="720">
        <f>('CBS (Total)'!J21*'Performance &amp; Economics'!$G$143)/'CBS (CoE)'!J$2/10</f>
        <v>0.96393186400223863</v>
      </c>
      <c r="K23" s="712">
        <f t="shared" si="0"/>
        <v>3.4315127679858011E-3</v>
      </c>
      <c r="L23" s="720">
        <f>('CBS (Total)'!L21*'Performance &amp; Economics'!$G$143)/'CBS (CoE)'!L$2/10</f>
        <v>0.86753867760201475</v>
      </c>
      <c r="M23" s="712">
        <f t="shared" si="1"/>
        <v>8.8274845686931863E-3</v>
      </c>
      <c r="N23" s="720">
        <f>('CBS (Total)'!N21*'Performance &amp; Economics'!$G$143)/'CBS (CoE)'!N$2/10</f>
        <v>0.86753867760201475</v>
      </c>
      <c r="O23" s="712">
        <f t="shared" si="2"/>
        <v>1.3037264951040382E-2</v>
      </c>
      <c r="P23" s="720">
        <f>('CBS (Total)'!P21*'Performance &amp; Economics'!$G$143)/'CBS (CoE)'!P$2/10</f>
        <v>0.86753867760201475</v>
      </c>
      <c r="Q23" s="713">
        <f t="shared" si="3"/>
        <v>1.3853464444491715E-2</v>
      </c>
      <c r="R23" s="93"/>
      <c r="S23" s="93"/>
      <c r="T23" s="93"/>
      <c r="U23" s="93"/>
    </row>
    <row r="24" spans="1:27" s="61" customFormat="1" x14ac:dyDescent="0.25">
      <c r="A24" s="438" t="s">
        <v>24</v>
      </c>
      <c r="B24" s="547"/>
      <c r="C24" s="547"/>
      <c r="D24" s="547" t="s">
        <v>25</v>
      </c>
      <c r="E24" s="547"/>
      <c r="F24" s="547"/>
      <c r="G24" s="547"/>
      <c r="H24" s="547"/>
      <c r="J24" s="720">
        <f>('CBS (Total)'!J22*'Performance &amp; Economics'!$G$143)/'CBS (CoE)'!J$2/10</f>
        <v>1.6435038281238168</v>
      </c>
      <c r="K24" s="712">
        <f t="shared" si="0"/>
        <v>5.8507292694157907E-3</v>
      </c>
      <c r="L24" s="720">
        <f>('CBS (Total)'!L22*'Performance &amp; Economics'!$G$143)/'CBS (CoE)'!L$2/10</f>
        <v>1.4791534453114352</v>
      </c>
      <c r="M24" s="712">
        <f t="shared" si="1"/>
        <v>1.5050861189621883E-2</v>
      </c>
      <c r="N24" s="720">
        <f>('CBS (Total)'!N22*'Performance &amp; Economics'!$G$143)/'CBS (CoE)'!N$2/10</f>
        <v>1.479153445311435</v>
      </c>
      <c r="O24" s="712">
        <f t="shared" si="2"/>
        <v>2.2228536741523849E-2</v>
      </c>
      <c r="P24" s="720">
        <f>('CBS (Total)'!P22*'Performance &amp; Economics'!$G$143)/'CBS (CoE)'!P$2/10</f>
        <v>1.479153445311435</v>
      </c>
      <c r="Q24" s="713">
        <f t="shared" si="3"/>
        <v>2.3620156877858373E-2</v>
      </c>
      <c r="R24" s="99"/>
      <c r="S24" s="99"/>
      <c r="T24" s="99"/>
      <c r="U24" s="99"/>
      <c r="V24" s="100"/>
      <c r="W24" s="99"/>
      <c r="X24" s="99"/>
      <c r="Y24" s="99"/>
    </row>
    <row r="25" spans="1:27" s="62" customFormat="1" outlineLevel="1" x14ac:dyDescent="0.25">
      <c r="A25" s="438" t="s">
        <v>26</v>
      </c>
      <c r="B25" s="547"/>
      <c r="C25" s="547"/>
      <c r="D25" s="547" t="s">
        <v>17</v>
      </c>
      <c r="E25" s="547"/>
      <c r="F25" s="547"/>
      <c r="G25" s="547"/>
      <c r="H25" s="547"/>
      <c r="J25" s="720">
        <f>('CBS (Total)'!J23*'Performance &amp; Economics'!$G$143)/'CBS (CoE)'!J$2/10</f>
        <v>0</v>
      </c>
      <c r="K25" s="712">
        <f t="shared" si="0"/>
        <v>0</v>
      </c>
      <c r="L25" s="720">
        <f>('CBS (Total)'!L23*'Performance &amp; Economics'!$G$143)/'CBS (CoE)'!L$2/10</f>
        <v>0</v>
      </c>
      <c r="M25" s="712">
        <f t="shared" si="1"/>
        <v>0</v>
      </c>
      <c r="N25" s="720">
        <f>('CBS (Total)'!N23*'Performance &amp; Economics'!$G$143)/'CBS (CoE)'!N$2/10</f>
        <v>0</v>
      </c>
      <c r="O25" s="712">
        <f t="shared" si="2"/>
        <v>0</v>
      </c>
      <c r="P25" s="720">
        <f>('CBS (Total)'!P23*'Performance &amp; Economics'!$G$143)/'CBS (CoE)'!P$2/10</f>
        <v>0</v>
      </c>
      <c r="Q25" s="713">
        <f t="shared" si="3"/>
        <v>0</v>
      </c>
      <c r="R25" s="153"/>
      <c r="S25" s="153"/>
      <c r="T25" s="153"/>
      <c r="U25" s="153"/>
      <c r="V25" s="93"/>
      <c r="W25" s="93"/>
      <c r="X25" s="93"/>
      <c r="Y25" s="93"/>
      <c r="AA25" s="107"/>
    </row>
    <row r="26" spans="1:27" s="488" customFormat="1" outlineLevel="1" x14ac:dyDescent="0.25">
      <c r="A26" s="74">
        <v>1.4</v>
      </c>
      <c r="C26" s="488" t="s">
        <v>27</v>
      </c>
      <c r="I26" s="118">
        <f>SUM(I27:I30)</f>
        <v>687.28619999999989</v>
      </c>
      <c r="J26" s="719">
        <f>('CBS (Total)'!J24*'Performance &amp; Economics'!$G$143)/'CBS (CoE)'!J$2/10</f>
        <v>47.21743715606793</v>
      </c>
      <c r="K26" s="90">
        <f t="shared" si="0"/>
        <v>0.16808992888758575</v>
      </c>
      <c r="L26" s="719">
        <f>('CBS (Total)'!L24*'Performance &amp; Economics'!$G$143)/'CBS (CoE)'!L$2/10</f>
        <v>33.214987764945512</v>
      </c>
      <c r="M26" s="90">
        <f t="shared" si="1"/>
        <v>0.33797316421078094</v>
      </c>
      <c r="N26" s="719">
        <f>('CBS (Total)'!N24*'Performance &amp; Economics'!$G$143)/'CBS (CoE)'!N$2/10</f>
        <v>29.415466550481995</v>
      </c>
      <c r="O26" s="90">
        <f t="shared" si="2"/>
        <v>0.44205202716394604</v>
      </c>
      <c r="P26" s="719">
        <f>('CBS (Total)'!P24*'Performance &amp; Economics'!$G$143)/'CBS (CoE)'!P$2/10</f>
        <v>28.585935060472888</v>
      </c>
      <c r="Q26" s="96">
        <f t="shared" si="3"/>
        <v>0.45648020681618839</v>
      </c>
      <c r="R26" s="150"/>
      <c r="S26" s="150"/>
      <c r="T26" s="150"/>
      <c r="U26" s="150"/>
      <c r="V26" s="391"/>
      <c r="W26" s="391"/>
      <c r="X26" s="391"/>
      <c r="Y26" s="391"/>
    </row>
    <row r="27" spans="1:27" s="62" customFormat="1" outlineLevel="1" x14ac:dyDescent="0.25">
      <c r="A27" s="438" t="s">
        <v>28</v>
      </c>
      <c r="B27" s="547"/>
      <c r="C27" s="547"/>
      <c r="D27" s="547" t="s">
        <v>274</v>
      </c>
      <c r="E27" s="547"/>
      <c r="F27" s="547"/>
      <c r="G27" s="547"/>
      <c r="H27" s="547"/>
      <c r="I27" s="154">
        <f>'1.4'!E22</f>
        <v>205.44</v>
      </c>
      <c r="J27" s="720">
        <f>('CBS (Total)'!J25*'Performance &amp; Economics'!$G$143)/'CBS (CoE)'!J$2/10</f>
        <v>14.366458902552745</v>
      </c>
      <c r="K27" s="712">
        <f t="shared" si="0"/>
        <v>5.1143331801653709E-2</v>
      </c>
      <c r="L27" s="720">
        <f>('CBS (Total)'!L25*'Performance &amp; Economics'!$G$143)/'CBS (CoE)'!L$2/10</f>
        <v>9.9940240703911645</v>
      </c>
      <c r="M27" s="712">
        <f t="shared" si="1"/>
        <v>0.10169240350687667</v>
      </c>
      <c r="N27" s="720">
        <f>('CBS (Total)'!N25*'Performance &amp; Economics'!$G$143)/'CBS (CoE)'!N$2/10</f>
        <v>8.7955838740212897</v>
      </c>
      <c r="O27" s="712">
        <f t="shared" si="2"/>
        <v>0.13217895677190664</v>
      </c>
      <c r="P27" s="720">
        <f>('CBS (Total)'!P25*'Performance &amp; Economics'!$G$143)/'CBS (CoE)'!P$2/10</f>
        <v>8.5225555635702399</v>
      </c>
      <c r="Q27" s="713">
        <f t="shared" si="3"/>
        <v>0.13609412873957052</v>
      </c>
      <c r="R27" s="153"/>
      <c r="S27" s="153"/>
      <c r="T27" s="153"/>
      <c r="U27" s="153"/>
      <c r="V27" s="93"/>
      <c r="W27" s="93"/>
      <c r="X27" s="93"/>
      <c r="Y27" s="93"/>
    </row>
    <row r="28" spans="1:27" s="62" customFormat="1" outlineLevel="1" x14ac:dyDescent="0.25">
      <c r="A28" s="438" t="s">
        <v>29</v>
      </c>
      <c r="B28" s="547"/>
      <c r="C28" s="547"/>
      <c r="D28" s="547" t="s">
        <v>275</v>
      </c>
      <c r="E28" s="547"/>
      <c r="F28" s="547"/>
      <c r="G28" s="547"/>
      <c r="H28" s="547"/>
      <c r="I28" s="703">
        <f>'1.4'!E35</f>
        <v>223.64</v>
      </c>
      <c r="J28" s="720">
        <f>('CBS (Total)'!J26*'Performance &amp; Economics'!$G$143)/'CBS (CoE)'!J$2/10</f>
        <v>14.802093992687762</v>
      </c>
      <c r="K28" s="712">
        <f t="shared" si="0"/>
        <v>5.2694154458116364E-2</v>
      </c>
      <c r="L28" s="720">
        <f>('CBS (Total)'!L26*'Performance &amp; Economics'!$G$143)/'CBS (CoE)'!L$2/10</f>
        <v>10.51478636564771</v>
      </c>
      <c r="M28" s="712">
        <f t="shared" si="1"/>
        <v>0.10699132705232728</v>
      </c>
      <c r="N28" s="720">
        <f>('CBS (Total)'!N26*'Performance &amp; Economics'!$G$143)/'CBS (CoE)'!N$2/10</f>
        <v>9.3679943353140356</v>
      </c>
      <c r="O28" s="712">
        <f t="shared" si="2"/>
        <v>0.14078107104910348</v>
      </c>
      <c r="P28" s="720">
        <f>('CBS (Total)'!P26*'Performance &amp; Economics'!$G$143)/'CBS (CoE)'!P$2/10</f>
        <v>9.1296944580107855</v>
      </c>
      <c r="Q28" s="713">
        <f t="shared" si="3"/>
        <v>0.1457893472977207</v>
      </c>
    </row>
    <row r="29" spans="1:27" s="61" customFormat="1" x14ac:dyDescent="0.25">
      <c r="A29" s="438" t="s">
        <v>30</v>
      </c>
      <c r="B29" s="547"/>
      <c r="C29" s="547"/>
      <c r="D29" s="547" t="s">
        <v>276</v>
      </c>
      <c r="E29" s="547"/>
      <c r="F29" s="547"/>
      <c r="G29" s="547"/>
      <c r="H29" s="547"/>
      <c r="I29" s="154">
        <f>'1.4'!E47</f>
        <v>244.73</v>
      </c>
      <c r="J29" s="720">
        <f>('CBS (Total)'!J27*'Performance &amp; Economics'!$G$143)/'CBS (CoE)'!J$2/10</f>
        <v>17.12305215972804</v>
      </c>
      <c r="K29" s="712">
        <f t="shared" si="0"/>
        <v>6.0956561669235534E-2</v>
      </c>
      <c r="L29" s="720">
        <f>('CBS (Total)'!L27*'Performance &amp; Economics'!$G$143)/'CBS (CoE)'!L$2/10</f>
        <v>12.054903059005746</v>
      </c>
      <c r="M29" s="712">
        <f t="shared" si="1"/>
        <v>0.12266250886313033</v>
      </c>
      <c r="N29" s="720">
        <f>('CBS (Total)'!N27*'Performance &amp; Economics'!$G$143)/'CBS (CoE)'!N$2/10</f>
        <v>10.675114487215652</v>
      </c>
      <c r="O29" s="712">
        <f t="shared" si="2"/>
        <v>0.16042431253579975</v>
      </c>
      <c r="P29" s="720">
        <f>('CBS (Total)'!P27*'Performance &amp; Economics'!$G$143)/'CBS (CoE)'!P$2/10</f>
        <v>10.37317650829436</v>
      </c>
      <c r="Q29" s="713">
        <f t="shared" si="3"/>
        <v>0.16564613848838375</v>
      </c>
    </row>
    <row r="30" spans="1:27" s="62" customFormat="1" outlineLevel="1" x14ac:dyDescent="0.25">
      <c r="A30" s="467" t="s">
        <v>31</v>
      </c>
      <c r="B30" s="547"/>
      <c r="C30" s="547"/>
      <c r="D30" s="547" t="s">
        <v>63</v>
      </c>
      <c r="E30" s="547"/>
      <c r="F30" s="547"/>
      <c r="G30" s="547"/>
      <c r="H30" s="547"/>
      <c r="I30" s="154">
        <f>'1.4'!E57</f>
        <v>13.476199999999999</v>
      </c>
      <c r="J30" s="720">
        <f>('CBS (Total)'!J28*'Performance &amp; Economics'!$G$143)/'CBS (CoE)'!J$2/10</f>
        <v>0.92583210109937109</v>
      </c>
      <c r="K30" s="712">
        <f t="shared" si="0"/>
        <v>3.2958809585801126E-3</v>
      </c>
      <c r="L30" s="720">
        <f>('CBS (Total)'!L28*'Performance &amp; Economics'!$G$143)/'CBS (CoE)'!L$2/10</f>
        <v>0.65127426990089243</v>
      </c>
      <c r="M30" s="712">
        <f t="shared" si="1"/>
        <v>6.6269247884466857E-3</v>
      </c>
      <c r="N30" s="720">
        <f>('CBS (Total)'!N28*'Performance &amp; Economics'!$G$143)/'CBS (CoE)'!N$2/10</f>
        <v>0.57677385393101965</v>
      </c>
      <c r="O30" s="712">
        <f t="shared" si="2"/>
        <v>8.667686807136199E-3</v>
      </c>
      <c r="P30" s="720">
        <f>('CBS (Total)'!P28*'Performance &amp; Economics'!$G$143)/'CBS (CoE)'!P$2/10</f>
        <v>0.56050853059750771</v>
      </c>
      <c r="Q30" s="713">
        <f t="shared" si="3"/>
        <v>8.9505922905135007E-3</v>
      </c>
    </row>
    <row r="31" spans="1:27" s="488" customFormat="1" outlineLevel="1" x14ac:dyDescent="0.25">
      <c r="A31" s="74">
        <v>1.5</v>
      </c>
      <c r="C31" s="488" t="s">
        <v>32</v>
      </c>
      <c r="I31" s="118">
        <f>SUM(I32:I44)</f>
        <v>12.462820308390022</v>
      </c>
      <c r="J31" s="719">
        <f>('CBS (Total)'!J29*'Performance &amp; Economics'!$G$143)/'CBS (CoE)'!J$2/10</f>
        <v>10.016274605904595</v>
      </c>
      <c r="K31" s="90">
        <f t="shared" si="0"/>
        <v>3.565705780811676E-2</v>
      </c>
      <c r="L31" s="719">
        <f>('CBS (Total)'!L29*'Performance &amp; Economics'!$G$143)/'CBS (CoE)'!L$2/10</f>
        <v>7.9312851533045476</v>
      </c>
      <c r="M31" s="90">
        <f t="shared" si="1"/>
        <v>8.070337278128828E-2</v>
      </c>
      <c r="N31" s="719">
        <f>('CBS (Total)'!N29*'Performance &amp; Economics'!$G$143)/'CBS (CoE)'!N$2/10</f>
        <v>6.9674822573451678</v>
      </c>
      <c r="O31" s="90">
        <f t="shared" si="2"/>
        <v>0.1047064696663052</v>
      </c>
      <c r="P31" s="719">
        <f>('CBS (Total)'!P29*'Performance &amp; Economics'!$G$143)/'CBS (CoE)'!P$2/10</f>
        <v>6.6324777800510972</v>
      </c>
      <c r="Q31" s="96">
        <f t="shared" si="3"/>
        <v>0.10591204458894529</v>
      </c>
    </row>
    <row r="32" spans="1:27" s="62" customFormat="1" outlineLevel="1" x14ac:dyDescent="0.25">
      <c r="A32" s="438" t="s">
        <v>33</v>
      </c>
      <c r="B32" s="547"/>
      <c r="C32" s="547"/>
      <c r="D32" s="547" t="s">
        <v>34</v>
      </c>
      <c r="E32" s="547"/>
      <c r="F32" s="547"/>
      <c r="G32" s="547"/>
      <c r="H32" s="547"/>
      <c r="I32" s="154">
        <f>'1.5'!L4/1000</f>
        <v>2.0735000000000001</v>
      </c>
      <c r="J32" s="720">
        <f>('CBS (Total)'!J30*'Performance &amp; Economics'!$G$143)/'CBS (CoE)'!J$2/10</f>
        <v>0.41352676965696034</v>
      </c>
      <c r="K32" s="712">
        <f t="shared" si="0"/>
        <v>1.4721189774659085E-3</v>
      </c>
      <c r="L32" s="720">
        <f>('CBS (Total)'!L30*'Performance &amp; Economics'!$G$143)/'CBS (CoE)'!L$2/10</f>
        <v>0.36485113923606133</v>
      </c>
      <c r="M32" s="712">
        <f t="shared" si="1"/>
        <v>3.7124774775217245E-3</v>
      </c>
      <c r="N32" s="720">
        <f>('CBS (Total)'!N30*'Performance &amp; Economics'!$G$143)/'CBS (CoE)'!N$2/10</f>
        <v>0.33427213902927655</v>
      </c>
      <c r="O32" s="712">
        <f t="shared" si="2"/>
        <v>5.0234007483351932E-3</v>
      </c>
      <c r="P32" s="720">
        <f>('CBS (Total)'!P30*'Performance &amp; Economics'!$G$143)/'CBS (CoE)'!P$2/10</f>
        <v>0.3219050459835478</v>
      </c>
      <c r="Q32" s="713">
        <f t="shared" si="3"/>
        <v>5.1404049458200129E-3</v>
      </c>
    </row>
    <row r="33" spans="1:18" s="62" customFormat="1" outlineLevel="1" x14ac:dyDescent="0.25">
      <c r="A33" s="438" t="s">
        <v>35</v>
      </c>
      <c r="B33" s="547"/>
      <c r="C33" s="547"/>
      <c r="D33" s="547" t="s">
        <v>344</v>
      </c>
      <c r="E33" s="547"/>
      <c r="F33" s="547"/>
      <c r="G33" s="547"/>
      <c r="H33" s="547"/>
      <c r="I33" s="703">
        <f>'1.5'!L5/1000</f>
        <v>7.9554603083900224</v>
      </c>
      <c r="J33" s="720">
        <f>('CBS (Total)'!J31*'Performance &amp; Economics'!$G$143)/'CBS (CoE)'!J$2/10</f>
        <v>1.8497971355132852</v>
      </c>
      <c r="K33" s="712">
        <f t="shared" si="0"/>
        <v>6.585115323755557E-3</v>
      </c>
      <c r="L33" s="720">
        <f>('CBS (Total)'!L31*'Performance &amp; Economics'!$G$143)/'CBS (CoE)'!L$2/10</f>
        <v>1.6869126402636485</v>
      </c>
      <c r="M33" s="712">
        <f t="shared" si="1"/>
        <v>1.7164877699541836E-2</v>
      </c>
      <c r="N33" s="720">
        <f>('CBS (Total)'!N31*'Performance &amp; Economics'!$G$143)/'CBS (CoE)'!N$2/10</f>
        <v>1.5816550330366606</v>
      </c>
      <c r="O33" s="712">
        <f t="shared" si="2"/>
        <v>2.3768918042758609E-2</v>
      </c>
      <c r="P33" s="720">
        <f>('CBS (Total)'!P31*'Performance &amp; Economics'!$G$143)/'CBS (CoE)'!P$2/10</f>
        <v>1.5383709928233027</v>
      </c>
      <c r="Q33" s="713">
        <f t="shared" si="3"/>
        <v>2.4565784099013811E-2</v>
      </c>
    </row>
    <row r="34" spans="1:18" s="62" customFormat="1" outlineLevel="1" x14ac:dyDescent="0.25">
      <c r="A34" s="438" t="s">
        <v>36</v>
      </c>
      <c r="B34" s="547"/>
      <c r="C34" s="547"/>
      <c r="D34" s="547" t="s">
        <v>343</v>
      </c>
      <c r="E34" s="547"/>
      <c r="F34" s="547"/>
      <c r="G34" s="547"/>
      <c r="H34" s="547"/>
      <c r="I34" s="703">
        <f>'1.5'!L6/1000</f>
        <v>1.2927200000000001</v>
      </c>
      <c r="J34" s="720">
        <f>('CBS (Total)'!J32*'Performance &amp; Economics'!$G$143)/'CBS (CoE)'!J$2/10</f>
        <v>0.90975889324531278</v>
      </c>
      <c r="K34" s="712">
        <f t="shared" si="0"/>
        <v>3.2386617504249989E-3</v>
      </c>
      <c r="L34" s="720">
        <f>('CBS (Total)'!L32*'Performance &amp; Economics'!$G$143)/'CBS (CoE)'!L$2/10</f>
        <v>0.58546460008576739</v>
      </c>
      <c r="M34" s="712">
        <f t="shared" si="1"/>
        <v>5.9572902698225901E-3</v>
      </c>
      <c r="N34" s="720">
        <f>('CBS (Total)'!N32*'Performance &amp; Economics'!$G$143)/'CBS (CoE)'!N$2/10</f>
        <v>0.4302291575242756</v>
      </c>
      <c r="O34" s="712">
        <f t="shared" si="2"/>
        <v>6.4654310650573855E-3</v>
      </c>
      <c r="P34" s="720">
        <f>('CBS (Total)'!P32*'Performance &amp; Economics'!$G$143)/'CBS (CoE)'!P$2/10</f>
        <v>0.37676883457643906</v>
      </c>
      <c r="Q34" s="713">
        <f t="shared" si="3"/>
        <v>6.0165082991167351E-3</v>
      </c>
    </row>
    <row r="35" spans="1:18" s="62" customFormat="1" outlineLevel="1" x14ac:dyDescent="0.25">
      <c r="A35" s="438" t="s">
        <v>37</v>
      </c>
      <c r="B35" s="547"/>
      <c r="C35" s="547"/>
      <c r="D35" s="547" t="s">
        <v>39</v>
      </c>
      <c r="E35" s="547"/>
      <c r="F35" s="547"/>
      <c r="G35" s="547"/>
      <c r="H35" s="547"/>
      <c r="I35" s="703">
        <f>'1.5'!L7/1000</f>
        <v>1.1411399999999998</v>
      </c>
      <c r="J35" s="720">
        <f>('CBS (Total)'!J33*'Performance &amp; Economics'!$G$143)/'CBS (CoE)'!J$2/10</f>
        <v>1.3784225655232012</v>
      </c>
      <c r="K35" s="712">
        <f t="shared" si="0"/>
        <v>4.9070632582196953E-3</v>
      </c>
      <c r="L35" s="720">
        <f>('CBS (Total)'!L33*'Performance &amp; Economics'!$G$143)/'CBS (CoE)'!L$2/10</f>
        <v>0.65384323278452672</v>
      </c>
      <c r="M35" s="712">
        <f t="shared" si="1"/>
        <v>6.6530648105555682E-3</v>
      </c>
      <c r="N35" s="720">
        <f>('CBS (Total)'!N33*'Performance &amp; Economics'!$G$143)/'CBS (CoE)'!N$2/10</f>
        <v>0.38821395174024403</v>
      </c>
      <c r="O35" s="712">
        <f t="shared" si="2"/>
        <v>5.8340317004861248E-3</v>
      </c>
      <c r="P35" s="720">
        <f>('CBS (Total)'!P33*'Performance &amp; Economics'!$G$143)/'CBS (CoE)'!P$2/10</f>
        <v>0.31014507724331425</v>
      </c>
      <c r="Q35" s="713">
        <f t="shared" si="3"/>
        <v>4.9526135389152733E-3</v>
      </c>
    </row>
    <row r="36" spans="1:18" s="62" customFormat="1" outlineLevel="1" x14ac:dyDescent="0.25">
      <c r="A36" s="438" t="s">
        <v>40</v>
      </c>
      <c r="B36" s="547"/>
      <c r="C36" s="547"/>
      <c r="D36" s="547" t="s">
        <v>41</v>
      </c>
      <c r="E36" s="547"/>
      <c r="F36" s="547"/>
      <c r="G36" s="547"/>
      <c r="H36" s="547"/>
      <c r="I36" s="703">
        <f>'1.5'!L8/1000</f>
        <v>0</v>
      </c>
      <c r="J36" s="720">
        <f>('CBS (Total)'!J34*'Performance &amp; Economics'!$G$143)/'CBS (CoE)'!J$2/10</f>
        <v>0.9189483770154675</v>
      </c>
      <c r="K36" s="712">
        <f t="shared" ref="K36:K54" si="4">J36/$J$56</f>
        <v>3.2713755054797973E-3</v>
      </c>
      <c r="L36" s="720">
        <f>('CBS (Total)'!L34*'Performance &amp; Economics'!$G$143)/'CBS (CoE)'!L$2/10</f>
        <v>0.79583263926142256</v>
      </c>
      <c r="M36" s="712">
        <f t="shared" ref="M36:M54" si="5">L36/$L$56</f>
        <v>8.0978526072879083E-3</v>
      </c>
      <c r="N36" s="720">
        <f>('CBS (Total)'!N34*'Performance &amp; Economics'!$G$143)/'CBS (CoE)'!N$2/10</f>
        <v>0.71970999189871354</v>
      </c>
      <c r="O36" s="712">
        <f t="shared" ref="O36:O54" si="6">N36/$N$56</f>
        <v>1.0815713575134859E-2</v>
      </c>
      <c r="P36" s="720">
        <f>('CBS (Total)'!P34*'Performance &amp; Economics'!$G$143)/'CBS (CoE)'!P$2/10</f>
        <v>0.68921128276081722</v>
      </c>
      <c r="Q36" s="713">
        <f t="shared" ref="Q36:Q54" si="7">P36/$P$56</f>
        <v>1.1005807864222575E-2</v>
      </c>
    </row>
    <row r="37" spans="1:18" s="62" customFormat="1" outlineLevel="1" x14ac:dyDescent="0.25">
      <c r="A37" s="438" t="s">
        <v>42</v>
      </c>
      <c r="B37" s="547"/>
      <c r="C37" s="547"/>
      <c r="D37" s="547" t="s">
        <v>43</v>
      </c>
      <c r="E37" s="547"/>
      <c r="F37" s="547"/>
      <c r="G37" s="547"/>
      <c r="H37" s="547"/>
      <c r="I37" s="703">
        <f>'1.5'!L9/1000</f>
        <v>0</v>
      </c>
      <c r="J37" s="720">
        <f>('CBS (Total)'!J35*'Performance &amp; Economics'!$G$143)/'CBS (CoE)'!J$2/10</f>
        <v>1.41376673386995</v>
      </c>
      <c r="K37" s="712">
        <f t="shared" si="4"/>
        <v>5.0328853930458415E-3</v>
      </c>
      <c r="L37" s="720">
        <f>('CBS (Total)'!L35*'Performance &amp; Economics'!$G$143)/'CBS (CoE)'!L$2/10</f>
        <v>1.41376673386995</v>
      </c>
      <c r="M37" s="712">
        <f t="shared" si="5"/>
        <v>1.4385530408240749E-2</v>
      </c>
      <c r="N37" s="720">
        <f>('CBS (Total)'!N35*'Performance &amp; Economics'!$G$143)/'CBS (CoE)'!N$2/10</f>
        <v>1.41376673386995</v>
      </c>
      <c r="O37" s="712">
        <f t="shared" si="6"/>
        <v>2.1245913253547289E-2</v>
      </c>
      <c r="P37" s="720">
        <f>('CBS (Total)'!P35*'Performance &amp; Economics'!$G$143)/'CBS (CoE)'!P$2/10</f>
        <v>1.41376673386995</v>
      </c>
      <c r="Q37" s="713">
        <f t="shared" si="7"/>
        <v>2.2576016131764277E-2</v>
      </c>
    </row>
    <row r="38" spans="1:18" s="62" customFormat="1" outlineLevel="1" x14ac:dyDescent="0.25">
      <c r="A38" s="438" t="s">
        <v>44</v>
      </c>
      <c r="B38" s="547"/>
      <c r="C38" s="547"/>
      <c r="D38" s="547" t="s">
        <v>45</v>
      </c>
      <c r="E38" s="547"/>
      <c r="F38" s="547"/>
      <c r="G38" s="547"/>
      <c r="H38" s="547"/>
      <c r="I38" s="703">
        <f>'1.5'!L10/1000</f>
        <v>0</v>
      </c>
      <c r="J38" s="720">
        <f>('CBS (Total)'!J36*'Performance &amp; Economics'!$G$143)/'CBS (CoE)'!J$2/10</f>
        <v>0</v>
      </c>
      <c r="K38" s="712">
        <f t="shared" si="4"/>
        <v>0</v>
      </c>
      <c r="L38" s="720">
        <f>('CBS (Total)'!L36*'Performance &amp; Economics'!$G$143)/'CBS (CoE)'!L$2/10</f>
        <v>0</v>
      </c>
      <c r="M38" s="712">
        <f t="shared" si="5"/>
        <v>0</v>
      </c>
      <c r="N38" s="720">
        <f>('CBS (Total)'!N36*'Performance &amp; Economics'!$G$143)/'CBS (CoE)'!N$2/10</f>
        <v>0</v>
      </c>
      <c r="O38" s="712">
        <f t="shared" si="6"/>
        <v>0</v>
      </c>
      <c r="P38" s="720">
        <f>('CBS (Total)'!P36*'Performance &amp; Economics'!$G$143)/'CBS (CoE)'!P$2/10</f>
        <v>0</v>
      </c>
      <c r="Q38" s="713">
        <f t="shared" si="7"/>
        <v>0</v>
      </c>
      <c r="R38" s="153"/>
    </row>
    <row r="39" spans="1:18" s="62" customFormat="1" outlineLevel="1" x14ac:dyDescent="0.25">
      <c r="A39" s="438" t="s">
        <v>46</v>
      </c>
      <c r="B39" s="547"/>
      <c r="C39" s="547"/>
      <c r="D39" s="547" t="s">
        <v>60</v>
      </c>
      <c r="E39" s="547"/>
      <c r="F39" s="547"/>
      <c r="G39" s="547"/>
      <c r="H39" s="547"/>
      <c r="I39" s="703">
        <f>'1.5'!L11/1000</f>
        <v>0</v>
      </c>
      <c r="J39" s="720">
        <f>('CBS (Total)'!J37*'Performance &amp; Economics'!$G$143)/'CBS (CoE)'!J$2/10</f>
        <v>0</v>
      </c>
      <c r="K39" s="712">
        <f t="shared" si="4"/>
        <v>0</v>
      </c>
      <c r="L39" s="720">
        <f>('CBS (Total)'!L37*'Performance &amp; Economics'!$G$143)/'CBS (CoE)'!L$2/10</f>
        <v>0</v>
      </c>
      <c r="M39" s="712">
        <f t="shared" si="5"/>
        <v>0</v>
      </c>
      <c r="N39" s="720">
        <f>('CBS (Total)'!N37*'Performance &amp; Economics'!$G$143)/'CBS (CoE)'!N$2/10</f>
        <v>0</v>
      </c>
      <c r="O39" s="712">
        <f t="shared" si="6"/>
        <v>0</v>
      </c>
      <c r="P39" s="720">
        <f>('CBS (Total)'!P37*'Performance &amp; Economics'!$G$143)/'CBS (CoE)'!P$2/10</f>
        <v>0</v>
      </c>
      <c r="Q39" s="713">
        <f t="shared" si="7"/>
        <v>0</v>
      </c>
    </row>
    <row r="40" spans="1:18" s="62" customFormat="1" outlineLevel="1" x14ac:dyDescent="0.25">
      <c r="A40" s="438" t="s">
        <v>61</v>
      </c>
      <c r="B40" s="547"/>
      <c r="C40" s="547"/>
      <c r="D40" s="547" t="s">
        <v>62</v>
      </c>
      <c r="E40" s="547"/>
      <c r="F40" s="547"/>
      <c r="G40" s="547"/>
      <c r="H40" s="547"/>
      <c r="I40" s="703">
        <f>'1.5'!L12/1000</f>
        <v>0</v>
      </c>
      <c r="J40" s="720">
        <f>('CBS (Total)'!J38*'Performance &amp; Economics'!$G$143)/'CBS (CoE)'!J$2/10</f>
        <v>9.066582457494389E-2</v>
      </c>
      <c r="K40" s="712">
        <f t="shared" si="4"/>
        <v>3.2276237176879781E-4</v>
      </c>
      <c r="L40" s="720">
        <f>('CBS (Total)'!L38*'Performance &amp; Economics'!$G$143)/'CBS (CoE)'!L$2/10</f>
        <v>8.5340336928012281E-2</v>
      </c>
      <c r="M40" s="712">
        <f t="shared" si="5"/>
        <v>8.6836532683641596E-4</v>
      </c>
      <c r="N40" s="720">
        <f>('CBS (Total)'!N38*'Performance &amp; Economics'!$G$143)/'CBS (CoE)'!N$2/10</f>
        <v>8.1804830139489776E-2</v>
      </c>
      <c r="O40" s="712">
        <f t="shared" si="6"/>
        <v>1.2293529641253023E-3</v>
      </c>
      <c r="P40" s="720">
        <f>('CBS (Total)'!P38*'Performance &amp; Economics'!$G$143)/'CBS (CoE)'!P$2/10</f>
        <v>8.0327655333532949E-2</v>
      </c>
      <c r="Q40" s="713">
        <f t="shared" si="7"/>
        <v>1.2827281893049971E-3</v>
      </c>
    </row>
    <row r="41" spans="1:18" s="62" customFormat="1" outlineLevel="1" x14ac:dyDescent="0.25">
      <c r="A41" s="438" t="s">
        <v>67</v>
      </c>
      <c r="B41" s="547"/>
      <c r="C41" s="547"/>
      <c r="D41" s="547" t="s">
        <v>64</v>
      </c>
      <c r="E41" s="547"/>
      <c r="F41" s="547"/>
      <c r="G41" s="547"/>
      <c r="H41" s="547"/>
      <c r="I41" s="703">
        <f>'1.5'!L13/1000</f>
        <v>0</v>
      </c>
      <c r="J41" s="720">
        <f>('CBS (Total)'!J39*'Performance &amp; Economics'!$G$143)/'CBS (CoE)'!J$2/10</f>
        <v>1.4203633694501874</v>
      </c>
      <c r="K41" s="712">
        <f t="shared" si="4"/>
        <v>5.0563688362897947E-3</v>
      </c>
      <c r="L41" s="720">
        <f>('CBS (Total)'!L39*'Performance &amp; Economics'!$G$143)/'CBS (CoE)'!L$2/10</f>
        <v>1.230071168667259</v>
      </c>
      <c r="M41" s="712">
        <f t="shared" si="5"/>
        <v>1.2516369056672713E-2</v>
      </c>
      <c r="N41" s="720">
        <f>('CBS (Total)'!N39*'Performance &amp; Economics'!$G$143)/'CBS (CoE)'!N$2/10</f>
        <v>1.1124131789376224</v>
      </c>
      <c r="O41" s="712">
        <f t="shared" si="6"/>
        <v>1.6717208953641694E-2</v>
      </c>
      <c r="P41" s="720">
        <f>('CBS (Total)'!P39*'Performance &amp; Economics'!$G$143)/'CBS (CoE)'!P$2/10</f>
        <v>1.0652732339697952</v>
      </c>
      <c r="Q41" s="713">
        <f t="shared" si="7"/>
        <v>1.7011028155265027E-2</v>
      </c>
    </row>
    <row r="42" spans="1:18" s="62" customFormat="1" outlineLevel="1" x14ac:dyDescent="0.25">
      <c r="A42" s="438" t="s">
        <v>68</v>
      </c>
      <c r="B42" s="547"/>
      <c r="C42" s="547"/>
      <c r="D42" s="547" t="s">
        <v>65</v>
      </c>
      <c r="E42" s="547"/>
      <c r="F42" s="547"/>
      <c r="G42" s="547"/>
      <c r="H42" s="547"/>
      <c r="I42" s="703">
        <f>'1.5'!L14/1000</f>
        <v>0</v>
      </c>
      <c r="J42" s="720">
        <f>('CBS (Total)'!J40*'Performance &amp; Economics'!$G$143)/'CBS (CoE)'!J$2/10</f>
        <v>0.9318136542936839</v>
      </c>
      <c r="K42" s="712">
        <f t="shared" si="4"/>
        <v>3.3171747625565136E-3</v>
      </c>
      <c r="L42" s="720">
        <f>('CBS (Total)'!L40*'Performance &amp; Economics'!$G$143)/'CBS (CoE)'!L$2/10</f>
        <v>0.80697800637802142</v>
      </c>
      <c r="M42" s="712">
        <f t="shared" si="5"/>
        <v>8.2112602959296954E-3</v>
      </c>
      <c r="N42" s="720">
        <f>('CBS (Total)'!N40*'Performance &amp; Economics'!$G$143)/'CBS (CoE)'!N$2/10</f>
        <v>0.72979163232067901</v>
      </c>
      <c r="O42" s="712">
        <f t="shared" si="6"/>
        <v>1.0967219232134028E-2</v>
      </c>
      <c r="P42" s="720">
        <f>('CBS (Total)'!P40*'Performance &amp; Economics'!$G$143)/'CBS (CoE)'!P$2/10</f>
        <v>0.69886666693188426</v>
      </c>
      <c r="Q42" s="713">
        <f t="shared" si="7"/>
        <v>1.115999179257666E-2</v>
      </c>
    </row>
    <row r="43" spans="1:18" s="62" customFormat="1" outlineLevel="1" x14ac:dyDescent="0.25">
      <c r="A43" s="438" t="s">
        <v>69</v>
      </c>
      <c r="B43" s="547"/>
      <c r="C43" s="547"/>
      <c r="D43" s="547" t="s">
        <v>140</v>
      </c>
      <c r="E43" s="547"/>
      <c r="F43" s="547"/>
      <c r="G43" s="547"/>
      <c r="H43" s="547"/>
      <c r="I43" s="703">
        <f>'1.5'!L15/1000</f>
        <v>0</v>
      </c>
      <c r="J43" s="720">
        <f>('CBS (Total)'!J41*'Performance &amp; Economics'!$G$143)/'CBS (CoE)'!J$2/10</f>
        <v>0.45947418850773375</v>
      </c>
      <c r="K43" s="712">
        <f t="shared" si="4"/>
        <v>1.6356877527398987E-3</v>
      </c>
      <c r="L43" s="720">
        <f>('CBS (Total)'!L41*'Performance &amp; Economics'!$G$143)/'CBS (CoE)'!L$2/10</f>
        <v>0.20548310388658503</v>
      </c>
      <c r="M43" s="712">
        <f t="shared" si="5"/>
        <v>2.0908565525860488E-3</v>
      </c>
      <c r="N43" s="720">
        <f>('CBS (Total)'!N41*'Performance &amp; Economics'!$G$143)/'CBS (CoE)'!N$2/10</f>
        <v>0.11708373923217064</v>
      </c>
      <c r="O43" s="712">
        <f t="shared" si="6"/>
        <v>1.7595200873898017E-3</v>
      </c>
      <c r="P43" s="720">
        <f>('CBS (Total)'!P41*'Performance &amp; Economics'!$G$143)/'CBS (CoE)'!P$2/10</f>
        <v>9.1894837705675386E-2</v>
      </c>
      <c r="Q43" s="713">
        <f t="shared" si="7"/>
        <v>1.467441048630607E-3</v>
      </c>
      <c r="R43" s="164"/>
    </row>
    <row r="44" spans="1:18" s="61" customFormat="1" x14ac:dyDescent="0.25">
      <c r="A44" s="438" t="s">
        <v>70</v>
      </c>
      <c r="B44" s="547"/>
      <c r="C44" s="547"/>
      <c r="D44" s="547" t="s">
        <v>17</v>
      </c>
      <c r="E44" s="547"/>
      <c r="F44" s="547"/>
      <c r="G44" s="547"/>
      <c r="H44" s="547"/>
      <c r="I44" s="703">
        <f>'1.5'!L16/1000</f>
        <v>0</v>
      </c>
      <c r="J44" s="720">
        <f>('CBS (Total)'!J42*'Performance &amp; Economics'!$G$143)/'CBS (CoE)'!J$2/10</f>
        <v>0.22973709425386687</v>
      </c>
      <c r="K44" s="712">
        <f t="shared" si="4"/>
        <v>8.1784387636994933E-4</v>
      </c>
      <c r="L44" s="720">
        <f>('CBS (Total)'!L42*'Performance &amp; Economics'!$G$143)/'CBS (CoE)'!L$2/10</f>
        <v>0.10274155194329251</v>
      </c>
      <c r="M44" s="712">
        <f t="shared" si="5"/>
        <v>1.0454282762930244E-3</v>
      </c>
      <c r="N44" s="720">
        <f>('CBS (Total)'!N42*'Performance &amp; Economics'!$G$143)/'CBS (CoE)'!N$2/10</f>
        <v>5.8541869616085318E-2</v>
      </c>
      <c r="O44" s="712">
        <f t="shared" si="6"/>
        <v>8.7976004369490083E-4</v>
      </c>
      <c r="P44" s="720">
        <f>('CBS (Total)'!P42*'Performance &amp; Economics'!$G$143)/'CBS (CoE)'!P$2/10</f>
        <v>4.5947418852837693E-2</v>
      </c>
      <c r="Q44" s="713">
        <f t="shared" si="7"/>
        <v>7.3372052431530351E-4</v>
      </c>
    </row>
    <row r="45" spans="1:18" s="488" customFormat="1" x14ac:dyDescent="0.25">
      <c r="A45" s="74">
        <v>1.6</v>
      </c>
      <c r="C45" s="488" t="s">
        <v>72</v>
      </c>
      <c r="I45" s="83"/>
      <c r="J45" s="737">
        <f>('CBS (Total)'!J43*'Performance &amp; Economics'!$G$143)/'CBS (CoE)'!J$2/10</f>
        <v>5.7233711761972526</v>
      </c>
      <c r="K45" s="733">
        <f t="shared" si="4"/>
        <v>2.0374698669570254E-2</v>
      </c>
      <c r="L45" s="737">
        <f>('CBS (Total)'!L43*'Performance &amp; Economics'!$G$143)/'CBS (CoE)'!L$2/10</f>
        <v>4.1146272918250064</v>
      </c>
      <c r="M45" s="733">
        <f t="shared" si="5"/>
        <v>4.1867653699206926E-2</v>
      </c>
      <c r="N45" s="737">
        <f>('CBS (Total)'!N43*'Performance &amp; Economics'!$G$143)/'CBS (CoE)'!N$2/10</f>
        <v>3.6382948807827162</v>
      </c>
      <c r="O45" s="733">
        <f t="shared" si="6"/>
        <v>5.4675849683025121E-2</v>
      </c>
      <c r="P45" s="737">
        <f>('CBS (Total)'!P43*'Performance &amp; Economics'!$G$143)/'CBS (CoE)'!P$2/10</f>
        <v>3.5218412840523987</v>
      </c>
      <c r="Q45" s="735">
        <f t="shared" si="7"/>
        <v>5.6239225140513376E-2</v>
      </c>
    </row>
    <row r="46" spans="1:18" s="488" customFormat="1" outlineLevel="1" x14ac:dyDescent="0.25">
      <c r="A46" s="74">
        <v>1.7</v>
      </c>
      <c r="C46" s="488" t="s">
        <v>47</v>
      </c>
      <c r="I46" s="83"/>
      <c r="J46" s="719">
        <f>('CBS (Total)'!J44*'Performance &amp; Economics'!$G$143)/'CBS (CoE)'!J$2/10</f>
        <v>94.923549050929168</v>
      </c>
      <c r="K46" s="90">
        <f t="shared" si="4"/>
        <v>0.33791949692207024</v>
      </c>
      <c r="L46" s="719">
        <f>('CBS (Total)'!L44*'Performance &amp; Economics'!$G$143)/'CBS (CoE)'!L$2/10</f>
        <v>14.590672187754933</v>
      </c>
      <c r="M46" s="90">
        <f t="shared" si="5"/>
        <v>0.14846477385917117</v>
      </c>
      <c r="N46" s="719">
        <f>('CBS (Total)'!N44*'Performance &amp; Economics'!$G$143)/'CBS (CoE)'!N$2/10</f>
        <v>6.9182114042178782</v>
      </c>
      <c r="O46" s="90">
        <f t="shared" si="6"/>
        <v>0.10396603332246422</v>
      </c>
      <c r="P46" s="719">
        <f>('CBS (Total)'!P44*'Performance &amp; Economics'!$G$143)/'CBS (CoE)'!P$2/10</f>
        <v>6.0823442984952329</v>
      </c>
      <c r="Q46" s="96">
        <f t="shared" si="7"/>
        <v>9.712712833884253E-2</v>
      </c>
    </row>
    <row r="47" spans="1:18" s="62" customFormat="1" outlineLevel="1" x14ac:dyDescent="0.25">
      <c r="A47" s="438" t="s">
        <v>73</v>
      </c>
      <c r="B47" s="547"/>
      <c r="C47" s="547"/>
      <c r="D47" s="547" t="s">
        <v>48</v>
      </c>
      <c r="E47" s="547"/>
      <c r="F47" s="547"/>
      <c r="G47" s="547"/>
      <c r="H47" s="547"/>
      <c r="I47" s="80"/>
      <c r="J47" s="720">
        <f>('CBS (Total)'!J45*'Performance &amp; Economics'!$G$143)/'CBS (CoE)'!J$2/10</f>
        <v>0.47794954923444327</v>
      </c>
      <c r="K47" s="712">
        <f t="shared" si="4"/>
        <v>1.7014584141262928E-3</v>
      </c>
      <c r="L47" s="720">
        <f>('CBS (Total)'!L45*'Performance &amp; Economics'!$G$143)/'CBS (CoE)'!L$2/10</f>
        <v>0.47794954923444327</v>
      </c>
      <c r="M47" s="712">
        <f t="shared" si="5"/>
        <v>4.8632901096041159E-3</v>
      </c>
      <c r="N47" s="720">
        <f>('CBS (Total)'!N45*'Performance &amp; Economics'!$G$143)/'CBS (CoE)'!N$2/10</f>
        <v>0.47794954923444327</v>
      </c>
      <c r="O47" s="712">
        <f t="shared" si="6"/>
        <v>7.1825672646935431E-3</v>
      </c>
      <c r="P47" s="720">
        <f>('CBS (Total)'!P45*'Performance &amp; Economics'!$G$143)/'CBS (CoE)'!P$2/10</f>
        <v>0.47794954923444327</v>
      </c>
      <c r="Q47" s="713">
        <f t="shared" si="7"/>
        <v>7.6322327263634911E-3</v>
      </c>
    </row>
    <row r="48" spans="1:18" s="62" customFormat="1" outlineLevel="1" x14ac:dyDescent="0.25">
      <c r="A48" s="438" t="s">
        <v>74</v>
      </c>
      <c r="B48" s="547"/>
      <c r="C48" s="547"/>
      <c r="D48" s="547" t="s">
        <v>49</v>
      </c>
      <c r="E48" s="547"/>
      <c r="F48" s="547"/>
      <c r="G48" s="547"/>
      <c r="H48" s="547"/>
      <c r="I48" s="80"/>
      <c r="J48" s="720">
        <f>('CBS (Total)'!J46*'Performance &amp; Economics'!$G$143)/'CBS (CoE)'!J$2/10</f>
        <v>10.715709221491554</v>
      </c>
      <c r="K48" s="712">
        <f t="shared" si="4"/>
        <v>3.8146983604108828E-2</v>
      </c>
      <c r="L48" s="720">
        <f>('CBS (Total)'!L46*'Performance &amp; Economics'!$G$143)/'CBS (CoE)'!L$2/10</f>
        <v>1.232547543437529</v>
      </c>
      <c r="M48" s="712">
        <f t="shared" si="5"/>
        <v>1.2541566965002615E-2</v>
      </c>
      <c r="N48" s="720">
        <f>('CBS (Total)'!N46*'Performance &amp; Economics'!$G$143)/'CBS (CoE)'!N$2/10</f>
        <v>0.24650950868750582</v>
      </c>
      <c r="O48" s="712">
        <f t="shared" si="6"/>
        <v>3.704514692754882E-3</v>
      </c>
      <c r="P48" s="720">
        <f>('CBS (Total)'!P46*'Performance &amp; Economics'!$G$143)/'CBS (CoE)'!P$2/10</f>
        <v>0.24644524656323896</v>
      </c>
      <c r="Q48" s="713">
        <f t="shared" si="7"/>
        <v>3.93541008478709E-3</v>
      </c>
    </row>
    <row r="49" spans="1:18" s="62" customFormat="1" outlineLevel="1" x14ac:dyDescent="0.25">
      <c r="A49" s="438" t="s">
        <v>75</v>
      </c>
      <c r="B49" s="547"/>
      <c r="C49" s="547"/>
      <c r="D49" s="547" t="s">
        <v>71</v>
      </c>
      <c r="E49" s="547"/>
      <c r="F49" s="547"/>
      <c r="G49" s="547"/>
      <c r="H49" s="547"/>
      <c r="I49" s="80"/>
      <c r="J49" s="720">
        <f>('CBS (Total)'!J47*'Performance &amp; Economics'!$G$143)/'CBS (CoE)'!J$2/10</f>
        <v>51.310632119406456</v>
      </c>
      <c r="K49" s="712">
        <f t="shared" si="4"/>
        <v>0.18266134342744031</v>
      </c>
      <c r="L49" s="720">
        <f>('CBS (Total)'!L47*'Performance &amp; Economics'!$G$143)/'CBS (CoE)'!L$2/10</f>
        <v>6.2728806776042578</v>
      </c>
      <c r="M49" s="712">
        <f t="shared" si="5"/>
        <v>6.3828574808751148E-2</v>
      </c>
      <c r="N49" s="720">
        <f>('CBS (Total)'!N47*'Performance &amp; Economics'!$G$143)/'CBS (CoE)'!N$2/10</f>
        <v>2.2697256265873453</v>
      </c>
      <c r="O49" s="712">
        <f t="shared" si="6"/>
        <v>3.4109158616165251E-2</v>
      </c>
      <c r="P49" s="720">
        <f>('CBS (Total)'!P47*'Performance &amp; Economics'!$G$143)/'CBS (CoE)'!P$2/10</f>
        <v>1.7693312452102312</v>
      </c>
      <c r="Q49" s="713">
        <f t="shared" si="7"/>
        <v>2.8253918965089456E-2</v>
      </c>
    </row>
    <row r="50" spans="1:18" s="62" customFormat="1" outlineLevel="1" x14ac:dyDescent="0.25">
      <c r="A50" s="438" t="s">
        <v>76</v>
      </c>
      <c r="B50" s="547"/>
      <c r="C50" s="547"/>
      <c r="D50" s="547" t="s">
        <v>256</v>
      </c>
      <c r="E50" s="547"/>
      <c r="F50" s="547"/>
      <c r="G50" s="547"/>
      <c r="H50" s="547"/>
      <c r="I50" s="80"/>
      <c r="J50" s="720">
        <f>('CBS (Total)'!J48*'Performance &amp; Economics'!$G$143)/'CBS (CoE)'!J$2/10</f>
        <v>24.219330776695678</v>
      </c>
      <c r="K50" s="712">
        <f t="shared" si="4"/>
        <v>8.6218690237331627E-2</v>
      </c>
      <c r="L50" s="720">
        <f>('CBS (Total)'!L48*'Performance &amp; Economics'!$G$143)/'CBS (CoE)'!L$2/10</f>
        <v>3.6632055218498651</v>
      </c>
      <c r="M50" s="712">
        <f t="shared" si="5"/>
        <v>3.7274292260334213E-2</v>
      </c>
      <c r="N50" s="720">
        <f>('CBS (Total)'!N48*'Performance &amp; Economics'!$G$143)/'CBS (CoE)'!N$2/10</f>
        <v>1.4471234674994986</v>
      </c>
      <c r="O50" s="712">
        <f t="shared" si="6"/>
        <v>2.1747194159468127E-2</v>
      </c>
      <c r="P50" s="720">
        <f>('CBS (Total)'!P48*'Performance &amp; Economics'!$G$143)/'CBS (CoE)'!P$2/10</f>
        <v>1.1701132107057028</v>
      </c>
      <c r="Q50" s="713">
        <f t="shared" si="7"/>
        <v>1.8685186239013916E-2</v>
      </c>
    </row>
    <row r="51" spans="1:18" s="62" customFormat="1" outlineLevel="1" x14ac:dyDescent="0.25">
      <c r="A51" s="438" t="s">
        <v>77</v>
      </c>
      <c r="B51" s="547"/>
      <c r="C51" s="547"/>
      <c r="D51" s="547" t="s">
        <v>50</v>
      </c>
      <c r="E51" s="547"/>
      <c r="F51" s="547"/>
      <c r="G51" s="547"/>
      <c r="H51" s="547"/>
      <c r="I51" s="80"/>
      <c r="J51" s="720">
        <f>('CBS (Total)'!J49*'Performance &amp; Economics'!$G$143)/'CBS (CoE)'!J$2/10</f>
        <v>4.0999636920505216</v>
      </c>
      <c r="K51" s="712">
        <f t="shared" si="4"/>
        <v>1.4595510619531607E-2</v>
      </c>
      <c r="L51" s="720">
        <f>('CBS (Total)'!L49*'Performance &amp; Economics'!$G$143)/'CBS (CoE)'!L$2/10</f>
        <v>1.4720444478144186</v>
      </c>
      <c r="M51" s="712">
        <f t="shared" si="5"/>
        <v>1.4978524857739534E-2</v>
      </c>
      <c r="N51" s="720">
        <f>('CBS (Total)'!N49*'Performance &amp; Economics'!$G$143)/'CBS (CoE)'!N$2/10</f>
        <v>1.2384516261045426</v>
      </c>
      <c r="O51" s="712">
        <f t="shared" si="6"/>
        <v>1.861129929469121E-2</v>
      </c>
      <c r="P51" s="720">
        <f>('CBS (Total)'!P49*'Performance &amp; Economics'!$G$143)/'CBS (CoE)'!P$2/10</f>
        <v>1.2092525233908082</v>
      </c>
      <c r="Q51" s="713">
        <f t="shared" si="7"/>
        <v>1.9310190161794284E-2</v>
      </c>
    </row>
    <row r="52" spans="1:18" s="83" customFormat="1" x14ac:dyDescent="0.25">
      <c r="A52" s="438" t="s">
        <v>78</v>
      </c>
      <c r="B52" s="547"/>
      <c r="C52" s="547"/>
      <c r="D52" s="547" t="s">
        <v>51</v>
      </c>
      <c r="E52" s="547"/>
      <c r="F52" s="547"/>
      <c r="G52" s="547"/>
      <c r="H52" s="547"/>
      <c r="J52" s="720">
        <f>('CBS (Total)'!J50*'Performance &amp; Economics'!$G$143)/'CBS (CoE)'!J$2/10</f>
        <v>4.0999636920505216</v>
      </c>
      <c r="K52" s="712">
        <f t="shared" si="4"/>
        <v>1.4595510619531607E-2</v>
      </c>
      <c r="L52" s="720">
        <f>('CBS (Total)'!L50*'Performance &amp; Economics'!$G$143)/'CBS (CoE)'!L$2/10</f>
        <v>1.4720444478144186</v>
      </c>
      <c r="M52" s="712">
        <f t="shared" si="5"/>
        <v>1.4978524857739534E-2</v>
      </c>
      <c r="N52" s="720">
        <f>('CBS (Total)'!N50*'Performance &amp; Economics'!$G$143)/'CBS (CoE)'!N$2/10</f>
        <v>1.2384516261045426</v>
      </c>
      <c r="O52" s="712">
        <f t="shared" si="6"/>
        <v>1.861129929469121E-2</v>
      </c>
      <c r="P52" s="720">
        <f>('CBS (Total)'!P50*'Performance &amp; Economics'!$G$143)/'CBS (CoE)'!P$2/10</f>
        <v>1.2092525233908082</v>
      </c>
      <c r="Q52" s="713">
        <f t="shared" si="7"/>
        <v>1.9310190161794284E-2</v>
      </c>
    </row>
    <row r="53" spans="1:18" s="83" customFormat="1" x14ac:dyDescent="0.25">
      <c r="A53" s="98">
        <v>1.8</v>
      </c>
      <c r="C53" s="83" t="s">
        <v>146</v>
      </c>
      <c r="J53" s="719">
        <v>0</v>
      </c>
      <c r="K53" s="90">
        <f t="shared" si="4"/>
        <v>0</v>
      </c>
      <c r="L53" s="719">
        <v>0</v>
      </c>
      <c r="M53" s="90">
        <f t="shared" si="5"/>
        <v>0</v>
      </c>
      <c r="N53" s="719">
        <v>0</v>
      </c>
      <c r="O53" s="90">
        <f t="shared" si="6"/>
        <v>0</v>
      </c>
      <c r="P53" s="719">
        <v>0</v>
      </c>
      <c r="Q53" s="96">
        <f t="shared" si="7"/>
        <v>0</v>
      </c>
    </row>
    <row r="54" spans="1:18" s="488" customFormat="1" outlineLevel="1" x14ac:dyDescent="0.25">
      <c r="A54" s="722">
        <v>1.9</v>
      </c>
      <c r="B54" s="83"/>
      <c r="C54" s="83" t="s">
        <v>144</v>
      </c>
      <c r="D54" s="83"/>
      <c r="E54" s="83"/>
      <c r="F54" s="83"/>
      <c r="G54" s="83"/>
      <c r="H54" s="83"/>
      <c r="I54" s="83"/>
      <c r="J54" s="719">
        <f>('CBS (Total)'!J52*'Performance &amp; Economics'!$G$143)/'CBS (CoE)'!J$2/10</f>
        <v>25.53689156347955</v>
      </c>
      <c r="K54" s="697">
        <f t="shared" si="4"/>
        <v>9.0909090909090912E-2</v>
      </c>
      <c r="L54" s="719">
        <f>('CBS (Total)'!L52*'Performance &amp; Economics'!$G$143)/'CBS (CoE)'!L$2/10</f>
        <v>8.9342724867486805</v>
      </c>
      <c r="M54" s="697">
        <f t="shared" si="5"/>
        <v>9.0909090909090912E-2</v>
      </c>
      <c r="N54" s="719">
        <f>('CBS (Total)'!N52*'Performance &amp; Economics'!$G$143)/'CBS (CoE)'!N$2/10</f>
        <v>6.0493633293063054</v>
      </c>
      <c r="O54" s="697">
        <f t="shared" si="6"/>
        <v>9.0909090909090898E-2</v>
      </c>
      <c r="P54" s="719">
        <f>('CBS (Total)'!P52*'Performance &amp; Economics'!$G$143)/'CBS (CoE)'!P$2/10</f>
        <v>5.692955204474683</v>
      </c>
      <c r="Q54" s="700">
        <f t="shared" si="7"/>
        <v>9.0909090909090925E-2</v>
      </c>
      <c r="R54" s="83"/>
    </row>
    <row r="55" spans="1:18" outlineLevel="1" x14ac:dyDescent="0.25">
      <c r="A55" s="438"/>
      <c r="B55" s="547"/>
      <c r="C55" s="547"/>
      <c r="D55" s="547"/>
      <c r="E55" s="547"/>
      <c r="F55" s="547"/>
      <c r="G55" s="547"/>
      <c r="H55" s="547"/>
      <c r="I55" s="83"/>
      <c r="J55" s="163"/>
      <c r="K55" s="90"/>
      <c r="L55" s="163"/>
      <c r="M55" s="90"/>
      <c r="N55" s="163"/>
      <c r="O55" s="90"/>
      <c r="P55" s="163"/>
      <c r="Q55" s="96"/>
      <c r="R55" s="488"/>
    </row>
    <row r="56" spans="1:18" outlineLevel="1" x14ac:dyDescent="0.25">
      <c r="A56" s="718" t="s">
        <v>502</v>
      </c>
      <c r="B56" s="156"/>
      <c r="C56" s="156"/>
      <c r="D56" s="156"/>
      <c r="E56" s="156"/>
      <c r="F56" s="156"/>
      <c r="G56" s="156"/>
      <c r="H56" s="156"/>
      <c r="I56" s="688">
        <f>I31+I26</f>
        <v>699.74902030838996</v>
      </c>
      <c r="J56" s="166">
        <f>('CBS (Total)'!J54*'Performance &amp; Economics'!$G$143)/'CBS (CoE)'!J$2/10</f>
        <v>280.90580719827506</v>
      </c>
      <c r="K56" s="160">
        <f t="shared" ref="K56" si="8">J56/$J$56</f>
        <v>1</v>
      </c>
      <c r="L56" s="166">
        <f>('CBS (Total)'!L54*'Performance &amp; Economics'!$G$143)/'CBS (CoE)'!L$2/10</f>
        <v>98.276997354235476</v>
      </c>
      <c r="M56" s="160">
        <f t="shared" ref="M56" si="9">L56/$L$56</f>
        <v>1</v>
      </c>
      <c r="N56" s="166">
        <f>('CBS (Total)'!N54*'Performance &amp; Economics'!$G$143)/'CBS (CoE)'!N$2/10</f>
        <v>66.542996622369373</v>
      </c>
      <c r="O56" s="160">
        <f t="shared" ref="O56" si="10">N56/$N$56</f>
        <v>1</v>
      </c>
      <c r="P56" s="166">
        <f>('CBS (Total)'!P54*'Performance &amp; Economics'!$G$143)/'CBS (CoE)'!P$2/10</f>
        <v>62.622507249221499</v>
      </c>
      <c r="Q56" s="161">
        <f t="shared" ref="Q56" si="11">P56/$P$56</f>
        <v>1</v>
      </c>
    </row>
    <row r="57" spans="1:18" s="61" customFormat="1" x14ac:dyDescent="0.25">
      <c r="I57" s="63"/>
      <c r="J57" s="163"/>
      <c r="K57" s="88"/>
      <c r="L57" s="163"/>
      <c r="M57" s="88"/>
      <c r="N57" s="163"/>
      <c r="O57" s="88"/>
      <c r="P57" s="163"/>
      <c r="Q57" s="63"/>
      <c r="R57" s="73"/>
    </row>
    <row r="58" spans="1:18" s="62" customFormat="1" outlineLevel="1" x14ac:dyDescent="0.25">
      <c r="A58" s="74">
        <v>2</v>
      </c>
      <c r="B58" s="61" t="s">
        <v>58</v>
      </c>
      <c r="C58" s="61"/>
      <c r="D58" s="61"/>
      <c r="E58" s="61"/>
      <c r="F58" s="61"/>
      <c r="G58" s="61"/>
      <c r="H58" s="61"/>
      <c r="I58" s="83"/>
      <c r="J58" s="163">
        <f>('CBS (Total)'!J56)/'CBS (CoE)'!J$2/10</f>
        <v>166.50787840010847</v>
      </c>
      <c r="K58" s="96">
        <f>J58/$J$56</f>
        <v>0.59275342172823164</v>
      </c>
      <c r="L58" s="163">
        <f>('CBS (Total)'!L56)/'CBS (CoE)'!L$2/10</f>
        <v>47.017651393181382</v>
      </c>
      <c r="M58" s="96">
        <f>L58/$L$56</f>
        <v>0.47841969798597073</v>
      </c>
      <c r="N58" s="163">
        <f>('CBS (Total)'!N56)/'CBS (CoE)'!N$2/10</f>
        <v>18.88301931930047</v>
      </c>
      <c r="O58" s="96">
        <f>N58/$N$56</f>
        <v>0.28377170067139229</v>
      </c>
      <c r="P58" s="163">
        <f>('CBS (Total)'!P56)/'CBS (CoE)'!P$2/10</f>
        <v>13.355743979347485</v>
      </c>
      <c r="Q58" s="96">
        <f>P58/$P$56</f>
        <v>0.21327386216260957</v>
      </c>
      <c r="R58" s="61"/>
    </row>
    <row r="59" spans="1:18" s="62" customFormat="1" outlineLevel="1" x14ac:dyDescent="0.25">
      <c r="A59" s="85">
        <v>2.1</v>
      </c>
      <c r="C59" s="62" t="s">
        <v>52</v>
      </c>
      <c r="I59" s="80"/>
      <c r="J59" s="164">
        <f>('CBS (Total)'!J57)/'CBS (CoE)'!J$2/10</f>
        <v>32.371898513932351</v>
      </c>
      <c r="K59" s="95">
        <f t="shared" ref="K59:K64" si="12">J59/$J$56</f>
        <v>0.11524111529343682</v>
      </c>
      <c r="L59" s="164">
        <f>('CBS (Total)'!L57)/'CBS (CoE)'!L$2/10</f>
        <v>13.368137316315858</v>
      </c>
      <c r="M59" s="95">
        <f t="shared" ref="M59:M64" si="13">L59/$L$56</f>
        <v>0.1360250890463304</v>
      </c>
      <c r="N59" s="164">
        <f>('CBS (Total)'!N57)/'CBS (CoE)'!N$2/10</f>
        <v>5.0594956322368301</v>
      </c>
      <c r="O59" s="95">
        <f t="shared" ref="O59:O64" si="14">N59/$N$56</f>
        <v>7.6033480441967491E-2</v>
      </c>
      <c r="P59" s="164">
        <f>('CBS (Total)'!P57)/'CBS (CoE)'!P$2/10</f>
        <v>2.4512703311756225</v>
      </c>
      <c r="Q59" s="95">
        <f t="shared" ref="Q59:Q64" si="15">P59/$P$56</f>
        <v>3.9143599304004163E-2</v>
      </c>
    </row>
    <row r="60" spans="1:18" s="62" customFormat="1" outlineLevel="1" x14ac:dyDescent="0.25">
      <c r="A60" s="85">
        <v>2.2000000000000002</v>
      </c>
      <c r="C60" s="62" t="s">
        <v>53</v>
      </c>
      <c r="I60" s="80"/>
      <c r="J60" s="164">
        <f>('CBS (Total)'!J58)/'CBS (CoE)'!J$2/10</f>
        <v>101.32214921504833</v>
      </c>
      <c r="K60" s="95">
        <f t="shared" si="12"/>
        <v>0.36069795147926909</v>
      </c>
      <c r="L60" s="164">
        <f>('CBS (Total)'!L58)/'CBS (CoE)'!L$2/10</f>
        <v>15.997482995784392</v>
      </c>
      <c r="M60" s="95">
        <f t="shared" si="13"/>
        <v>0.1627795254887785</v>
      </c>
      <c r="N60" s="164">
        <f>('CBS (Total)'!N58)/'CBS (CoE)'!N$2/10</f>
        <v>3.1994965991568778</v>
      </c>
      <c r="O60" s="95">
        <f t="shared" si="14"/>
        <v>4.8081642870909144E-2</v>
      </c>
      <c r="P60" s="164">
        <f>('CBS (Total)'!P58)/'CBS (CoE)'!P$2/10</f>
        <v>1.5997482995784389</v>
      </c>
      <c r="Q60" s="95">
        <f t="shared" si="15"/>
        <v>2.5545899866510478E-2</v>
      </c>
      <c r="R60" s="88"/>
    </row>
    <row r="61" spans="1:18" s="62" customFormat="1" outlineLevel="1" x14ac:dyDescent="0.25">
      <c r="A61" s="85">
        <v>2.2999999999999998</v>
      </c>
      <c r="C61" s="62" t="s">
        <v>54</v>
      </c>
      <c r="I61" s="80"/>
      <c r="J61" s="164">
        <f>('CBS (Total)'!J59)/'CBS (CoE)'!J$2/10</f>
        <v>3.7915889894290409</v>
      </c>
      <c r="K61" s="95">
        <f t="shared" si="12"/>
        <v>1.3497723764581268E-2</v>
      </c>
      <c r="L61" s="164">
        <f>('CBS (Total)'!L59)/'CBS (CoE)'!L$2/10</f>
        <v>3.7915889894290409</v>
      </c>
      <c r="M61" s="95">
        <f t="shared" si="13"/>
        <v>3.8580635260583016E-2</v>
      </c>
      <c r="N61" s="164">
        <f>('CBS (Total)'!N59)/'CBS (CoE)'!N$2/10</f>
        <v>1.6049428435663653</v>
      </c>
      <c r="O61" s="95">
        <f t="shared" si="14"/>
        <v>2.4118884406038921E-2</v>
      </c>
      <c r="P61" s="164">
        <f>('CBS (Total)'!P59)/'CBS (CoE)'!P$2/10</f>
        <v>1.6049428435663653</v>
      </c>
      <c r="Q61" s="95">
        <f t="shared" si="15"/>
        <v>2.5628849978476666E-2</v>
      </c>
      <c r="R61" s="153"/>
    </row>
    <row r="62" spans="1:18" s="62" customFormat="1" outlineLevel="1" x14ac:dyDescent="0.25">
      <c r="A62" s="85">
        <v>2.4</v>
      </c>
      <c r="C62" s="62" t="s">
        <v>55</v>
      </c>
      <c r="I62" s="80"/>
      <c r="J62" s="164">
        <f>('CBS (Total)'!J60)/'CBS (CoE)'!J$2/10</f>
        <v>20.201781359199234</v>
      </c>
      <c r="K62" s="95">
        <f t="shared" si="12"/>
        <v>7.191656719627719E-2</v>
      </c>
      <c r="L62" s="164">
        <f>('CBS (Total)'!L60)/'CBS (CoE)'!L$2/10</f>
        <v>5.7073767702069818</v>
      </c>
      <c r="M62" s="95">
        <f t="shared" si="13"/>
        <v>5.8074390995432761E-2</v>
      </c>
      <c r="N62" s="164">
        <f>('CBS (Total)'!N60)/'CBS (CoE)'!N$2/10</f>
        <v>1.2977569203067254</v>
      </c>
      <c r="O62" s="95">
        <f t="shared" si="14"/>
        <v>1.9502531989526693E-2</v>
      </c>
      <c r="P62" s="164">
        <f>('CBS (Total)'!P60)/'CBS (CoE)'!P$2/10</f>
        <v>0.96275164526119583</v>
      </c>
      <c r="Q62" s="95">
        <f t="shared" si="15"/>
        <v>1.5373891713241239E-2</v>
      </c>
    </row>
    <row r="63" spans="1:18" s="62" customFormat="1" outlineLevel="1" x14ac:dyDescent="0.25">
      <c r="A63" s="165">
        <v>2.5</v>
      </c>
      <c r="C63" s="62" t="s">
        <v>56</v>
      </c>
      <c r="I63" s="80"/>
      <c r="J63" s="164">
        <f>('CBS (Total)'!J61)/'CBS (CoE)'!J$2/10</f>
        <v>7.6788023031750186</v>
      </c>
      <c r="K63" s="95">
        <f t="shared" si="12"/>
        <v>2.7335861724478338E-2</v>
      </c>
      <c r="L63" s="164">
        <f>('CBS (Total)'!L61)/'CBS (CoE)'!L$2/10</f>
        <v>7.0114073021206185</v>
      </c>
      <c r="M63" s="95">
        <f>L63/$L$56</f>
        <v>7.1343320317859157E-2</v>
      </c>
      <c r="N63" s="164">
        <f>('CBS (Total)'!N61)/'CBS (CoE)'!N$2/10</f>
        <v>6.5796693047091832</v>
      </c>
      <c r="O63" s="95">
        <f t="shared" si="14"/>
        <v>9.8878464131225099E-2</v>
      </c>
      <c r="P63" s="164">
        <f>('CBS (Total)'!P61)/'CBS (CoE)'!P$2/10</f>
        <v>5.5953728404413763</v>
      </c>
      <c r="Q63" s="95">
        <f t="shared" si="15"/>
        <v>8.9350827461654153E-2</v>
      </c>
    </row>
    <row r="64" spans="1:18" x14ac:dyDescent="0.25">
      <c r="A64" s="85">
        <v>2.6</v>
      </c>
      <c r="B64" s="62"/>
      <c r="C64" s="62" t="s">
        <v>57</v>
      </c>
      <c r="D64" s="62"/>
      <c r="E64" s="62"/>
      <c r="F64" s="62"/>
      <c r="G64" s="62"/>
      <c r="H64" s="62"/>
      <c r="I64" s="80"/>
      <c r="J64" s="164">
        <f>('CBS (Total)'!J62)/'CBS (CoE)'!J$2/10</f>
        <v>1.1416580193244883</v>
      </c>
      <c r="K64" s="95">
        <f t="shared" si="12"/>
        <v>4.0642022701889479E-3</v>
      </c>
      <c r="L64" s="164">
        <f>('CBS (Total)'!L62)/'CBS (CoE)'!L$2/10</f>
        <v>1.1416580193244883</v>
      </c>
      <c r="M64" s="95">
        <f t="shared" si="13"/>
        <v>1.1616736876986869E-2</v>
      </c>
      <c r="N64" s="164">
        <f>('CBS (Total)'!N62)/'CBS (CoE)'!N$2/10</f>
        <v>1.1416580193244881</v>
      </c>
      <c r="O64" s="95">
        <f t="shared" si="14"/>
        <v>1.7156696831724941E-2</v>
      </c>
      <c r="P64" s="164">
        <f>('CBS (Total)'!P62)/'CBS (CoE)'!P$2/10</f>
        <v>1.1416580193244881</v>
      </c>
      <c r="Q64" s="95">
        <f t="shared" si="15"/>
        <v>1.8230793838722909E-2</v>
      </c>
      <c r="R64" s="62"/>
    </row>
    <row r="65" spans="1:18" s="61" customFormat="1" x14ac:dyDescent="0.25">
      <c r="A65" s="40"/>
      <c r="B65" s="73"/>
      <c r="C65" s="73"/>
      <c r="D65" s="73"/>
      <c r="E65" s="73"/>
      <c r="F65" s="73"/>
      <c r="G65" s="73"/>
      <c r="H65" s="73"/>
      <c r="I65" s="63"/>
      <c r="J65" s="163"/>
      <c r="K65" s="80"/>
      <c r="L65" s="163"/>
      <c r="M65" s="80"/>
      <c r="N65" s="163"/>
      <c r="O65" s="80"/>
      <c r="P65" s="163"/>
      <c r="Q65" s="63"/>
      <c r="R65" s="73"/>
    </row>
    <row r="66" spans="1:18" x14ac:dyDescent="0.25">
      <c r="A66" s="155" t="s">
        <v>208</v>
      </c>
      <c r="B66" s="156"/>
      <c r="C66" s="156"/>
      <c r="D66" s="156"/>
      <c r="E66" s="156"/>
      <c r="F66" s="156"/>
      <c r="G66" s="156"/>
      <c r="H66" s="156"/>
      <c r="I66" s="156"/>
      <c r="J66" s="166">
        <f>('CBS (Total)'!J64)/'CBS (CoE)'!J$2/10</f>
        <v>166.50787840010847</v>
      </c>
      <c r="K66" s="158">
        <f t="shared" ref="K66:Q66" si="16">SUM(K59:K64)</f>
        <v>0.59275342172823164</v>
      </c>
      <c r="L66" s="166">
        <f>('CBS (Total)'!L64)/'CBS (CoE)'!L$2/10</f>
        <v>47.017651393181382</v>
      </c>
      <c r="M66" s="158">
        <f t="shared" si="16"/>
        <v>0.47841969798597073</v>
      </c>
      <c r="N66" s="166">
        <f>('CBS (Total)'!N64)/'CBS (CoE)'!N$2/10</f>
        <v>18.88301931930047</v>
      </c>
      <c r="O66" s="158">
        <f t="shared" si="16"/>
        <v>0.28377170067139229</v>
      </c>
      <c r="P66" s="166">
        <f>('CBS (Total)'!P64)/'CBS (CoE)'!P$2/10</f>
        <v>13.355743979347485</v>
      </c>
      <c r="Q66" s="158">
        <f t="shared" si="16"/>
        <v>0.21327386216260963</v>
      </c>
      <c r="R66" s="61"/>
    </row>
    <row r="67" spans="1:18" x14ac:dyDescent="0.25">
      <c r="J67" s="4"/>
      <c r="K67" s="88"/>
      <c r="L67" s="4"/>
      <c r="M67" s="88"/>
      <c r="N67" s="4"/>
      <c r="O67" s="88"/>
      <c r="P67" s="4"/>
    </row>
    <row r="68" spans="1:18" x14ac:dyDescent="0.25">
      <c r="J68" s="63"/>
      <c r="K68" s="80"/>
      <c r="L68" s="738"/>
      <c r="M68" s="80"/>
      <c r="N68" s="63"/>
      <c r="O68" s="80"/>
      <c r="P68" s="63"/>
    </row>
  </sheetData>
  <mergeCells count="1">
    <mergeCell ref="J3:P3"/>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8"/>
  <sheetViews>
    <sheetView zoomScale="70" zoomScaleNormal="70" workbookViewId="0">
      <pane xSplit="8" ySplit="4" topLeftCell="K37" activePane="bottomRight" state="frozen"/>
      <selection activeCell="A3" sqref="A3"/>
      <selection pane="topRight" activeCell="I3" sqref="I3"/>
      <selection pane="bottomLeft" activeCell="A5" sqref="A5"/>
      <selection pane="bottomRight" activeCell="F68" sqref="F68"/>
    </sheetView>
  </sheetViews>
  <sheetFormatPr defaultColWidth="9.140625" defaultRowHeight="15" outlineLevelRow="2" x14ac:dyDescent="0.25"/>
  <cols>
    <col min="1" max="1" width="8.42578125" style="40" customWidth="1"/>
    <col min="2" max="2" width="3.85546875" style="73" customWidth="1"/>
    <col min="3" max="4" width="4.140625" style="73" customWidth="1"/>
    <col min="5" max="7" width="9.140625" style="73"/>
    <col min="8" max="9" width="20.28515625" style="73" customWidth="1"/>
    <col min="10" max="10" width="19.5703125" style="73" bestFit="1" customWidth="1"/>
    <col min="11" max="11" width="10.140625" style="62" customWidth="1"/>
    <col min="12" max="12" width="20.42578125" style="73" bestFit="1" customWidth="1"/>
    <col min="13" max="13" width="10.140625" style="62" customWidth="1"/>
    <col min="14" max="14" width="22.7109375" style="73" bestFit="1" customWidth="1"/>
    <col min="15" max="15" width="11.5703125" style="62" customWidth="1"/>
    <col min="16" max="16" width="20.85546875" style="73" customWidth="1"/>
    <col min="17" max="17" width="11" style="73" customWidth="1"/>
    <col min="18" max="18" width="17.140625" style="73" bestFit="1" customWidth="1"/>
    <col min="19" max="19" width="16.85546875" style="73" bestFit="1" customWidth="1"/>
    <col min="20" max="22" width="13.28515625" style="73" bestFit="1" customWidth="1"/>
    <col min="23" max="16384" width="9.140625" style="73"/>
  </cols>
  <sheetData>
    <row r="1" spans="1:19" ht="23.25" customHeight="1" x14ac:dyDescent="0.25">
      <c r="A1" s="40" t="s">
        <v>209</v>
      </c>
      <c r="J1" s="520">
        <f>'CBS (Total)'!J2*'Performance &amp; Economics'!$S$15</f>
        <v>286</v>
      </c>
      <c r="K1" s="520"/>
      <c r="L1" s="520">
        <f>'CBS (Total)'!L2*'Performance &amp; Economics'!$S$15</f>
        <v>2860</v>
      </c>
      <c r="M1" s="520"/>
      <c r="N1" s="520">
        <f>'CBS (Total)'!N2*'Performance &amp; Economics'!$S$15</f>
        <v>14300</v>
      </c>
      <c r="O1" s="520"/>
      <c r="P1" s="520">
        <f>'CBS (Total)'!P2*'Performance &amp; Economics'!$S$15</f>
        <v>28600</v>
      </c>
    </row>
    <row r="2" spans="1:19" ht="29.25" customHeight="1" x14ac:dyDescent="0.25"/>
    <row r="3" spans="1:19" ht="20.25" customHeight="1" x14ac:dyDescent="0.25">
      <c r="A3" s="3" t="s">
        <v>277</v>
      </c>
      <c r="I3" s="61"/>
      <c r="J3" s="749" t="s">
        <v>66</v>
      </c>
      <c r="K3" s="749"/>
      <c r="L3" s="749"/>
      <c r="M3" s="749"/>
      <c r="N3" s="749"/>
      <c r="O3" s="749"/>
      <c r="P3" s="749"/>
      <c r="Q3" s="61"/>
    </row>
    <row r="4" spans="1:19" ht="22.5" customHeight="1" x14ac:dyDescent="0.25">
      <c r="I4" s="61" t="s">
        <v>112</v>
      </c>
      <c r="J4" s="61">
        <v>1</v>
      </c>
      <c r="K4" s="101" t="s">
        <v>147</v>
      </c>
      <c r="L4" s="61">
        <v>10</v>
      </c>
      <c r="M4" s="101" t="s">
        <v>147</v>
      </c>
      <c r="N4" s="61">
        <v>50</v>
      </c>
      <c r="O4" s="101" t="s">
        <v>148</v>
      </c>
      <c r="P4" s="61">
        <v>100</v>
      </c>
      <c r="Q4" s="101" t="s">
        <v>148</v>
      </c>
      <c r="R4" s="61"/>
      <c r="S4" s="74"/>
    </row>
    <row r="5" spans="1:19" x14ac:dyDescent="0.25">
      <c r="A5" s="74">
        <v>1</v>
      </c>
      <c r="B5" s="61" t="s">
        <v>0</v>
      </c>
      <c r="J5" s="66"/>
      <c r="K5" s="93"/>
      <c r="L5" s="66"/>
      <c r="M5" s="93"/>
      <c r="N5" s="66"/>
      <c r="O5" s="93"/>
      <c r="P5" s="66"/>
    </row>
    <row r="6" spans="1:19" s="61" customFormat="1" x14ac:dyDescent="0.25">
      <c r="A6" s="74">
        <v>1.1000000000000001</v>
      </c>
      <c r="C6" s="61" t="s">
        <v>101</v>
      </c>
      <c r="J6" s="151">
        <f>'CBS (Total)'!J4/'CBS ($ per kW)'!J$1</f>
        <v>15920.941949255715</v>
      </c>
      <c r="K6" s="90">
        <f t="shared" ref="K6:K37" si="0">J6/$J$56</f>
        <v>0.26041689758480457</v>
      </c>
      <c r="L6" s="151">
        <f>'CBS (Total)'!L4/'CBS ($ per kW)'!L$1</f>
        <v>3067.7662782410694</v>
      </c>
      <c r="M6" s="90">
        <f t="shared" ref="M6:M37" si="1">L6/$L$56</f>
        <v>0.14342719651329047</v>
      </c>
      <c r="N6" s="151">
        <f>'CBS (Total)'!N4/'CBS ($ per kW)'!N$1</f>
        <v>769.45168383174973</v>
      </c>
      <c r="O6" s="90">
        <f t="shared" ref="O6:O37" si="2">N6/$N$56</f>
        <v>5.3130037114327067E-2</v>
      </c>
      <c r="P6" s="391">
        <f>'CBS (Total)'!P4/'CBS ($ per kW)'!P$1</f>
        <v>378.32376192832874</v>
      </c>
      <c r="Q6" s="96">
        <f t="shared" ref="Q6:Q37" si="3">P6/$P$56</f>
        <v>2.7758390895052016E-2</v>
      </c>
      <c r="R6" s="120"/>
      <c r="S6" s="120"/>
    </row>
    <row r="7" spans="1:19" s="62" customFormat="1" outlineLevel="1" x14ac:dyDescent="0.25">
      <c r="A7" s="85" t="s">
        <v>2</v>
      </c>
      <c r="D7" s="62" t="s">
        <v>1</v>
      </c>
      <c r="I7" s="80"/>
      <c r="J7" s="716">
        <f>'CBS (Total)'!J5/'CBS ($ per kW)'!J$1</f>
        <v>12596.153846153846</v>
      </c>
      <c r="K7" s="712">
        <f t="shared" si="0"/>
        <v>0.20603374577781414</v>
      </c>
      <c r="L7" s="716">
        <f>'CBS (Total)'!L5/'CBS ($ per kW)'!L$1</f>
        <v>2398.6013986013986</v>
      </c>
      <c r="M7" s="712">
        <f t="shared" si="1"/>
        <v>0.11214174840969492</v>
      </c>
      <c r="N7" s="716">
        <f>'CBS (Total)'!N5/'CBS ($ per kW)'!N$1</f>
        <v>490.73426573426576</v>
      </c>
      <c r="O7" s="712">
        <f t="shared" si="2"/>
        <v>3.3884817331083665E-2</v>
      </c>
      <c r="P7" s="711">
        <f>'CBS (Total)'!P5/'CBS ($ per kW)'!P$1</f>
        <v>245.36713286713288</v>
      </c>
      <c r="Q7" s="713">
        <f t="shared" si="3"/>
        <v>1.8003090136892705E-2</v>
      </c>
      <c r="R7" s="93"/>
      <c r="S7" s="93"/>
    </row>
    <row r="8" spans="1:19" s="62" customFormat="1" outlineLevel="2" x14ac:dyDescent="0.25">
      <c r="A8" s="85" t="s">
        <v>102</v>
      </c>
      <c r="E8" s="62" t="s">
        <v>3</v>
      </c>
      <c r="I8" s="80"/>
      <c r="J8" s="716">
        <f>'CBS (Total)'!J6/'CBS ($ per kW)'!J$1</f>
        <v>1171.3286713286714</v>
      </c>
      <c r="K8" s="712">
        <f t="shared" si="0"/>
        <v>1.9159279621254056E-2</v>
      </c>
      <c r="L8" s="716">
        <f>'CBS (Total)'!L6/'CBS ($ per kW)'!L$1</f>
        <v>148.60139860139861</v>
      </c>
      <c r="M8" s="712">
        <f t="shared" si="1"/>
        <v>6.9475572994344521E-3</v>
      </c>
      <c r="N8" s="716">
        <f>'CBS (Total)'!N6/'CBS ($ per kW)'!N$1</f>
        <v>29.72027972027972</v>
      </c>
      <c r="O8" s="712">
        <f t="shared" si="2"/>
        <v>2.0521620756267268E-3</v>
      </c>
      <c r="P8" s="711">
        <f>'CBS (Total)'!P6/'CBS ($ per kW)'!P$1</f>
        <v>14.86013986013986</v>
      </c>
      <c r="Q8" s="713">
        <f t="shared" si="3"/>
        <v>1.09031896090907E-3</v>
      </c>
    </row>
    <row r="9" spans="1:19" s="62" customFormat="1" outlineLevel="2" x14ac:dyDescent="0.25">
      <c r="A9" s="85" t="s">
        <v>103</v>
      </c>
      <c r="E9" s="62" t="s">
        <v>5</v>
      </c>
      <c r="I9" s="80"/>
      <c r="J9" s="716">
        <f>'CBS (Total)'!J7/'CBS ($ per kW)'!J$1</f>
        <v>5708.0419580419584</v>
      </c>
      <c r="K9" s="712">
        <f t="shared" si="0"/>
        <v>9.3365743228947001E-2</v>
      </c>
      <c r="L9" s="716">
        <f>'CBS (Total)'!L7/'CBS ($ per kW)'!L$1</f>
        <v>996.50349650349654</v>
      </c>
      <c r="M9" s="712">
        <f t="shared" si="1"/>
        <v>4.6589501890325152E-2</v>
      </c>
      <c r="N9" s="716">
        <f>'CBS (Total)'!N7/'CBS ($ per kW)'!N$1</f>
        <v>194.58041958041957</v>
      </c>
      <c r="O9" s="712">
        <f t="shared" si="2"/>
        <v>1.3435625824544394E-2</v>
      </c>
      <c r="P9" s="711">
        <f>'CBS (Total)'!P7/'CBS ($ per kW)'!P$1</f>
        <v>97.290209790209786</v>
      </c>
      <c r="Q9" s="713">
        <f t="shared" si="3"/>
        <v>7.1383823734811475E-3</v>
      </c>
      <c r="R9" s="93"/>
    </row>
    <row r="10" spans="1:19" s="62" customFormat="1" outlineLevel="2" x14ac:dyDescent="0.25">
      <c r="A10" s="85" t="s">
        <v>104</v>
      </c>
      <c r="E10" s="62" t="s">
        <v>7</v>
      </c>
      <c r="I10" s="80"/>
      <c r="J10" s="716">
        <f>'CBS (Total)'!J8/'CBS ($ per kW)'!J$1</f>
        <v>2482.5174825174827</v>
      </c>
      <c r="K10" s="712">
        <f t="shared" si="0"/>
        <v>4.0606234421165316E-2</v>
      </c>
      <c r="L10" s="716">
        <f>'CBS (Total)'!L8/'CBS ($ per kW)'!L$1</f>
        <v>793.70629370629365</v>
      </c>
      <c r="M10" s="712">
        <f t="shared" si="1"/>
        <v>3.7108129575802833E-2</v>
      </c>
      <c r="N10" s="716">
        <f>'CBS (Total)'!N8/'CBS ($ per kW)'!N$1</f>
        <v>158.74125874125875</v>
      </c>
      <c r="O10" s="712">
        <f t="shared" si="2"/>
        <v>1.096095979217099E-2</v>
      </c>
      <c r="P10" s="711">
        <f>'CBS (Total)'!P8/'CBS ($ per kW)'!P$1</f>
        <v>79.370629370629374</v>
      </c>
      <c r="Q10" s="713">
        <f t="shared" si="3"/>
        <v>5.8235859794437397E-3</v>
      </c>
    </row>
    <row r="11" spans="1:19" s="62" customFormat="1" outlineLevel="2" x14ac:dyDescent="0.25">
      <c r="A11" s="85" t="s">
        <v>105</v>
      </c>
      <c r="E11" s="62" t="s">
        <v>8</v>
      </c>
      <c r="I11" s="80"/>
      <c r="J11" s="716">
        <f>'CBS (Total)'!J9/'CBS ($ per kW)'!J$1</f>
        <v>3234.2657342657344</v>
      </c>
      <c r="K11" s="712">
        <f t="shared" si="0"/>
        <v>5.2902488506447763E-2</v>
      </c>
      <c r="L11" s="716">
        <f>'CBS (Total)'!L9/'CBS ($ per kW)'!L$1</f>
        <v>459.79020979020981</v>
      </c>
      <c r="M11" s="712">
        <f t="shared" si="1"/>
        <v>2.1496559644132482E-2</v>
      </c>
      <c r="N11" s="716">
        <f>'CBS (Total)'!N9/'CBS ($ per kW)'!N$1</f>
        <v>107.69230769230769</v>
      </c>
      <c r="O11" s="712">
        <f t="shared" si="2"/>
        <v>7.4360696387415519E-3</v>
      </c>
      <c r="P11" s="711">
        <f>'CBS (Total)'!P9/'CBS ($ per kW)'!P$1</f>
        <v>53.846153846153847</v>
      </c>
      <c r="Q11" s="713">
        <f t="shared" si="3"/>
        <v>3.9508028230587485E-3</v>
      </c>
    </row>
    <row r="12" spans="1:19" s="62" customFormat="1" outlineLevel="1" x14ac:dyDescent="0.25">
      <c r="A12" s="85" t="s">
        <v>4</v>
      </c>
      <c r="D12" s="62" t="s">
        <v>106</v>
      </c>
      <c r="I12" s="80"/>
      <c r="J12" s="716">
        <f>'CBS (Total)'!J10/'CBS ($ per kW)'!J$1</f>
        <v>678.19230769230774</v>
      </c>
      <c r="K12" s="712">
        <f t="shared" si="0"/>
        <v>1.1093108516947166E-2</v>
      </c>
      <c r="L12" s="716">
        <f>'CBS (Total)'!L10/'CBS ($ per kW)'!L$1</f>
        <v>102.81853146853148</v>
      </c>
      <c r="M12" s="712">
        <f t="shared" si="1"/>
        <v>4.8070721106564579E-3</v>
      </c>
      <c r="N12" s="716">
        <f>'CBS (Total)'!N10/'CBS ($ per kW)'!N$1</f>
        <v>20.563706293706293</v>
      </c>
      <c r="O12" s="712">
        <f t="shared" si="2"/>
        <v>1.4199078402844022E-3</v>
      </c>
      <c r="P12" s="711">
        <f>'CBS (Total)'!P10/'CBS ($ per kW)'!P$1</f>
        <v>10.281853146853146</v>
      </c>
      <c r="Q12" s="713">
        <f t="shared" si="3"/>
        <v>7.544006681503107E-4</v>
      </c>
    </row>
    <row r="13" spans="1:19" s="62" customFormat="1" outlineLevel="1" x14ac:dyDescent="0.25">
      <c r="A13" s="85" t="s">
        <v>6</v>
      </c>
      <c r="D13" s="62" t="s">
        <v>163</v>
      </c>
      <c r="I13" s="80"/>
      <c r="J13" s="716">
        <f>'CBS (Total)'!J11/'CBS ($ per kW)'!J$1</f>
        <v>2646.5957954095616</v>
      </c>
      <c r="K13" s="712">
        <f t="shared" si="0"/>
        <v>4.3290043290043295E-2</v>
      </c>
      <c r="L13" s="716">
        <f>'CBS (Total)'!L11/'CBS ($ per kW)'!L$1</f>
        <v>566.34634817113965</v>
      </c>
      <c r="M13" s="712">
        <f t="shared" si="1"/>
        <v>2.6478375992939101E-2</v>
      </c>
      <c r="N13" s="716">
        <f>'CBS (Total)'!N11/'CBS ($ per kW)'!N$1</f>
        <v>258.1537118037777</v>
      </c>
      <c r="O13" s="712">
        <f t="shared" si="2"/>
        <v>1.7825311942959002E-2</v>
      </c>
      <c r="P13" s="711">
        <f>'CBS (Total)'!P11/'CBS ($ per kW)'!P$1</f>
        <v>122.67477591434276</v>
      </c>
      <c r="Q13" s="713">
        <f t="shared" si="3"/>
        <v>9.0009000900090012E-3</v>
      </c>
    </row>
    <row r="14" spans="1:19" s="61" customFormat="1" x14ac:dyDescent="0.25">
      <c r="A14" s="74">
        <v>1.2</v>
      </c>
      <c r="C14" s="61" t="s">
        <v>10</v>
      </c>
      <c r="I14" s="83"/>
      <c r="J14" s="715">
        <f>'CBS (Total)'!J12/'CBS ($ per kW)'!J$1</f>
        <v>3461.5384615384614</v>
      </c>
      <c r="K14" s="90">
        <f t="shared" si="0"/>
        <v>5.6619960671765716E-2</v>
      </c>
      <c r="L14" s="715">
        <f>'CBS (Total)'!L12/'CBS ($ per kW)'!L$1</f>
        <v>1699.3006993006993</v>
      </c>
      <c r="M14" s="90">
        <f t="shared" si="1"/>
        <v>7.9447361118238677E-2</v>
      </c>
      <c r="N14" s="715">
        <f>'CBS (Total)'!N12/'CBS ($ per kW)'!N$1</f>
        <v>529.09090909090912</v>
      </c>
      <c r="O14" s="90">
        <f t="shared" si="2"/>
        <v>3.653331356280428E-2</v>
      </c>
      <c r="P14" s="710">
        <f>'CBS (Total)'!P12/'CBS ($ per kW)'!P$1</f>
        <v>605.2447552447552</v>
      </c>
      <c r="Q14" s="96">
        <f t="shared" si="3"/>
        <v>4.4408049913731769E-2</v>
      </c>
    </row>
    <row r="15" spans="1:19" s="62" customFormat="1" outlineLevel="1" x14ac:dyDescent="0.25">
      <c r="A15" s="85" t="s">
        <v>9</v>
      </c>
      <c r="D15" s="62" t="s">
        <v>12</v>
      </c>
      <c r="I15" s="80"/>
      <c r="J15" s="716">
        <f>'CBS (Total)'!J13/'CBS ($ per kW)'!J$1</f>
        <v>3146.8531468531469</v>
      </c>
      <c r="K15" s="712">
        <f t="shared" si="0"/>
        <v>5.1472691519787013E-2</v>
      </c>
      <c r="L15" s="716">
        <f>'CBS (Total)'!L13/'CBS ($ per kW)'!L$1</f>
        <v>314.68531468531467</v>
      </c>
      <c r="M15" s="712">
        <f t="shared" si="1"/>
        <v>1.4712474281155309E-2</v>
      </c>
      <c r="N15" s="716">
        <f>'CBS (Total)'!N13/'CBS ($ per kW)'!N$1</f>
        <v>234.96503496503496</v>
      </c>
      <c r="O15" s="712">
        <f t="shared" si="2"/>
        <v>1.6224151939072479E-2</v>
      </c>
      <c r="P15" s="711">
        <f>'CBS (Total)'!P13/'CBS ($ per kW)'!P$1</f>
        <v>304.19580419580421</v>
      </c>
      <c r="Q15" s="713">
        <f t="shared" si="3"/>
        <v>2.2319470493903319E-2</v>
      </c>
    </row>
    <row r="16" spans="1:19" s="62" customFormat="1" outlineLevel="1" x14ac:dyDescent="0.25">
      <c r="A16" s="85" t="s">
        <v>11</v>
      </c>
      <c r="D16" s="62" t="s">
        <v>151</v>
      </c>
      <c r="I16" s="80"/>
      <c r="J16" s="716">
        <f>'CBS (Total)'!J14/'CBS ($ per kW)'!J$1</f>
        <v>314.68531468531467</v>
      </c>
      <c r="K16" s="712">
        <f t="shared" si="0"/>
        <v>5.1472691519787008E-3</v>
      </c>
      <c r="L16" s="716">
        <f>'CBS (Total)'!L14/'CBS ($ per kW)'!L$1</f>
        <v>31.46853146853147</v>
      </c>
      <c r="M16" s="712">
        <f t="shared" si="1"/>
        <v>1.4712474281155311E-3</v>
      </c>
      <c r="N16" s="716">
        <f>'CBS (Total)'!N14/'CBS ($ per kW)'!N$1</f>
        <v>23.496503496503497</v>
      </c>
      <c r="O16" s="712">
        <f t="shared" si="2"/>
        <v>1.6224151939072478E-3</v>
      </c>
      <c r="P16" s="711">
        <f>'CBS (Total)'!P14/'CBS ($ per kW)'!P$1</f>
        <v>30.41958041958042</v>
      </c>
      <c r="Q16" s="713">
        <f t="shared" si="3"/>
        <v>2.2319470493903319E-3</v>
      </c>
    </row>
    <row r="17" spans="1:27" s="62" customFormat="1" outlineLevel="1" x14ac:dyDescent="0.25">
      <c r="A17" s="85" t="s">
        <v>13</v>
      </c>
      <c r="D17" s="62" t="s">
        <v>14</v>
      </c>
      <c r="I17" s="80"/>
      <c r="J17" s="716">
        <f>'CBS (Total)'!J15/'CBS ($ per kW)'!J$1</f>
        <v>0</v>
      </c>
      <c r="K17" s="712">
        <f t="shared" si="0"/>
        <v>0</v>
      </c>
      <c r="L17" s="716">
        <f>'CBS (Total)'!L15/'CBS ($ per kW)'!L$1</f>
        <v>0</v>
      </c>
      <c r="M17" s="712">
        <f t="shared" si="1"/>
        <v>0</v>
      </c>
      <c r="N17" s="716">
        <f>'CBS (Total)'!N15/'CBS ($ per kW)'!N$1</f>
        <v>0</v>
      </c>
      <c r="O17" s="712">
        <f t="shared" si="2"/>
        <v>0</v>
      </c>
      <c r="P17" s="711">
        <f>'CBS (Total)'!P15/'CBS ($ per kW)'!P$1</f>
        <v>0</v>
      </c>
      <c r="Q17" s="713">
        <f t="shared" si="3"/>
        <v>0</v>
      </c>
    </row>
    <row r="18" spans="1:27" s="62" customFormat="1" outlineLevel="1" x14ac:dyDescent="0.25">
      <c r="A18" s="85" t="s">
        <v>15</v>
      </c>
      <c r="D18" s="62" t="s">
        <v>59</v>
      </c>
      <c r="I18" s="80"/>
      <c r="J18" s="716">
        <f>'CBS (Total)'!J16/'CBS ($ per kW)'!J$1</f>
        <v>0</v>
      </c>
      <c r="K18" s="712">
        <f t="shared" si="0"/>
        <v>0</v>
      </c>
      <c r="L18" s="716">
        <f>'CBS (Total)'!L16/'CBS ($ per kW)'!L$1</f>
        <v>1353.1468531468531</v>
      </c>
      <c r="M18" s="712">
        <f t="shared" si="1"/>
        <v>6.3263639408967828E-2</v>
      </c>
      <c r="N18" s="716">
        <f>'CBS (Total)'!N16/'CBS ($ per kW)'!N$1</f>
        <v>270.62937062937061</v>
      </c>
      <c r="O18" s="712">
        <f t="shared" si="2"/>
        <v>1.8686746429824548E-2</v>
      </c>
      <c r="P18" s="711">
        <f>'CBS (Total)'!P16/'CBS ($ per kW)'!P$1</f>
        <v>270.62937062937061</v>
      </c>
      <c r="Q18" s="713">
        <f t="shared" si="3"/>
        <v>1.9856632370438124E-2</v>
      </c>
    </row>
    <row r="19" spans="1:27" s="62" customFormat="1" outlineLevel="1" x14ac:dyDescent="0.25">
      <c r="A19" s="85" t="s">
        <v>16</v>
      </c>
      <c r="D19" s="62" t="s">
        <v>17</v>
      </c>
      <c r="I19" s="80"/>
      <c r="J19" s="716">
        <f>'CBS (Total)'!J17/'CBS ($ per kW)'!J$1</f>
        <v>0</v>
      </c>
      <c r="K19" s="712">
        <f t="shared" si="0"/>
        <v>0</v>
      </c>
      <c r="L19" s="716">
        <f>'CBS (Total)'!L17/'CBS ($ per kW)'!L$1</f>
        <v>0</v>
      </c>
      <c r="M19" s="712">
        <f t="shared" si="1"/>
        <v>0</v>
      </c>
      <c r="N19" s="716">
        <f>'CBS (Total)'!N17/'CBS ($ per kW)'!N$1</f>
        <v>0</v>
      </c>
      <c r="O19" s="712">
        <f t="shared" si="2"/>
        <v>0</v>
      </c>
      <c r="P19" s="711">
        <f>'CBS (Total)'!P17/'CBS ($ per kW)'!P$1</f>
        <v>0</v>
      </c>
      <c r="Q19" s="713">
        <f t="shared" si="3"/>
        <v>0</v>
      </c>
    </row>
    <row r="20" spans="1:27" s="61" customFormat="1" x14ac:dyDescent="0.25">
      <c r="A20" s="74">
        <v>1.3</v>
      </c>
      <c r="C20" s="61" t="s">
        <v>18</v>
      </c>
      <c r="I20" s="83"/>
      <c r="J20" s="715">
        <f>'CBS (Total)'!J18/'CBS ($ per kW)'!J$1</f>
        <v>1834.8776223776224</v>
      </c>
      <c r="K20" s="90">
        <f t="shared" si="0"/>
        <v>3.0012868546995811E-2</v>
      </c>
      <c r="L20" s="715">
        <f>'CBS (Total)'!L18/'CBS ($ per kW)'!L$1</f>
        <v>1651.38986013986</v>
      </c>
      <c r="M20" s="90">
        <f t="shared" si="1"/>
        <v>7.7207386908932779E-2</v>
      </c>
      <c r="N20" s="715">
        <f>'CBS (Total)'!N18/'CBS ($ per kW)'!N$1</f>
        <v>1651.38986013986</v>
      </c>
      <c r="O20" s="90">
        <f t="shared" si="2"/>
        <v>0.11402717857803694</v>
      </c>
      <c r="P20" s="710">
        <f>'CBS (Total)'!P18/'CBS ($ per kW)'!P$1</f>
        <v>1651.38986013986</v>
      </c>
      <c r="Q20" s="96">
        <f t="shared" si="3"/>
        <v>0.12116586339763566</v>
      </c>
    </row>
    <row r="21" spans="1:27" s="62" customFormat="1" outlineLevel="1" x14ac:dyDescent="0.25">
      <c r="A21" s="85" t="s">
        <v>19</v>
      </c>
      <c r="D21" s="62" t="s">
        <v>20</v>
      </c>
      <c r="I21" s="80"/>
      <c r="J21" s="716">
        <f>'CBS (Total)'!J19/'CBS ($ per kW)'!J$1</f>
        <v>638.02447552447552</v>
      </c>
      <c r="K21" s="712">
        <f t="shared" si="0"/>
        <v>1.0436088205636816E-2</v>
      </c>
      <c r="L21" s="716">
        <f>'CBS (Total)'!L19/'CBS ($ per kW)'!L$1</f>
        <v>574.22202797202794</v>
      </c>
      <c r="M21" s="712">
        <f t="shared" si="1"/>
        <v>2.6846587444538151E-2</v>
      </c>
      <c r="N21" s="716">
        <f>'CBS (Total)'!N19/'CBS ($ per kW)'!N$1</f>
        <v>574.22202797202794</v>
      </c>
      <c r="O21" s="712">
        <f t="shared" si="2"/>
        <v>3.9649582032351562E-2</v>
      </c>
      <c r="P21" s="711">
        <f>'CBS (Total)'!P19/'CBS ($ per kW)'!P$1</f>
        <v>574.22202797202794</v>
      </c>
      <c r="Q21" s="713">
        <f t="shared" si="3"/>
        <v>4.2131848741810425E-2</v>
      </c>
    </row>
    <row r="22" spans="1:27" s="62" customFormat="1" outlineLevel="1" x14ac:dyDescent="0.25">
      <c r="A22" s="85" t="s">
        <v>21</v>
      </c>
      <c r="D22" s="62" t="s">
        <v>22</v>
      </c>
      <c r="I22" s="80"/>
      <c r="J22" s="716">
        <f>'CBS (Total)'!J20/'CBS ($ per kW)'!J$1</f>
        <v>629.37062937062933</v>
      </c>
      <c r="K22" s="712">
        <f t="shared" si="0"/>
        <v>1.0294538303957402E-2</v>
      </c>
      <c r="L22" s="716">
        <f>'CBS (Total)'!L20/'CBS ($ per kW)'!L$1</f>
        <v>566.4335664335664</v>
      </c>
      <c r="M22" s="712">
        <f t="shared" si="1"/>
        <v>2.6482453706079555E-2</v>
      </c>
      <c r="N22" s="716">
        <f>'CBS (Total)'!N20/'CBS ($ per kW)'!N$1</f>
        <v>566.4335664335664</v>
      </c>
      <c r="O22" s="712">
        <f t="shared" si="2"/>
        <v>3.9111794853121148E-2</v>
      </c>
      <c r="P22" s="711">
        <f>'CBS (Total)'!P20/'CBS ($ per kW)'!P$1</f>
        <v>566.4335664335664</v>
      </c>
      <c r="Q22" s="713">
        <f t="shared" si="3"/>
        <v>4.1560393333475144E-2</v>
      </c>
    </row>
    <row r="23" spans="1:27" s="62" customFormat="1" outlineLevel="1" x14ac:dyDescent="0.25">
      <c r="A23" s="85" t="s">
        <v>23</v>
      </c>
      <c r="D23" s="62" t="s">
        <v>401</v>
      </c>
      <c r="I23" s="80"/>
      <c r="J23" s="716">
        <f>'CBS (Total)'!J21/'CBS ($ per kW)'!J$1</f>
        <v>209.79020979020979</v>
      </c>
      <c r="K23" s="712">
        <f t="shared" si="0"/>
        <v>3.4315127679858007E-3</v>
      </c>
      <c r="L23" s="716">
        <f>'CBS (Total)'!L21/'CBS ($ per kW)'!L$1</f>
        <v>188.8111888111888</v>
      </c>
      <c r="M23" s="712">
        <f t="shared" si="1"/>
        <v>8.8274845686931846E-3</v>
      </c>
      <c r="N23" s="716">
        <f>'CBS (Total)'!N21/'CBS ($ per kW)'!N$1</f>
        <v>188.8111888111888</v>
      </c>
      <c r="O23" s="712">
        <f t="shared" si="2"/>
        <v>1.3037264951040383E-2</v>
      </c>
      <c r="P23" s="711">
        <f>'CBS (Total)'!P21/'CBS ($ per kW)'!P$1</f>
        <v>188.8111888111888</v>
      </c>
      <c r="Q23" s="713">
        <f t="shared" si="3"/>
        <v>1.3853464444491714E-2</v>
      </c>
    </row>
    <row r="24" spans="1:27" s="62" customFormat="1" outlineLevel="1" x14ac:dyDescent="0.25">
      <c r="A24" s="85" t="s">
        <v>24</v>
      </c>
      <c r="D24" s="62" t="s">
        <v>25</v>
      </c>
      <c r="I24" s="80"/>
      <c r="J24" s="716">
        <f>'CBS (Total)'!J22/'CBS ($ per kW)'!J$1</f>
        <v>357.69230769230768</v>
      </c>
      <c r="K24" s="712">
        <f t="shared" si="0"/>
        <v>5.8507292694157907E-3</v>
      </c>
      <c r="L24" s="716">
        <f>'CBS (Total)'!L22/'CBS ($ per kW)'!L$1</f>
        <v>321.92307692307691</v>
      </c>
      <c r="M24" s="712">
        <f t="shared" si="1"/>
        <v>1.5050861189621881E-2</v>
      </c>
      <c r="N24" s="716">
        <f>'CBS (Total)'!N22/'CBS ($ per kW)'!N$1</f>
        <v>321.92307692307691</v>
      </c>
      <c r="O24" s="712">
        <f t="shared" si="2"/>
        <v>2.2228536741523853E-2</v>
      </c>
      <c r="P24" s="711">
        <f>'CBS (Total)'!P22/'CBS ($ per kW)'!P$1</f>
        <v>321.92307692307691</v>
      </c>
      <c r="Q24" s="713">
        <f t="shared" si="3"/>
        <v>2.3620156877858373E-2</v>
      </c>
      <c r="R24" s="107"/>
    </row>
    <row r="25" spans="1:27" s="62" customFormat="1" outlineLevel="1" x14ac:dyDescent="0.25">
      <c r="A25" s="85" t="s">
        <v>26</v>
      </c>
      <c r="D25" s="62" t="s">
        <v>17</v>
      </c>
      <c r="I25" s="80"/>
      <c r="J25" s="716">
        <f>'CBS (Total)'!J23/'CBS ($ per kW)'!J$1</f>
        <v>0</v>
      </c>
      <c r="K25" s="712">
        <f t="shared" si="0"/>
        <v>0</v>
      </c>
      <c r="L25" s="716">
        <f>'CBS (Total)'!L23/'CBS ($ per kW)'!L$1</f>
        <v>0</v>
      </c>
      <c r="M25" s="712">
        <f t="shared" si="1"/>
        <v>0</v>
      </c>
      <c r="N25" s="716">
        <f>'CBS (Total)'!N23/'CBS ($ per kW)'!N$1</f>
        <v>0</v>
      </c>
      <c r="O25" s="712">
        <f t="shared" si="2"/>
        <v>0</v>
      </c>
      <c r="P25" s="711">
        <f>'CBS (Total)'!P23/'CBS ($ per kW)'!P$1</f>
        <v>0</v>
      </c>
      <c r="Q25" s="713">
        <f t="shared" si="3"/>
        <v>0</v>
      </c>
      <c r="R25" s="93"/>
      <c r="S25" s="93"/>
      <c r="T25" s="93"/>
      <c r="U25" s="93"/>
    </row>
    <row r="26" spans="1:27" s="61" customFormat="1" x14ac:dyDescent="0.25">
      <c r="A26" s="74">
        <v>1.4</v>
      </c>
      <c r="C26" s="61" t="s">
        <v>27</v>
      </c>
      <c r="I26" s="118">
        <f>SUM(I27:I30)</f>
        <v>687.28619999999989</v>
      </c>
      <c r="J26" s="715">
        <f>'CBS (Total)'!J24/'CBS ($ per kW)'!J$1</f>
        <v>10276.406887929717</v>
      </c>
      <c r="K26" s="90">
        <f t="shared" si="0"/>
        <v>0.16808992888758573</v>
      </c>
      <c r="L26" s="715">
        <f>'CBS (Total)'!L24/'CBS ($ per kW)'!L$1</f>
        <v>7228.9126561864405</v>
      </c>
      <c r="M26" s="90">
        <f t="shared" si="1"/>
        <v>0.33797316421078089</v>
      </c>
      <c r="N26" s="715">
        <f>'CBS (Total)'!N24/'CBS ($ per kW)'!N$1</f>
        <v>6401.9845480366712</v>
      </c>
      <c r="O26" s="90">
        <f t="shared" si="2"/>
        <v>0.44205202716394615</v>
      </c>
      <c r="P26" s="710">
        <f>'CBS (Total)'!P24/'CBS ($ per kW)'!P$1</f>
        <v>6221.4452466445227</v>
      </c>
      <c r="Q26" s="96">
        <f t="shared" si="3"/>
        <v>0.45648020681618851</v>
      </c>
      <c r="R26" s="99"/>
      <c r="S26" s="99"/>
      <c r="T26" s="99"/>
      <c r="U26" s="99"/>
      <c r="V26" s="100"/>
      <c r="W26" s="99"/>
      <c r="X26" s="99"/>
      <c r="Y26" s="99"/>
    </row>
    <row r="27" spans="1:27" s="62" customFormat="1" outlineLevel="1" x14ac:dyDescent="0.25">
      <c r="A27" s="85" t="s">
        <v>28</v>
      </c>
      <c r="D27" s="62" t="s">
        <v>274</v>
      </c>
      <c r="I27" s="717">
        <f>'1.4'!E22</f>
        <v>205.44</v>
      </c>
      <c r="J27" s="716">
        <f>'CBS (Total)'!J25/'CBS ($ per kW)'!J$1</f>
        <v>3126.7172916092832</v>
      </c>
      <c r="K27" s="712">
        <f t="shared" si="0"/>
        <v>5.1143331801653702E-2</v>
      </c>
      <c r="L27" s="716">
        <f>'CBS (Total)'!L25/'CBS ($ per kW)'!L$1</f>
        <v>2175.1002168042237</v>
      </c>
      <c r="M27" s="712">
        <f t="shared" si="1"/>
        <v>0.10169240350687665</v>
      </c>
      <c r="N27" s="716">
        <f>'CBS (Total)'!N25/'CBS ($ per kW)'!N$1</f>
        <v>1914.2715943603534</v>
      </c>
      <c r="O27" s="712">
        <f t="shared" si="2"/>
        <v>0.13217895677190666</v>
      </c>
      <c r="P27" s="711">
        <f>'CBS (Total)'!P25/'CBS ($ per kW)'!P$1</f>
        <v>1854.8496905233214</v>
      </c>
      <c r="Q27" s="713">
        <f t="shared" si="3"/>
        <v>0.13609412873957055</v>
      </c>
      <c r="R27" s="153"/>
      <c r="S27" s="153"/>
      <c r="T27" s="153"/>
      <c r="U27" s="153"/>
      <c r="V27" s="93"/>
      <c r="W27" s="93"/>
      <c r="X27" s="93"/>
      <c r="Y27" s="93"/>
      <c r="AA27" s="107"/>
    </row>
    <row r="28" spans="1:27" s="62" customFormat="1" outlineLevel="1" x14ac:dyDescent="0.25">
      <c r="A28" s="85" t="s">
        <v>29</v>
      </c>
      <c r="D28" s="62" t="s">
        <v>275</v>
      </c>
      <c r="I28" s="717">
        <f>'1.4'!E35</f>
        <v>223.64</v>
      </c>
      <c r="J28" s="716">
        <f>'CBS (Total)'!J26/'CBS ($ per kW)'!J$1</f>
        <v>3221.5289482879443</v>
      </c>
      <c r="K28" s="712">
        <f t="shared" si="0"/>
        <v>5.2694154458116364E-2</v>
      </c>
      <c r="L28" s="716">
        <f>'CBS (Total)'!L26/'CBS ($ per kW)'!L$1</f>
        <v>2288.4389653741623</v>
      </c>
      <c r="M28" s="712">
        <f t="shared" si="1"/>
        <v>0.10699132705232728</v>
      </c>
      <c r="N28" s="716">
        <f>'CBS (Total)'!N26/'CBS ($ per kW)'!N$1</f>
        <v>2038.8510540143991</v>
      </c>
      <c r="O28" s="712">
        <f t="shared" si="2"/>
        <v>0.14078107104910351</v>
      </c>
      <c r="P28" s="711">
        <f>'CBS (Total)'!P26/'CBS ($ per kW)'!P$1</f>
        <v>1986.98744921057</v>
      </c>
      <c r="Q28" s="713">
        <f t="shared" si="3"/>
        <v>0.1457893472977207</v>
      </c>
      <c r="R28" s="153"/>
      <c r="S28" s="153"/>
      <c r="T28" s="153"/>
      <c r="U28" s="153"/>
      <c r="V28" s="93"/>
      <c r="W28" s="93"/>
      <c r="X28" s="93"/>
      <c r="Y28" s="93"/>
    </row>
    <row r="29" spans="1:27" s="62" customFormat="1" outlineLevel="1" x14ac:dyDescent="0.25">
      <c r="A29" s="85" t="s">
        <v>30</v>
      </c>
      <c r="D29" s="62" t="s">
        <v>276</v>
      </c>
      <c r="I29" s="717">
        <f>'1.4'!E47</f>
        <v>244.73</v>
      </c>
      <c r="J29" s="716">
        <f>'CBS (Total)'!J27/'CBS ($ per kW)'!J$1</f>
        <v>3726.6624737593565</v>
      </c>
      <c r="K29" s="712">
        <f t="shared" si="0"/>
        <v>6.0956561669235527E-2</v>
      </c>
      <c r="L29" s="716">
        <f>'CBS (Total)'!L27/'CBS ($ per kW)'!L$1</f>
        <v>2623.6300885926348</v>
      </c>
      <c r="M29" s="712">
        <f t="shared" si="1"/>
        <v>0.12266250886313032</v>
      </c>
      <c r="N29" s="716">
        <f>'CBS (Total)'!N27/'CBS ($ per kW)'!N$1</f>
        <v>2323.3327908768856</v>
      </c>
      <c r="O29" s="712">
        <f t="shared" si="2"/>
        <v>0.16042431253579978</v>
      </c>
      <c r="P29" s="711">
        <f>'CBS (Total)'!P27/'CBS ($ per kW)'!P$1</f>
        <v>2257.6189844274058</v>
      </c>
      <c r="Q29" s="713">
        <f t="shared" si="3"/>
        <v>0.16564613848838378</v>
      </c>
      <c r="R29" s="153"/>
      <c r="S29" s="153"/>
      <c r="T29" s="153"/>
      <c r="U29" s="153"/>
      <c r="V29" s="93"/>
      <c r="W29" s="93"/>
      <c r="X29" s="93"/>
      <c r="Y29" s="93"/>
    </row>
    <row r="30" spans="1:27" s="62" customFormat="1" outlineLevel="1" x14ac:dyDescent="0.25">
      <c r="A30" s="85" t="s">
        <v>31</v>
      </c>
      <c r="D30" s="62" t="s">
        <v>63</v>
      </c>
      <c r="I30" s="717">
        <f>'1.4'!E57</f>
        <v>13.476199999999999</v>
      </c>
      <c r="J30" s="716">
        <f>'CBS (Total)'!J28/'CBS ($ per kW)'!J$1</f>
        <v>201.4981742731317</v>
      </c>
      <c r="K30" s="712">
        <f t="shared" si="0"/>
        <v>3.2958809585801122E-3</v>
      </c>
      <c r="L30" s="716">
        <f>'CBS (Total)'!L28/'CBS ($ per kW)'!L$1</f>
        <v>141.74338541542042</v>
      </c>
      <c r="M30" s="712">
        <f t="shared" si="1"/>
        <v>6.6269247884466849E-3</v>
      </c>
      <c r="N30" s="716">
        <f>'CBS (Total)'!N28/'CBS ($ per kW)'!N$1</f>
        <v>125.52910878503276</v>
      </c>
      <c r="O30" s="712">
        <f t="shared" si="2"/>
        <v>8.667686807136199E-3</v>
      </c>
      <c r="P30" s="711">
        <f>'CBS (Total)'!P28/'CBS ($ per kW)'!P$1</f>
        <v>121.98912248322594</v>
      </c>
      <c r="Q30" s="713">
        <f t="shared" si="3"/>
        <v>8.9505922905135007E-3</v>
      </c>
    </row>
    <row r="31" spans="1:27" s="61" customFormat="1" x14ac:dyDescent="0.25">
      <c r="A31" s="74">
        <v>1.5</v>
      </c>
      <c r="C31" s="61" t="s">
        <v>32</v>
      </c>
      <c r="I31" s="118">
        <f>SUM(I32:I44)</f>
        <v>12.462820308390022</v>
      </c>
      <c r="J31" s="715">
        <f>'CBS (Total)'!J29/'CBS ($ per kW)'!J$1</f>
        <v>2179.9428251748254</v>
      </c>
      <c r="K31" s="90">
        <f t="shared" si="0"/>
        <v>3.5657057808116753E-2</v>
      </c>
      <c r="L31" s="715">
        <f>'CBS (Total)'!L29/'CBS ($ per kW)'!L$1</f>
        <v>1726.1655500309023</v>
      </c>
      <c r="M31" s="90">
        <f t="shared" si="1"/>
        <v>8.0703372781288266E-2</v>
      </c>
      <c r="N31" s="715">
        <f>'CBS (Total)'!N29/'CBS ($ per kW)'!N$1</f>
        <v>1516.4034088560979</v>
      </c>
      <c r="O31" s="90">
        <f t="shared" si="2"/>
        <v>0.1047064696663052</v>
      </c>
      <c r="P31" s="710">
        <f>'CBS (Total)'!P29/'CBS ($ per kW)'!P$1</f>
        <v>1443.4930069938982</v>
      </c>
      <c r="Q31" s="96">
        <f t="shared" si="3"/>
        <v>0.10591204458894531</v>
      </c>
    </row>
    <row r="32" spans="1:27" s="62" customFormat="1" outlineLevel="1" x14ac:dyDescent="0.25">
      <c r="A32" s="85" t="s">
        <v>33</v>
      </c>
      <c r="D32" s="62" t="s">
        <v>34</v>
      </c>
      <c r="I32" s="717">
        <f>'1.5'!L4/1000</f>
        <v>2.0735000000000001</v>
      </c>
      <c r="J32" s="716">
        <f>'CBS (Total)'!J30/'CBS ($ per kW)'!J$1</f>
        <v>90</v>
      </c>
      <c r="K32" s="712">
        <f t="shared" si="0"/>
        <v>1.4721189774659087E-3</v>
      </c>
      <c r="L32" s="716">
        <f>'CBS (Total)'!L30/'CBS ($ per kW)'!L$1</f>
        <v>79.406231810542778</v>
      </c>
      <c r="M32" s="712">
        <f t="shared" si="1"/>
        <v>3.7124774775217249E-3</v>
      </c>
      <c r="N32" s="716">
        <f>'CBS (Total)'!N30/'CBS ($ per kW)'!N$1</f>
        <v>72.751015702299938</v>
      </c>
      <c r="O32" s="712">
        <f t="shared" si="2"/>
        <v>5.0234007483351949E-3</v>
      </c>
      <c r="P32" s="711">
        <f>'CBS (Total)'!P30/'CBS ($ per kW)'!P$1</f>
        <v>70.059440559440603</v>
      </c>
      <c r="Q32" s="713">
        <f t="shared" si="3"/>
        <v>5.140404945820012E-3</v>
      </c>
    </row>
    <row r="33" spans="1:18" s="62" customFormat="1" outlineLevel="1" x14ac:dyDescent="0.25">
      <c r="A33" s="85" t="s">
        <v>35</v>
      </c>
      <c r="D33" s="62" t="s">
        <v>344</v>
      </c>
      <c r="I33" s="717">
        <f>'1.5'!L5/1000</f>
        <v>7.9554603083900224</v>
      </c>
      <c r="J33" s="716">
        <f>'CBS (Total)'!J31/'CBS ($ per kW)'!J$1</f>
        <v>402.59</v>
      </c>
      <c r="K33" s="712">
        <f t="shared" si="0"/>
        <v>6.585115323755557E-3</v>
      </c>
      <c r="L33" s="716">
        <f>'CBS (Total)'!L31/'CBS ($ per kW)'!L$1</f>
        <v>367.13980511992457</v>
      </c>
      <c r="M33" s="712">
        <f t="shared" si="1"/>
        <v>1.7164877699541836E-2</v>
      </c>
      <c r="N33" s="716">
        <f>'CBS (Total)'!N31/'CBS ($ per kW)'!N$1</f>
        <v>344.23153086651325</v>
      </c>
      <c r="O33" s="712">
        <f t="shared" si="2"/>
        <v>2.3768918042758616E-2</v>
      </c>
      <c r="P33" s="711">
        <f>'CBS (Total)'!P31/'CBS ($ per kW)'!P$1</f>
        <v>334.81118881118817</v>
      </c>
      <c r="Q33" s="713">
        <f t="shared" si="3"/>
        <v>2.4565784099013818E-2</v>
      </c>
    </row>
    <row r="34" spans="1:18" s="62" customFormat="1" outlineLevel="1" x14ac:dyDescent="0.25">
      <c r="A34" s="85" t="s">
        <v>36</v>
      </c>
      <c r="D34" s="62" t="s">
        <v>343</v>
      </c>
      <c r="I34" s="717">
        <f>'1.5'!L6/1000</f>
        <v>1.2927200000000001</v>
      </c>
      <c r="J34" s="716">
        <f>'CBS (Total)'!J32/'CBS ($ per kW)'!J$1</f>
        <v>198</v>
      </c>
      <c r="K34" s="712">
        <f t="shared" si="0"/>
        <v>3.2386617504249989E-3</v>
      </c>
      <c r="L34" s="716">
        <f>'CBS (Total)'!L32/'CBS ($ per kW)'!L$1</f>
        <v>127.42056348958828</v>
      </c>
      <c r="M34" s="712">
        <f t="shared" si="1"/>
        <v>5.9572902698225893E-3</v>
      </c>
      <c r="N34" s="716">
        <f>'CBS (Total)'!N32/'CBS ($ per kW)'!N$1</f>
        <v>93.635109062722506</v>
      </c>
      <c r="O34" s="712">
        <f t="shared" si="2"/>
        <v>6.4654310650573872E-3</v>
      </c>
      <c r="P34" s="711">
        <f>'CBS (Total)'!P32/'CBS ($ per kW)'!P$1</f>
        <v>82.000000000021203</v>
      </c>
      <c r="Q34" s="713">
        <f t="shared" si="3"/>
        <v>6.0165082991167351E-3</v>
      </c>
    </row>
    <row r="35" spans="1:18" s="62" customFormat="1" outlineLevel="1" x14ac:dyDescent="0.25">
      <c r="A35" s="85" t="s">
        <v>37</v>
      </c>
      <c r="D35" s="62" t="s">
        <v>39</v>
      </c>
      <c r="I35" s="717">
        <f>'1.5'!L7/1000</f>
        <v>1.1411399999999998</v>
      </c>
      <c r="J35" s="716">
        <f>'CBS (Total)'!J33/'CBS ($ per kW)'!J$1</f>
        <v>300</v>
      </c>
      <c r="K35" s="712">
        <f t="shared" si="0"/>
        <v>4.9070632582196953E-3</v>
      </c>
      <c r="L35" s="716">
        <f>'CBS (Total)'!L33/'CBS ($ per kW)'!L$1</f>
        <v>142.30249470771335</v>
      </c>
      <c r="M35" s="712">
        <f t="shared" si="1"/>
        <v>6.6530648105555673E-3</v>
      </c>
      <c r="N35" s="716">
        <f>'CBS (Total)'!N33/'CBS ($ per kW)'!N$1</f>
        <v>84.490916236464443</v>
      </c>
      <c r="O35" s="712">
        <f t="shared" si="2"/>
        <v>5.8340317004861256E-3</v>
      </c>
      <c r="P35" s="711">
        <f>'CBS (Total)'!P33/'CBS ($ per kW)'!P$1</f>
        <v>67.50000000012929</v>
      </c>
      <c r="Q35" s="713">
        <f t="shared" si="3"/>
        <v>4.9526135389152742E-3</v>
      </c>
    </row>
    <row r="36" spans="1:18" s="62" customFormat="1" outlineLevel="1" x14ac:dyDescent="0.25">
      <c r="A36" s="85" t="s">
        <v>40</v>
      </c>
      <c r="D36" s="62" t="s">
        <v>41</v>
      </c>
      <c r="I36" s="717">
        <f>'1.5'!L8/1000</f>
        <v>0</v>
      </c>
      <c r="J36" s="716">
        <f>'CBS (Total)'!J34/'CBS ($ per kW)'!J$1</f>
        <v>200</v>
      </c>
      <c r="K36" s="712">
        <f t="shared" si="0"/>
        <v>3.2713755054797969E-3</v>
      </c>
      <c r="L36" s="716">
        <f>'CBS (Total)'!L34/'CBS ($ per kW)'!L$1</f>
        <v>173.2050807567893</v>
      </c>
      <c r="M36" s="712">
        <f t="shared" si="1"/>
        <v>8.0978526072879066E-3</v>
      </c>
      <c r="N36" s="716">
        <f>'CBS (Total)'!N34/'CBS ($ per kW)'!N$1</f>
        <v>156.63774155326675</v>
      </c>
      <c r="O36" s="712">
        <f t="shared" si="2"/>
        <v>1.0815713575134863E-2</v>
      </c>
      <c r="P36" s="711">
        <f>'CBS (Total)'!P34/'CBS ($ per kW)'!P$1</f>
        <v>149.99999999982953</v>
      </c>
      <c r="Q36" s="713">
        <f t="shared" si="3"/>
        <v>1.1005807864222577E-2</v>
      </c>
    </row>
    <row r="37" spans="1:18" s="62" customFormat="1" outlineLevel="1" x14ac:dyDescent="0.25">
      <c r="A37" s="85" t="s">
        <v>42</v>
      </c>
      <c r="D37" s="62" t="s">
        <v>43</v>
      </c>
      <c r="I37" s="717">
        <f>'1.5'!L9/1000</f>
        <v>0</v>
      </c>
      <c r="J37" s="716">
        <f>'CBS (Total)'!J35/'CBS ($ per kW)'!J$1</f>
        <v>307.69230769230768</v>
      </c>
      <c r="K37" s="712">
        <f t="shared" si="0"/>
        <v>5.0328853930458415E-3</v>
      </c>
      <c r="L37" s="716">
        <f>'CBS (Total)'!L35/'CBS ($ per kW)'!L$1</f>
        <v>307.69230769230768</v>
      </c>
      <c r="M37" s="712">
        <f t="shared" si="1"/>
        <v>1.4385530408240747E-2</v>
      </c>
      <c r="N37" s="716">
        <f>'CBS (Total)'!N35/'CBS ($ per kW)'!N$1</f>
        <v>307.69230769230768</v>
      </c>
      <c r="O37" s="712">
        <f t="shared" si="2"/>
        <v>2.1245913253547292E-2</v>
      </c>
      <c r="P37" s="711">
        <f>'CBS (Total)'!P35/'CBS ($ per kW)'!P$1</f>
        <v>307.69230769230768</v>
      </c>
      <c r="Q37" s="713">
        <f t="shared" si="3"/>
        <v>2.2576016131764274E-2</v>
      </c>
    </row>
    <row r="38" spans="1:18" s="62" customFormat="1" outlineLevel="1" x14ac:dyDescent="0.25">
      <c r="A38" s="85" t="s">
        <v>44</v>
      </c>
      <c r="D38" s="62" t="s">
        <v>45</v>
      </c>
      <c r="I38" s="717">
        <f>'1.5'!L10/1000</f>
        <v>0</v>
      </c>
      <c r="J38" s="716">
        <f>'CBS (Total)'!J36/'CBS ($ per kW)'!J$1</f>
        <v>0</v>
      </c>
      <c r="K38" s="712">
        <f t="shared" ref="K38:K54" si="4">J38/$J$56</f>
        <v>0</v>
      </c>
      <c r="L38" s="716">
        <f>'CBS (Total)'!L36/'CBS ($ per kW)'!L$1</f>
        <v>0</v>
      </c>
      <c r="M38" s="712">
        <f t="shared" ref="M38:M54" si="5">L38/$L$56</f>
        <v>0</v>
      </c>
      <c r="N38" s="716">
        <f>'CBS (Total)'!N36/'CBS ($ per kW)'!N$1</f>
        <v>0</v>
      </c>
      <c r="O38" s="712">
        <f t="shared" ref="O38:O54" si="6">N38/$N$56</f>
        <v>0</v>
      </c>
      <c r="P38" s="711">
        <f>'CBS (Total)'!P36/'CBS ($ per kW)'!P$1</f>
        <v>0</v>
      </c>
      <c r="Q38" s="713">
        <f t="shared" ref="Q38:Q54" si="7">P38/$P$56</f>
        <v>0</v>
      </c>
    </row>
    <row r="39" spans="1:18" s="62" customFormat="1" outlineLevel="1" x14ac:dyDescent="0.25">
      <c r="A39" s="85" t="s">
        <v>46</v>
      </c>
      <c r="D39" s="62" t="s">
        <v>60</v>
      </c>
      <c r="I39" s="717">
        <f>'1.5'!L11/1000</f>
        <v>0</v>
      </c>
      <c r="J39" s="716">
        <f>'CBS (Total)'!J37/'CBS ($ per kW)'!J$1</f>
        <v>0</v>
      </c>
      <c r="K39" s="712">
        <f t="shared" si="4"/>
        <v>0</v>
      </c>
      <c r="L39" s="716">
        <f>'CBS (Total)'!L37/'CBS ($ per kW)'!L$1</f>
        <v>0</v>
      </c>
      <c r="M39" s="712">
        <f t="shared" si="5"/>
        <v>0</v>
      </c>
      <c r="N39" s="716">
        <f>'CBS (Total)'!N37/'CBS ($ per kW)'!N$1</f>
        <v>0</v>
      </c>
      <c r="O39" s="712">
        <f t="shared" si="6"/>
        <v>0</v>
      </c>
      <c r="P39" s="711">
        <f>'CBS (Total)'!P37/'CBS ($ per kW)'!P$1</f>
        <v>0</v>
      </c>
      <c r="Q39" s="713">
        <f t="shared" si="7"/>
        <v>0</v>
      </c>
    </row>
    <row r="40" spans="1:18" s="62" customFormat="1" outlineLevel="1" x14ac:dyDescent="0.25">
      <c r="A40" s="85" t="s">
        <v>61</v>
      </c>
      <c r="D40" s="62" t="s">
        <v>62</v>
      </c>
      <c r="I40" s="717">
        <f>'1.5'!L12/1000</f>
        <v>0</v>
      </c>
      <c r="J40" s="716">
        <f>'CBS (Total)'!J38/'CBS ($ per kW)'!J$1</f>
        <v>19.732517482517483</v>
      </c>
      <c r="K40" s="712">
        <f t="shared" si="4"/>
        <v>3.2276237176879781E-4</v>
      </c>
      <c r="L40" s="716">
        <f>'CBS (Total)'!L38/'CBS ($ per kW)'!L$1</f>
        <v>18.573477915087686</v>
      </c>
      <c r="M40" s="712">
        <f t="shared" si="5"/>
        <v>8.6836532683641607E-4</v>
      </c>
      <c r="N40" s="716">
        <f>'CBS (Total)'!N38/'CBS ($ per kW)'!N$1</f>
        <v>17.804009928212292</v>
      </c>
      <c r="O40" s="712">
        <f t="shared" si="6"/>
        <v>1.2293529641253026E-3</v>
      </c>
      <c r="P40" s="711">
        <f>'CBS (Total)'!P38/'CBS ($ per kW)'!P$1</f>
        <v>17.482517482520329</v>
      </c>
      <c r="Q40" s="713">
        <f t="shared" si="7"/>
        <v>1.2827281893049974E-3</v>
      </c>
      <c r="R40" s="153"/>
    </row>
    <row r="41" spans="1:18" s="62" customFormat="1" outlineLevel="1" x14ac:dyDescent="0.25">
      <c r="A41" s="85" t="s">
        <v>67</v>
      </c>
      <c r="D41" s="62" t="s">
        <v>64</v>
      </c>
      <c r="I41" s="717">
        <f>'1.5'!L13/1000</f>
        <v>0</v>
      </c>
      <c r="J41" s="716">
        <f>'CBS (Total)'!J39/'CBS ($ per kW)'!J$1</f>
        <v>309.12800000000004</v>
      </c>
      <c r="K41" s="712">
        <f t="shared" si="4"/>
        <v>5.0563688362897938E-3</v>
      </c>
      <c r="L41" s="716">
        <f>'CBS (Total)'!L39/'CBS ($ per kW)'!L$1</f>
        <v>267.71278984402727</v>
      </c>
      <c r="M41" s="712">
        <f t="shared" si="5"/>
        <v>1.2516369056672713E-2</v>
      </c>
      <c r="N41" s="716">
        <f>'CBS (Total)'!N39/'CBS ($ per kW)'!N$1</f>
        <v>242.10569532762747</v>
      </c>
      <c r="O41" s="712">
        <f t="shared" si="6"/>
        <v>1.6717208953641701E-2</v>
      </c>
      <c r="P41" s="711">
        <f>'CBS (Total)'!P39/'CBS ($ per kW)'!P$1</f>
        <v>231.84615384589009</v>
      </c>
      <c r="Q41" s="713">
        <f t="shared" si="7"/>
        <v>1.7011028155265031E-2</v>
      </c>
    </row>
    <row r="42" spans="1:18" s="62" customFormat="1" outlineLevel="1" x14ac:dyDescent="0.25">
      <c r="A42" s="85" t="s">
        <v>68</v>
      </c>
      <c r="D42" s="62" t="s">
        <v>65</v>
      </c>
      <c r="I42" s="717">
        <f>'1.5'!L14/1000</f>
        <v>0</v>
      </c>
      <c r="J42" s="716">
        <f>'CBS (Total)'!J40/'CBS ($ per kW)'!J$1</f>
        <v>202.79999999999998</v>
      </c>
      <c r="K42" s="712">
        <f t="shared" si="4"/>
        <v>3.3171747625565136E-3</v>
      </c>
      <c r="L42" s="716">
        <f>'CBS (Total)'!L40/'CBS ($ per kW)'!L$1</f>
        <v>175.63075936842068</v>
      </c>
      <c r="M42" s="712">
        <f t="shared" si="5"/>
        <v>8.2112602959296954E-3</v>
      </c>
      <c r="N42" s="716">
        <f>'CBS (Total)'!N40/'CBS ($ per kW)'!N$1</f>
        <v>158.83191059999999</v>
      </c>
      <c r="O42" s="712">
        <f t="shared" si="6"/>
        <v>1.0967219232134029E-2</v>
      </c>
      <c r="P42" s="711">
        <f>'CBS (Total)'!P40/'CBS ($ per kW)'!P$1</f>
        <v>152.10139860122331</v>
      </c>
      <c r="Q42" s="713">
        <f t="shared" si="7"/>
        <v>1.1159991792576658E-2</v>
      </c>
    </row>
    <row r="43" spans="1:18" s="62" customFormat="1" outlineLevel="1" x14ac:dyDescent="0.25">
      <c r="A43" s="85" t="s">
        <v>69</v>
      </c>
      <c r="D43" s="62" t="s">
        <v>140</v>
      </c>
      <c r="I43" s="717">
        <f>'1.5'!L15/1000</f>
        <v>0</v>
      </c>
      <c r="J43" s="716">
        <f>'CBS (Total)'!J41/'CBS ($ per kW)'!J$1</f>
        <v>100</v>
      </c>
      <c r="K43" s="712">
        <f t="shared" si="4"/>
        <v>1.6356877527398984E-3</v>
      </c>
      <c r="L43" s="716">
        <f>'CBS (Total)'!L41/'CBS ($ per kW)'!L$1</f>
        <v>44.721359551000411</v>
      </c>
      <c r="M43" s="712">
        <f t="shared" si="5"/>
        <v>2.0908565525860488E-3</v>
      </c>
      <c r="N43" s="716">
        <f>'CBS (Total)'!N41/'CBS ($ per kW)'!N$1</f>
        <v>25.482114591122443</v>
      </c>
      <c r="O43" s="712">
        <f t="shared" si="6"/>
        <v>1.7595200873898021E-3</v>
      </c>
      <c r="P43" s="711">
        <f>'CBS (Total)'!P41/'CBS ($ per kW)'!P$1</f>
        <v>20.000000000898556</v>
      </c>
      <c r="Q43" s="713">
        <f t="shared" si="7"/>
        <v>1.4674410486306068E-3</v>
      </c>
    </row>
    <row r="44" spans="1:18" s="62" customFormat="1" outlineLevel="1" x14ac:dyDescent="0.25">
      <c r="A44" s="85" t="s">
        <v>70</v>
      </c>
      <c r="D44" s="62" t="s">
        <v>17</v>
      </c>
      <c r="I44" s="717">
        <f>'1.5'!L16/1000</f>
        <v>0</v>
      </c>
      <c r="J44" s="716">
        <f>'CBS (Total)'!J42/'CBS ($ per kW)'!J$1</f>
        <v>50</v>
      </c>
      <c r="K44" s="712">
        <f t="shared" si="4"/>
        <v>8.1784387636994922E-4</v>
      </c>
      <c r="L44" s="716">
        <f>'CBS (Total)'!L42/'CBS ($ per kW)'!L$1</f>
        <v>22.360679775500206</v>
      </c>
      <c r="M44" s="712">
        <f t="shared" si="5"/>
        <v>1.0454282762930244E-3</v>
      </c>
      <c r="N44" s="716">
        <f>'CBS (Total)'!N42/'CBS ($ per kW)'!N$1</f>
        <v>12.741057295561221</v>
      </c>
      <c r="O44" s="712">
        <f t="shared" si="6"/>
        <v>8.7976004369490104E-4</v>
      </c>
      <c r="P44" s="711">
        <f>'CBS (Total)'!P42/'CBS ($ per kW)'!P$1</f>
        <v>10.000000000449278</v>
      </c>
      <c r="Q44" s="713">
        <f t="shared" si="7"/>
        <v>7.337205243153034E-4</v>
      </c>
    </row>
    <row r="45" spans="1:18" s="62" customFormat="1" outlineLevel="1" x14ac:dyDescent="0.25">
      <c r="A45" s="74">
        <v>1.6</v>
      </c>
      <c r="B45" s="488"/>
      <c r="C45" s="488" t="s">
        <v>72</v>
      </c>
      <c r="I45" s="725"/>
      <c r="J45" s="736">
        <f>'CBS (Total)'!J43/'CBS ($ per kW)'!J$1</f>
        <v>1245.6349713104544</v>
      </c>
      <c r="K45" s="733">
        <f t="shared" si="4"/>
        <v>2.037469866957025E-2</v>
      </c>
      <c r="L45" s="736">
        <f>'CBS (Total)'!L43/'CBS ($ per kW)'!L$1</f>
        <v>895.50782062173425</v>
      </c>
      <c r="M45" s="733">
        <f t="shared" si="5"/>
        <v>4.1867653699206919E-2</v>
      </c>
      <c r="N45" s="736">
        <f>'CBS (Total)'!N43/'CBS ($ per kW)'!N$1</f>
        <v>791.83879568927694</v>
      </c>
      <c r="O45" s="733">
        <f t="shared" si="6"/>
        <v>5.4675849683025142E-2</v>
      </c>
      <c r="P45" s="734">
        <f>'CBS (Total)'!P43/'CBS ($ per kW)'!P$1</f>
        <v>766.49382536384201</v>
      </c>
      <c r="Q45" s="735">
        <f t="shared" si="7"/>
        <v>5.6239225140513376E-2</v>
      </c>
    </row>
    <row r="46" spans="1:18" s="61" customFormat="1" x14ac:dyDescent="0.25">
      <c r="A46" s="74">
        <v>1.7</v>
      </c>
      <c r="C46" s="61" t="s">
        <v>47</v>
      </c>
      <c r="I46" s="83"/>
      <c r="J46" s="715">
        <f>'CBS (Total)'!J44/'CBS ($ per kW)'!J$1</f>
        <v>20659.168986013985</v>
      </c>
      <c r="K46" s="90">
        <f t="shared" si="4"/>
        <v>0.33791949692207024</v>
      </c>
      <c r="L46" s="715">
        <f>'CBS (Total)'!L44/'CBS ($ per kW)'!L$1</f>
        <v>3175.5150893550895</v>
      </c>
      <c r="M46" s="90">
        <f t="shared" si="5"/>
        <v>0.14846477385917117</v>
      </c>
      <c r="N46" s="715">
        <f>'CBS (Total)'!N44/'CBS ($ per kW)'!N$1</f>
        <v>1505.6800963480964</v>
      </c>
      <c r="O46" s="90">
        <f t="shared" si="6"/>
        <v>0.10396603332246425</v>
      </c>
      <c r="P46" s="710">
        <f>'CBS (Total)'!P44/'CBS ($ per kW)'!P$1</f>
        <v>1323.761911033411</v>
      </c>
      <c r="Q46" s="96">
        <f t="shared" si="7"/>
        <v>9.712712833884253E-2</v>
      </c>
    </row>
    <row r="47" spans="1:18" s="61" customFormat="1" x14ac:dyDescent="0.25">
      <c r="A47" s="732" t="s">
        <v>73</v>
      </c>
      <c r="D47" s="731" t="s">
        <v>48</v>
      </c>
      <c r="I47" s="83"/>
      <c r="J47" s="716">
        <f>'CBS (Total)'!J45/'CBS ($ per kW)'!J$1</f>
        <v>104.02097902097903</v>
      </c>
      <c r="K47" s="712">
        <f t="shared" si="4"/>
        <v>1.701458414126293E-3</v>
      </c>
      <c r="L47" s="716">
        <f>'CBS (Total)'!L45/'CBS ($ per kW)'!L$1</f>
        <v>104.02097902097903</v>
      </c>
      <c r="M47" s="712">
        <f t="shared" si="5"/>
        <v>4.8632901096041167E-3</v>
      </c>
      <c r="N47" s="716">
        <f>'CBS (Total)'!N45/'CBS ($ per kW)'!N$1</f>
        <v>104.02097902097903</v>
      </c>
      <c r="O47" s="712">
        <f t="shared" si="6"/>
        <v>7.1825672646935448E-3</v>
      </c>
      <c r="P47" s="711">
        <f>'CBS (Total)'!P45/'CBS ($ per kW)'!P$1</f>
        <v>104.02097902097903</v>
      </c>
      <c r="Q47" s="713">
        <f t="shared" si="7"/>
        <v>7.6322327263634911E-3</v>
      </c>
    </row>
    <row r="48" spans="1:18" s="62" customFormat="1" outlineLevel="1" x14ac:dyDescent="0.25">
      <c r="A48" s="85" t="s">
        <v>74</v>
      </c>
      <c r="D48" s="62" t="s">
        <v>49</v>
      </c>
      <c r="I48" s="80"/>
      <c r="J48" s="716">
        <f>'CBS (Total)'!J46/'CBS ($ per kW)'!J$1</f>
        <v>2332.1678321678323</v>
      </c>
      <c r="K48" s="712">
        <f t="shared" si="4"/>
        <v>3.8146983604108821E-2</v>
      </c>
      <c r="L48" s="716">
        <f>'CBS (Total)'!L46/'CBS ($ per kW)'!L$1</f>
        <v>268.25174825174827</v>
      </c>
      <c r="M48" s="712">
        <f t="shared" si="5"/>
        <v>1.2541566965002617E-2</v>
      </c>
      <c r="N48" s="716">
        <f>'CBS (Total)'!N46/'CBS ($ per kW)'!N$1</f>
        <v>53.650349650349654</v>
      </c>
      <c r="O48" s="712">
        <f t="shared" si="6"/>
        <v>3.7045146927548824E-3</v>
      </c>
      <c r="P48" s="711">
        <f>'CBS (Total)'!P46/'CBS ($ per kW)'!P$1</f>
        <v>53.636363636363633</v>
      </c>
      <c r="Q48" s="713">
        <f t="shared" si="7"/>
        <v>3.9354100847870908E-3</v>
      </c>
    </row>
    <row r="49" spans="1:19" s="62" customFormat="1" outlineLevel="1" x14ac:dyDescent="0.25">
      <c r="A49" s="85" t="s">
        <v>75</v>
      </c>
      <c r="D49" s="62" t="s">
        <v>71</v>
      </c>
      <c r="I49" s="80"/>
      <c r="J49" s="716">
        <f>'CBS (Total)'!J47/'CBS ($ per kW)'!J$1</f>
        <v>11167.250174825176</v>
      </c>
      <c r="K49" s="712">
        <f t="shared" si="4"/>
        <v>0.18266134342744031</v>
      </c>
      <c r="L49" s="716">
        <f>'CBS (Total)'!L47/'CBS ($ per kW)'!L$1</f>
        <v>1365.2302641802642</v>
      </c>
      <c r="M49" s="712">
        <f t="shared" si="5"/>
        <v>6.3828574808751148E-2</v>
      </c>
      <c r="N49" s="716">
        <f>'CBS (Total)'!N47/'CBS ($ per kW)'!N$1</f>
        <v>493.98327117327119</v>
      </c>
      <c r="O49" s="712">
        <f t="shared" si="6"/>
        <v>3.4109158616165258E-2</v>
      </c>
      <c r="P49" s="711">
        <f>'CBS (Total)'!P47/'CBS ($ per kW)'!P$1</f>
        <v>385.07739704739708</v>
      </c>
      <c r="Q49" s="713">
        <f t="shared" si="7"/>
        <v>2.8253918965089459E-2</v>
      </c>
    </row>
    <row r="50" spans="1:19" s="62" customFormat="1" outlineLevel="1" x14ac:dyDescent="0.25">
      <c r="A50" s="85" t="s">
        <v>76</v>
      </c>
      <c r="D50" s="62" t="s">
        <v>256</v>
      </c>
      <c r="I50" s="80"/>
      <c r="J50" s="716">
        <f>'CBS (Total)'!J48/'CBS ($ per kW)'!J$1</f>
        <v>5271.097132867133</v>
      </c>
      <c r="K50" s="712">
        <f t="shared" si="4"/>
        <v>8.6218690237331627E-2</v>
      </c>
      <c r="L50" s="716">
        <f>'CBS (Total)'!L48/'CBS ($ per kW)'!L$1</f>
        <v>797.26034965034967</v>
      </c>
      <c r="M50" s="712">
        <f t="shared" si="5"/>
        <v>3.7274292260334206E-2</v>
      </c>
      <c r="N50" s="716">
        <f>'CBS (Total)'!N48/'CBS ($ per kW)'!N$1</f>
        <v>314.95206993006991</v>
      </c>
      <c r="O50" s="712">
        <f t="shared" si="6"/>
        <v>2.1747194159468134E-2</v>
      </c>
      <c r="P50" s="711">
        <f>'CBS (Total)'!P48/'CBS ($ per kW)'!P$1</f>
        <v>254.66353496503496</v>
      </c>
      <c r="Q50" s="713">
        <f t="shared" si="7"/>
        <v>1.8685186239013923E-2</v>
      </c>
    </row>
    <row r="51" spans="1:19" s="62" customFormat="1" outlineLevel="1" x14ac:dyDescent="0.25">
      <c r="A51" s="85" t="s">
        <v>77</v>
      </c>
      <c r="D51" s="62" t="s">
        <v>50</v>
      </c>
      <c r="I51" s="80"/>
      <c r="J51" s="716">
        <f>'CBS (Total)'!J49/'CBS ($ per kW)'!J$1</f>
        <v>892.3164335664336</v>
      </c>
      <c r="K51" s="712">
        <f t="shared" si="4"/>
        <v>1.4595510619531607E-2</v>
      </c>
      <c r="L51" s="716">
        <f>'CBS (Total)'!L49/'CBS ($ per kW)'!L$1</f>
        <v>320.37587412587413</v>
      </c>
      <c r="M51" s="712">
        <f t="shared" si="5"/>
        <v>1.4978524857739536E-2</v>
      </c>
      <c r="N51" s="716">
        <f>'CBS (Total)'!N49/'CBS ($ per kW)'!N$1</f>
        <v>269.53671328671328</v>
      </c>
      <c r="O51" s="712">
        <f t="shared" si="6"/>
        <v>1.8611299294691214E-2</v>
      </c>
      <c r="P51" s="711">
        <f>'CBS (Total)'!P49/'CBS ($ per kW)'!P$1</f>
        <v>263.18181818181819</v>
      </c>
      <c r="Q51" s="713">
        <f t="shared" si="7"/>
        <v>1.9310190161794284E-2</v>
      </c>
    </row>
    <row r="52" spans="1:19" s="62" customFormat="1" outlineLevel="1" x14ac:dyDescent="0.25">
      <c r="A52" s="85" t="s">
        <v>78</v>
      </c>
      <c r="D52" s="62" t="s">
        <v>51</v>
      </c>
      <c r="I52" s="80"/>
      <c r="J52" s="716">
        <f>'CBS (Total)'!J50/'CBS ($ per kW)'!J$1</f>
        <v>892.3164335664336</v>
      </c>
      <c r="K52" s="712">
        <f t="shared" si="4"/>
        <v>1.4595510619531607E-2</v>
      </c>
      <c r="L52" s="716">
        <f>'CBS (Total)'!L50/'CBS ($ per kW)'!L$1</f>
        <v>320.37587412587413</v>
      </c>
      <c r="M52" s="712">
        <f t="shared" si="5"/>
        <v>1.4978524857739536E-2</v>
      </c>
      <c r="N52" s="716">
        <f>'CBS (Total)'!N50/'CBS ($ per kW)'!N$1</f>
        <v>269.53671328671328</v>
      </c>
      <c r="O52" s="712">
        <f t="shared" si="6"/>
        <v>1.8611299294691214E-2</v>
      </c>
      <c r="P52" s="711">
        <f>'CBS (Total)'!P50/'CBS ($ per kW)'!P$1</f>
        <v>263.18181818181819</v>
      </c>
      <c r="Q52" s="713">
        <f t="shared" si="7"/>
        <v>1.9310190161794284E-2</v>
      </c>
    </row>
    <row r="53" spans="1:19" s="62" customFormat="1" outlineLevel="1" x14ac:dyDescent="0.25">
      <c r="A53" s="708">
        <v>1.8</v>
      </c>
      <c r="C53" s="488" t="s">
        <v>146</v>
      </c>
      <c r="I53" s="80"/>
      <c r="J53" s="715">
        <f>'CBS (Total)'!J51/'CBS ($ per kW)'!J$1</f>
        <v>20659.168986013985</v>
      </c>
      <c r="K53" s="90">
        <f t="shared" si="4"/>
        <v>0.33791949692207024</v>
      </c>
      <c r="L53" s="715">
        <f>'CBS (Total)'!L51/'CBS ($ per kW)'!L$1</f>
        <v>3175.5150893550895</v>
      </c>
      <c r="M53" s="90">
        <f t="shared" si="5"/>
        <v>0.14846477385917117</v>
      </c>
      <c r="N53" s="715">
        <f>'CBS (Total)'!N51/'CBS ($ per kW)'!N$1</f>
        <v>1505.6800963480964</v>
      </c>
      <c r="O53" s="90">
        <f t="shared" si="6"/>
        <v>0.10396603332246425</v>
      </c>
      <c r="P53" s="710">
        <f>'CBS (Total)'!P51/'CBS ($ per kW)'!P$1</f>
        <v>1323.761911033411</v>
      </c>
      <c r="Q53" s="96">
        <f t="shared" si="7"/>
        <v>9.712712833884253E-2</v>
      </c>
    </row>
    <row r="54" spans="1:19" s="83" customFormat="1" x14ac:dyDescent="0.25">
      <c r="A54" s="722">
        <v>1.9</v>
      </c>
      <c r="C54" s="83" t="s">
        <v>144</v>
      </c>
      <c r="J54" s="715">
        <f>'CBS (Total)'!J52/'CBS ($ per kW)'!J$1</f>
        <v>5557.851170360078</v>
      </c>
      <c r="K54" s="90">
        <f t="shared" si="4"/>
        <v>9.0909090909090898E-2</v>
      </c>
      <c r="L54" s="715">
        <f>'CBS (Total)'!L52/'CBS ($ per kW)'!L$1</f>
        <v>1944.4557953875794</v>
      </c>
      <c r="M54" s="90">
        <f t="shared" si="5"/>
        <v>9.0909090909090912E-2</v>
      </c>
      <c r="N54" s="715">
        <f>'CBS (Total)'!N52/'CBS ($ per kW)'!N$1</f>
        <v>1316.5839301992662</v>
      </c>
      <c r="O54" s="90">
        <f t="shared" si="6"/>
        <v>9.0909090909090912E-2</v>
      </c>
      <c r="P54" s="710">
        <f>'CBS (Total)'!P52/'CBS ($ per kW)'!P$1</f>
        <v>1239.0152367348619</v>
      </c>
      <c r="Q54" s="96">
        <f t="shared" si="7"/>
        <v>9.0909090909090925E-2</v>
      </c>
    </row>
    <row r="55" spans="1:19" s="83" customFormat="1" x14ac:dyDescent="0.25">
      <c r="A55" s="98"/>
      <c r="J55" s="151"/>
      <c r="K55" s="90"/>
      <c r="L55" s="151"/>
      <c r="M55" s="90"/>
      <c r="N55" s="151"/>
      <c r="O55" s="90"/>
      <c r="P55" s="391"/>
      <c r="Q55" s="96"/>
    </row>
    <row r="56" spans="1:19" outlineLevel="1" x14ac:dyDescent="0.25">
      <c r="A56" s="707" t="s">
        <v>502</v>
      </c>
      <c r="B56" s="156"/>
      <c r="C56" s="156"/>
      <c r="D56" s="156"/>
      <c r="E56" s="156"/>
      <c r="F56" s="156"/>
      <c r="G56" s="156"/>
      <c r="H56" s="156"/>
      <c r="I56" s="688">
        <f>I31+I26</f>
        <v>699.74902030838996</v>
      </c>
      <c r="J56" s="157">
        <f>'CBS (Total)'!J54/'CBS ($ per kW)'!J$1</f>
        <v>61136.362873960861</v>
      </c>
      <c r="K56" s="160">
        <f t="shared" ref="K56" si="8">J56/$J$56</f>
        <v>1</v>
      </c>
      <c r="L56" s="157">
        <f>'CBS (Total)'!L54/'CBS ($ per kW)'!L$1</f>
        <v>21389.013749263373</v>
      </c>
      <c r="M56" s="160">
        <f t="shared" ref="M56" si="9">L56/$L$56</f>
        <v>1</v>
      </c>
      <c r="N56" s="157">
        <f>'CBS (Total)'!N54/'CBS ($ per kW)'!N$1</f>
        <v>14482.423232191928</v>
      </c>
      <c r="O56" s="160">
        <f t="shared" ref="O56" si="10">N56/$N$56</f>
        <v>1</v>
      </c>
      <c r="P56" s="554">
        <f>'CBS (Total)'!P54/'CBS ($ per kW)'!P$1</f>
        <v>13629.167604083479</v>
      </c>
      <c r="Q56" s="161">
        <f t="shared" ref="Q56" si="11">P56/$P$56</f>
        <v>1</v>
      </c>
    </row>
    <row r="57" spans="1:19" outlineLevel="1" x14ac:dyDescent="0.25">
      <c r="I57" s="63"/>
      <c r="J57" s="151"/>
      <c r="K57" s="88"/>
      <c r="L57" s="151"/>
      <c r="M57" s="88"/>
      <c r="N57" s="151"/>
      <c r="O57" s="88"/>
      <c r="P57" s="150"/>
      <c r="Q57" s="63"/>
    </row>
    <row r="58" spans="1:19" s="61" customFormat="1" x14ac:dyDescent="0.25">
      <c r="A58" s="74">
        <v>2</v>
      </c>
      <c r="B58" s="61" t="s">
        <v>58</v>
      </c>
      <c r="I58" s="83"/>
      <c r="J58" s="151">
        <f>'CBS (Total)'!J56/'CBS ($ per kW)'!J$1</f>
        <v>4079.6481549936611</v>
      </c>
      <c r="K58" s="96">
        <f t="shared" ref="K58:K64" si="12">J58/$J$56</f>
        <v>6.6730305226110551E-2</v>
      </c>
      <c r="L58" s="151">
        <f>'CBS (Total)'!L56/'CBS ($ per kW)'!L$1</f>
        <v>1151.9903838868602</v>
      </c>
      <c r="M58" s="96">
        <f t="shared" ref="M58:M64" si="13">L58/$L$56</f>
        <v>5.3858976266567417E-2</v>
      </c>
      <c r="N58" s="151">
        <f>'CBS (Total)'!N56/'CBS ($ per kW)'!N$1</f>
        <v>462.65723680401931</v>
      </c>
      <c r="O58" s="96">
        <f t="shared" ref="O58:O64" si="14">N58/$N$56</f>
        <v>3.1946120437608264E-2</v>
      </c>
      <c r="P58" s="391">
        <f>'CBS (Total)'!P56/'CBS ($ per kW)'!P$1</f>
        <v>327.23218148863992</v>
      </c>
      <c r="Q58" s="96">
        <f t="shared" ref="Q58:Q64" si="15">P58/$P$56</f>
        <v>2.4009696776389838E-2</v>
      </c>
    </row>
    <row r="59" spans="1:19" outlineLevel="1" x14ac:dyDescent="0.25">
      <c r="A59" s="40">
        <v>2.1</v>
      </c>
      <c r="C59" s="73" t="s">
        <v>52</v>
      </c>
      <c r="I59" s="63"/>
      <c r="J59" s="152">
        <f>'CBS (Total)'!J57/'CBS ($ per kW)'!J$1</f>
        <v>793.1513950869014</v>
      </c>
      <c r="K59" s="95">
        <f t="shared" si="12"/>
        <v>1.2973480230122091E-2</v>
      </c>
      <c r="L59" s="152">
        <f>'CBS (Total)'!L57/'CBS ($ per kW)'!L$1</f>
        <v>327.53583351269452</v>
      </c>
      <c r="M59" s="95">
        <f t="shared" si="13"/>
        <v>1.5313274251552374E-2</v>
      </c>
      <c r="N59" s="152">
        <f>'CBS (Total)'!N57/'CBS ($ per kW)'!N$1</f>
        <v>123.96387618160911</v>
      </c>
      <c r="O59" s="95">
        <f t="shared" si="14"/>
        <v>8.5596087197658197E-3</v>
      </c>
      <c r="P59" s="93">
        <f>'CBS (Total)'!P57/'CBS ($ per kW)'!P$1</f>
        <v>60.059143027101449</v>
      </c>
      <c r="Q59" s="91">
        <f t="shared" si="15"/>
        <v>4.4066625909792859E-3</v>
      </c>
    </row>
    <row r="60" spans="1:19" outlineLevel="1" x14ac:dyDescent="0.25">
      <c r="A60" s="40">
        <v>2.2000000000000002</v>
      </c>
      <c r="C60" s="73" t="s">
        <v>53</v>
      </c>
      <c r="I60" s="63"/>
      <c r="J60" s="152">
        <f>'CBS (Total)'!J58/'CBS ($ per kW)'!J$1</f>
        <v>2482.5174825174827</v>
      </c>
      <c r="K60" s="95">
        <f t="shared" si="12"/>
        <v>4.0606234421165316E-2</v>
      </c>
      <c r="L60" s="152">
        <f>'CBS (Total)'!L58/'CBS ($ per kW)'!L$1</f>
        <v>391.95804195804197</v>
      </c>
      <c r="M60" s="95">
        <f t="shared" si="13"/>
        <v>1.8325204076861227E-2</v>
      </c>
      <c r="N60" s="152">
        <f>'CBS (Total)'!N58/'CBS ($ per kW)'!N$1</f>
        <v>78.391608391608386</v>
      </c>
      <c r="O60" s="95">
        <f t="shared" si="14"/>
        <v>5.4128792630060256E-3</v>
      </c>
      <c r="P60" s="93">
        <f>'CBS (Total)'!P58/'CBS ($ per kW)'!P$1</f>
        <v>39.195804195804193</v>
      </c>
      <c r="Q60" s="91">
        <f t="shared" si="15"/>
        <v>2.8758766004213353E-3</v>
      </c>
      <c r="R60" s="4"/>
      <c r="S60" s="4"/>
    </row>
    <row r="61" spans="1:19" outlineLevel="1" x14ac:dyDescent="0.25">
      <c r="A61" s="40">
        <v>2.2999999999999998</v>
      </c>
      <c r="C61" s="73" t="s">
        <v>54</v>
      </c>
      <c r="I61" s="63"/>
      <c r="J61" s="152">
        <f>'CBS (Total)'!J59/'CBS ($ per kW)'!J$1</f>
        <v>92.8986013986014</v>
      </c>
      <c r="K61" s="95">
        <f t="shared" si="12"/>
        <v>1.5195310455435791E-3</v>
      </c>
      <c r="L61" s="152">
        <f>'CBS (Total)'!L59/'CBS ($ per kW)'!L$1</f>
        <v>92.8986013986014</v>
      </c>
      <c r="M61" s="95">
        <f t="shared" si="13"/>
        <v>4.3432858797335045E-3</v>
      </c>
      <c r="N61" s="152">
        <f>'CBS (Total)'!N59/'CBS ($ per kW)'!N$1</f>
        <v>39.323076923076925</v>
      </c>
      <c r="O61" s="95">
        <f t="shared" si="14"/>
        <v>2.7152277138033439E-3</v>
      </c>
      <c r="P61" s="153">
        <f>'CBS (Total)'!P59/'CBS ($ per kW)'!P$1</f>
        <v>39.323076923076925</v>
      </c>
      <c r="Q61" s="91">
        <f t="shared" si="15"/>
        <v>2.8852148616394747E-3</v>
      </c>
      <c r="R61" s="67"/>
      <c r="S61" s="67"/>
    </row>
    <row r="62" spans="1:19" outlineLevel="1" x14ac:dyDescent="0.25">
      <c r="A62" s="40">
        <v>2.4</v>
      </c>
      <c r="C62" s="73" t="s">
        <v>55</v>
      </c>
      <c r="I62" s="63"/>
      <c r="J62" s="152">
        <f>'CBS (Total)'!J60/'CBS ($ per kW)'!J$1</f>
        <v>494.96853146853147</v>
      </c>
      <c r="K62" s="95">
        <f t="shared" si="12"/>
        <v>8.0961396491472989E-3</v>
      </c>
      <c r="L62" s="152">
        <f>'CBS (Total)'!L60/'CBS ($ per kW)'!L$1</f>
        <v>139.83776223776223</v>
      </c>
      <c r="M62" s="95">
        <f t="shared" si="13"/>
        <v>6.5378312378979219E-3</v>
      </c>
      <c r="N62" s="152">
        <f>'CBS (Total)'!N60/'CBS ($ per kW)'!N$1</f>
        <v>31.796643356643358</v>
      </c>
      <c r="O62" s="95">
        <f t="shared" si="14"/>
        <v>2.195533361154983E-3</v>
      </c>
      <c r="P62" s="153">
        <f>'CBS (Total)'!P60/'CBS ($ per kW)'!P$1</f>
        <v>23.588601398601398</v>
      </c>
      <c r="Q62" s="91">
        <f t="shared" si="15"/>
        <v>1.7307440985268932E-3</v>
      </c>
    </row>
    <row r="63" spans="1:19" outlineLevel="1" x14ac:dyDescent="0.25">
      <c r="A63" s="2">
        <v>2.5</v>
      </c>
      <c r="C63" s="73" t="s">
        <v>56</v>
      </c>
      <c r="I63" s="63"/>
      <c r="J63" s="152">
        <f>'CBS (Total)'!J61/'CBS ($ per kW)'!J$1</f>
        <v>188.14011655011655</v>
      </c>
      <c r="K63" s="95">
        <f t="shared" si="12"/>
        <v>3.0773848444008269E-3</v>
      </c>
      <c r="L63" s="152">
        <f>'CBS (Total)'!L61/'CBS ($ per kW)'!L$1</f>
        <v>171.788116807732</v>
      </c>
      <c r="M63" s="95">
        <f t="shared" si="13"/>
        <v>8.0316053288641363E-3</v>
      </c>
      <c r="N63" s="152">
        <f>'CBS (Total)'!N61/'CBS ($ per kW)'!N$1</f>
        <v>161.21000397905357</v>
      </c>
      <c r="O63" s="95">
        <f t="shared" si="14"/>
        <v>1.1131424720464704E-2</v>
      </c>
      <c r="P63" s="153">
        <f>'CBS (Total)'!P61/'CBS ($ per kW)'!P$1</f>
        <v>137.09352797202797</v>
      </c>
      <c r="Q63" s="91">
        <f t="shared" si="15"/>
        <v>1.0058833521935187E-2</v>
      </c>
    </row>
    <row r="64" spans="1:19" outlineLevel="1" x14ac:dyDescent="0.25">
      <c r="A64" s="40">
        <v>2.6</v>
      </c>
      <c r="C64" s="73" t="s">
        <v>57</v>
      </c>
      <c r="I64" s="63"/>
      <c r="J64" s="152">
        <f>'CBS (Total)'!J62/'CBS ($ per kW)'!J$1</f>
        <v>27.972027972027973</v>
      </c>
      <c r="K64" s="95">
        <f t="shared" si="12"/>
        <v>4.5753503573144012E-4</v>
      </c>
      <c r="L64" s="152">
        <f>'CBS (Total)'!L62/'CBS ($ per kW)'!L$1</f>
        <v>27.972027972027973</v>
      </c>
      <c r="M64" s="95">
        <f t="shared" si="13"/>
        <v>1.3077754916582499E-3</v>
      </c>
      <c r="N64" s="152">
        <f>'CBS (Total)'!N62/'CBS ($ per kW)'!N$1</f>
        <v>27.972027972027973</v>
      </c>
      <c r="O64" s="95">
        <f t="shared" si="14"/>
        <v>1.9314466594133903E-3</v>
      </c>
      <c r="P64" s="153">
        <f>'CBS (Total)'!P62/'CBS ($ per kW)'!P$1</f>
        <v>27.972027972027973</v>
      </c>
      <c r="Q64" s="91">
        <f t="shared" si="15"/>
        <v>2.0523651028876615E-3</v>
      </c>
    </row>
    <row r="65" spans="1:17" x14ac:dyDescent="0.25">
      <c r="I65" s="63"/>
      <c r="J65" s="151"/>
      <c r="K65" s="80"/>
      <c r="L65" s="151"/>
      <c r="M65" s="80"/>
      <c r="N65" s="151"/>
      <c r="O65" s="80"/>
      <c r="P65" s="150"/>
      <c r="Q65" s="63"/>
    </row>
    <row r="66" spans="1:17" s="61" customFormat="1" x14ac:dyDescent="0.25">
      <c r="A66" s="155" t="s">
        <v>208</v>
      </c>
      <c r="B66" s="156"/>
      <c r="C66" s="156"/>
      <c r="D66" s="156"/>
      <c r="E66" s="156"/>
      <c r="F66" s="156"/>
      <c r="G66" s="156"/>
      <c r="H66" s="156"/>
      <c r="I66" s="156"/>
      <c r="J66" s="157">
        <f>'CBS (Total)'!J64/'CBS ($ per kW)'!J$1</f>
        <v>4079.6481549936611</v>
      </c>
      <c r="K66" s="158">
        <f t="shared" ref="K66:Q66" si="16">SUM(K59:K64)</f>
        <v>6.6730305226110551E-2</v>
      </c>
      <c r="L66" s="157">
        <f>'CBS (Total)'!L64/'CBS ($ per kW)'!L$1</f>
        <v>1151.9903838868602</v>
      </c>
      <c r="M66" s="158">
        <f t="shared" si="16"/>
        <v>5.3858976266567417E-2</v>
      </c>
      <c r="N66" s="157">
        <f>'CBS (Total)'!N64/'CBS ($ per kW)'!N$1</f>
        <v>462.65723680401931</v>
      </c>
      <c r="O66" s="158">
        <f t="shared" si="16"/>
        <v>3.1946120437608264E-2</v>
      </c>
      <c r="P66" s="159">
        <f>'CBS (Total)'!P64/'CBS ($ per kW)'!P$1</f>
        <v>327.23218148863992</v>
      </c>
      <c r="Q66" s="158">
        <f t="shared" si="16"/>
        <v>2.4009696776389835E-2</v>
      </c>
    </row>
    <row r="67" spans="1:17" x14ac:dyDescent="0.25">
      <c r="J67" s="4"/>
      <c r="K67" s="88"/>
      <c r="L67" s="4"/>
      <c r="M67" s="88"/>
      <c r="N67" s="4"/>
      <c r="O67" s="88"/>
      <c r="P67" s="4"/>
    </row>
    <row r="68" spans="1:17" x14ac:dyDescent="0.25">
      <c r="J68" s="63"/>
      <c r="K68" s="80"/>
      <c r="L68" s="63"/>
      <c r="M68" s="80"/>
      <c r="N68" s="63"/>
      <c r="O68" s="80"/>
      <c r="P68" s="63"/>
    </row>
  </sheetData>
  <mergeCells count="1">
    <mergeCell ref="J3:P3"/>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A66"/>
  <sheetViews>
    <sheetView zoomScale="70" zoomScaleNormal="70" workbookViewId="0">
      <pane xSplit="8" ySplit="2" topLeftCell="K3" activePane="bottomRight" state="frozen"/>
      <selection pane="topRight" activeCell="I1" sqref="I1"/>
      <selection pane="bottomLeft" activeCell="A3" sqref="A3"/>
      <selection pane="bottomRight" activeCell="L67" sqref="L67"/>
    </sheetView>
  </sheetViews>
  <sheetFormatPr defaultRowHeight="15" outlineLevelRow="2" x14ac:dyDescent="0.25"/>
  <cols>
    <col min="1" max="1" width="8.42578125" style="1" customWidth="1"/>
    <col min="2" max="2" width="3.85546875" customWidth="1"/>
    <col min="3" max="4" width="4.140625" customWidth="1"/>
    <col min="8" max="8" width="20.28515625" customWidth="1"/>
    <col min="9" max="9" width="20.28515625" style="12" customWidth="1"/>
    <col min="10" max="10" width="19.5703125" bestFit="1" customWidth="1"/>
    <col min="11" max="11" width="10.140625" style="62" customWidth="1"/>
    <col min="12" max="12" width="20.42578125" bestFit="1" customWidth="1"/>
    <col min="13" max="13" width="10.140625" style="62" customWidth="1"/>
    <col min="14" max="14" width="22.7109375" bestFit="1" customWidth="1"/>
    <col min="15" max="15" width="11.5703125" style="62" customWidth="1"/>
    <col min="16" max="16" width="22.7109375" customWidth="1"/>
    <col min="17" max="17" width="11" customWidth="1"/>
    <col min="18" max="18" width="17.140625" bestFit="1" customWidth="1"/>
    <col min="19" max="19" width="16.85546875" bestFit="1" customWidth="1"/>
    <col min="20" max="22" width="13.28515625" bestFit="1" customWidth="1"/>
    <col min="23" max="23" width="15" bestFit="1" customWidth="1"/>
    <col min="24" max="24" width="11.140625" bestFit="1" customWidth="1"/>
  </cols>
  <sheetData>
    <row r="1" spans="1:19" x14ac:dyDescent="0.25">
      <c r="A1" s="3" t="s">
        <v>277</v>
      </c>
      <c r="I1" s="61"/>
      <c r="J1" s="749" t="s">
        <v>66</v>
      </c>
      <c r="K1" s="749"/>
      <c r="L1" s="749"/>
      <c r="M1" s="749"/>
      <c r="N1" s="749"/>
      <c r="O1" s="749"/>
      <c r="P1" s="749"/>
      <c r="Q1" s="61"/>
    </row>
    <row r="2" spans="1:19" x14ac:dyDescent="0.25">
      <c r="I2" s="61" t="s">
        <v>112</v>
      </c>
      <c r="J2" s="61">
        <v>1</v>
      </c>
      <c r="K2" s="101" t="s">
        <v>147</v>
      </c>
      <c r="L2" s="61">
        <v>10</v>
      </c>
      <c r="M2" s="101" t="s">
        <v>147</v>
      </c>
      <c r="N2" s="61">
        <v>50</v>
      </c>
      <c r="O2" s="101" t="s">
        <v>148</v>
      </c>
      <c r="P2" s="61">
        <v>100</v>
      </c>
      <c r="Q2" s="101" t="s">
        <v>148</v>
      </c>
      <c r="R2" s="61"/>
      <c r="S2" s="74"/>
    </row>
    <row r="3" spans="1:19" s="61" customFormat="1" x14ac:dyDescent="0.25">
      <c r="A3" s="74">
        <v>1</v>
      </c>
      <c r="B3" s="61" t="s">
        <v>0</v>
      </c>
      <c r="J3" s="92"/>
      <c r="K3" s="92"/>
      <c r="L3" s="92"/>
      <c r="M3" s="92"/>
      <c r="N3" s="92"/>
      <c r="O3" s="92"/>
      <c r="P3" s="92"/>
    </row>
    <row r="4" spans="1:19" s="61" customFormat="1" x14ac:dyDescent="0.25">
      <c r="A4" s="74">
        <v>1.1000000000000001</v>
      </c>
      <c r="C4" s="61" t="s">
        <v>101</v>
      </c>
      <c r="J4" s="387">
        <f>J5+J10+J11</f>
        <v>4553389.3974871347</v>
      </c>
      <c r="K4" s="90">
        <f t="shared" ref="K4:K35" si="0">J4/$J$54</f>
        <v>0.26041689758480463</v>
      </c>
      <c r="L4" s="387">
        <f>L5+L10+L11</f>
        <v>8773811.5557694584</v>
      </c>
      <c r="M4" s="90">
        <f t="shared" ref="M4:M35" si="1">L4/$L$54</f>
        <v>0.14342719651329047</v>
      </c>
      <c r="N4" s="387">
        <f>N5+N10+N11</f>
        <v>11003159.078794021</v>
      </c>
      <c r="O4" s="90">
        <f t="shared" ref="O4:O35" si="2">N4/$N$54</f>
        <v>5.3130037114327067E-2</v>
      </c>
      <c r="P4" s="387">
        <f>P5+P10+P11</f>
        <v>10820059.591150202</v>
      </c>
      <c r="Q4" s="96">
        <f t="shared" ref="Q4:Q35" si="3">P4/$P$54</f>
        <v>2.7758390895052016E-2</v>
      </c>
      <c r="R4" s="120"/>
      <c r="S4" s="120"/>
    </row>
    <row r="5" spans="1:19" outlineLevel="1" x14ac:dyDescent="0.25">
      <c r="A5" s="1" t="s">
        <v>2</v>
      </c>
      <c r="D5" t="s">
        <v>1</v>
      </c>
      <c r="J5" s="696">
        <f>SUM(J6:J9)</f>
        <v>3602500</v>
      </c>
      <c r="K5" s="698">
        <f t="shared" si="0"/>
        <v>0.20603374577781414</v>
      </c>
      <c r="L5" s="696">
        <f>SUM(L6:L9)</f>
        <v>6860000</v>
      </c>
      <c r="M5" s="698">
        <f t="shared" si="1"/>
        <v>0.11214174840969492</v>
      </c>
      <c r="N5" s="696">
        <f>SUM(N6:N9)</f>
        <v>7017500</v>
      </c>
      <c r="O5" s="698">
        <f t="shared" si="2"/>
        <v>3.3884817331083665E-2</v>
      </c>
      <c r="P5" s="696">
        <f>SUM(P6:P9)</f>
        <v>7017500</v>
      </c>
      <c r="Q5" s="699">
        <f t="shared" si="3"/>
        <v>1.8003090136892705E-2</v>
      </c>
      <c r="R5" s="66"/>
    </row>
    <row r="6" spans="1:19" outlineLevel="2" x14ac:dyDescent="0.25">
      <c r="A6" s="1" t="s">
        <v>102</v>
      </c>
      <c r="E6" t="s">
        <v>3</v>
      </c>
      <c r="I6" s="63"/>
      <c r="J6" s="201">
        <f>'1.1'!E5</f>
        <v>335000</v>
      </c>
      <c r="K6" s="94">
        <f t="shared" si="0"/>
        <v>1.9159279621254056E-2</v>
      </c>
      <c r="L6" s="421">
        <f>'1.1'!F5</f>
        <v>425000</v>
      </c>
      <c r="M6" s="94">
        <f t="shared" si="1"/>
        <v>6.9475572994344521E-3</v>
      </c>
      <c r="N6" s="421">
        <f>'1.1'!G5</f>
        <v>425000</v>
      </c>
      <c r="O6" s="94">
        <f t="shared" si="2"/>
        <v>2.0521620756267268E-3</v>
      </c>
      <c r="P6" s="421">
        <f>'1.1'!H5</f>
        <v>425000</v>
      </c>
      <c r="Q6" s="91">
        <f t="shared" si="3"/>
        <v>1.09031896090907E-3</v>
      </c>
    </row>
    <row r="7" spans="1:19" outlineLevel="2" x14ac:dyDescent="0.25">
      <c r="A7" s="1" t="s">
        <v>103</v>
      </c>
      <c r="E7" t="s">
        <v>5</v>
      </c>
      <c r="I7" s="63"/>
      <c r="J7" s="421">
        <f>'1.1'!E6</f>
        <v>1632500</v>
      </c>
      <c r="K7" s="94">
        <f t="shared" si="0"/>
        <v>9.3365743228947001E-2</v>
      </c>
      <c r="L7" s="421">
        <f>'1.1'!F6</f>
        <v>2850000</v>
      </c>
      <c r="M7" s="94">
        <f t="shared" si="1"/>
        <v>4.6589501890325145E-2</v>
      </c>
      <c r="N7" s="421">
        <f>'1.1'!G6</f>
        <v>2782500</v>
      </c>
      <c r="O7" s="94">
        <f t="shared" si="2"/>
        <v>1.3435625824544396E-2</v>
      </c>
      <c r="P7" s="421">
        <f>'1.1'!H6</f>
        <v>2782500</v>
      </c>
      <c r="Q7" s="91">
        <f t="shared" si="3"/>
        <v>7.1383823734811475E-3</v>
      </c>
      <c r="R7" s="66"/>
    </row>
    <row r="8" spans="1:19" outlineLevel="2" x14ac:dyDescent="0.25">
      <c r="A8" s="1" t="s">
        <v>104</v>
      </c>
      <c r="E8" t="s">
        <v>7</v>
      </c>
      <c r="I8" s="63"/>
      <c r="J8" s="421">
        <f>'1.1'!E7</f>
        <v>710000</v>
      </c>
      <c r="K8" s="94">
        <f t="shared" si="0"/>
        <v>4.0606234421165309E-2</v>
      </c>
      <c r="L8" s="421">
        <f>'1.1'!F7</f>
        <v>2270000</v>
      </c>
      <c r="M8" s="94">
        <f t="shared" si="1"/>
        <v>3.710812957580284E-2</v>
      </c>
      <c r="N8" s="421">
        <f>'1.1'!G7</f>
        <v>2270000</v>
      </c>
      <c r="O8" s="94">
        <f t="shared" si="2"/>
        <v>1.096095979217099E-2</v>
      </c>
      <c r="P8" s="421">
        <f>'1.1'!H7</f>
        <v>2270000</v>
      </c>
      <c r="Q8" s="91">
        <f t="shared" si="3"/>
        <v>5.8235859794437397E-3</v>
      </c>
    </row>
    <row r="9" spans="1:19" outlineLevel="2" x14ac:dyDescent="0.25">
      <c r="A9" s="1" t="s">
        <v>105</v>
      </c>
      <c r="E9" t="s">
        <v>8</v>
      </c>
      <c r="I9" s="63"/>
      <c r="J9" s="421">
        <f>'1.1'!E8</f>
        <v>925000</v>
      </c>
      <c r="K9" s="94">
        <f t="shared" si="0"/>
        <v>5.2902488506447763E-2</v>
      </c>
      <c r="L9" s="421">
        <f>'1.1'!F8</f>
        <v>1315000</v>
      </c>
      <c r="M9" s="94">
        <f t="shared" si="1"/>
        <v>2.1496559644132482E-2</v>
      </c>
      <c r="N9" s="421">
        <f>'1.1'!G8</f>
        <v>1540000</v>
      </c>
      <c r="O9" s="94">
        <f t="shared" si="2"/>
        <v>7.4360696387415519E-3</v>
      </c>
      <c r="P9" s="421">
        <f>'1.1'!H8</f>
        <v>1540000</v>
      </c>
      <c r="Q9" s="91">
        <f t="shared" si="3"/>
        <v>3.9508028230587485E-3</v>
      </c>
    </row>
    <row r="10" spans="1:19" s="12" customFormat="1" outlineLevel="1" x14ac:dyDescent="0.25">
      <c r="A10" s="1" t="s">
        <v>4</v>
      </c>
      <c r="D10" s="12" t="s">
        <v>106</v>
      </c>
      <c r="I10" s="63"/>
      <c r="J10" s="421">
        <f>'1.1'!E9</f>
        <v>193963</v>
      </c>
      <c r="K10" s="94">
        <f t="shared" si="0"/>
        <v>1.1093108516947165E-2</v>
      </c>
      <c r="L10" s="421">
        <f>'1.1'!F9</f>
        <v>294061</v>
      </c>
      <c r="M10" s="94">
        <f t="shared" si="1"/>
        <v>4.807072110656457E-3</v>
      </c>
      <c r="N10" s="421">
        <f>'1.1'!G9</f>
        <v>294061</v>
      </c>
      <c r="O10" s="94">
        <f t="shared" si="2"/>
        <v>1.4199078402844024E-3</v>
      </c>
      <c r="P10" s="421">
        <f>'1.1'!H9</f>
        <v>294061</v>
      </c>
      <c r="Q10" s="91">
        <f t="shared" si="3"/>
        <v>7.5440066815031081E-4</v>
      </c>
    </row>
    <row r="11" spans="1:19" s="12" customFormat="1" outlineLevel="1" x14ac:dyDescent="0.25">
      <c r="A11" s="1" t="s">
        <v>6</v>
      </c>
      <c r="D11" s="12" t="s">
        <v>163</v>
      </c>
      <c r="I11" s="63"/>
      <c r="J11" s="421">
        <f>'1.1'!E10</f>
        <v>756926.39748713456</v>
      </c>
      <c r="K11" s="94">
        <f t="shared" si="0"/>
        <v>4.3290043290043295E-2</v>
      </c>
      <c r="L11" s="421">
        <f>'1.1'!F10</f>
        <v>1619750.5557694593</v>
      </c>
      <c r="M11" s="94">
        <f t="shared" si="1"/>
        <v>2.6478375992939101E-2</v>
      </c>
      <c r="N11" s="421">
        <f>'1.1'!G10</f>
        <v>3691598.0787940207</v>
      </c>
      <c r="O11" s="94">
        <f t="shared" si="2"/>
        <v>1.7825311942958999E-2</v>
      </c>
      <c r="P11" s="421">
        <f>'1.1'!H10</f>
        <v>3508498.5911502028</v>
      </c>
      <c r="Q11" s="91">
        <f t="shared" si="3"/>
        <v>9.0009000900090012E-3</v>
      </c>
    </row>
    <row r="12" spans="1:19" s="61" customFormat="1" x14ac:dyDescent="0.25">
      <c r="A12" s="74">
        <v>1.2</v>
      </c>
      <c r="C12" s="61" t="s">
        <v>10</v>
      </c>
      <c r="I12" s="83"/>
      <c r="J12" s="72">
        <f>SUM(J13:J17)</f>
        <v>990000</v>
      </c>
      <c r="K12" s="90">
        <f t="shared" si="0"/>
        <v>5.6619960671765716E-2</v>
      </c>
      <c r="L12" s="387">
        <f>SUM(L13:L17)</f>
        <v>4860000</v>
      </c>
      <c r="M12" s="90">
        <f t="shared" si="1"/>
        <v>7.9447361118238677E-2</v>
      </c>
      <c r="N12" s="387">
        <f>SUM(N13:N17)</f>
        <v>7566000</v>
      </c>
      <c r="O12" s="90">
        <f t="shared" si="2"/>
        <v>3.6533313562804273E-2</v>
      </c>
      <c r="P12" s="387">
        <f>SUM(P13:P17)</f>
        <v>17310000</v>
      </c>
      <c r="Q12" s="96">
        <f t="shared" si="3"/>
        <v>4.4408049913731776E-2</v>
      </c>
    </row>
    <row r="13" spans="1:19" outlineLevel="1" x14ac:dyDescent="0.25">
      <c r="A13" s="1" t="s">
        <v>9</v>
      </c>
      <c r="D13" t="str">
        <f>'1.2'!C4</f>
        <v>Subsea Cables</v>
      </c>
      <c r="I13" s="63"/>
      <c r="J13" s="4">
        <f>'1.2'!E4</f>
        <v>900000</v>
      </c>
      <c r="K13" s="94">
        <f t="shared" si="0"/>
        <v>5.1472691519787013E-2</v>
      </c>
      <c r="L13" s="421">
        <f>'1.2'!F4</f>
        <v>900000</v>
      </c>
      <c r="M13" s="94">
        <f t="shared" si="1"/>
        <v>1.4712474281155311E-2</v>
      </c>
      <c r="N13" s="421">
        <f>'1.2'!G4</f>
        <v>3360000</v>
      </c>
      <c r="O13" s="94">
        <f t="shared" si="2"/>
        <v>1.6224151939072479E-2</v>
      </c>
      <c r="P13" s="421">
        <f>'1.2'!H4</f>
        <v>8700000</v>
      </c>
      <c r="Q13" s="91">
        <f t="shared" si="3"/>
        <v>2.2319470493903319E-2</v>
      </c>
    </row>
    <row r="14" spans="1:19" outlineLevel="1" x14ac:dyDescent="0.25">
      <c r="A14" s="1" t="s">
        <v>11</v>
      </c>
      <c r="D14" s="461" t="str">
        <f>'1.2'!C5</f>
        <v>Terminations and Connectors</v>
      </c>
      <c r="I14" s="63"/>
      <c r="J14" s="421">
        <f>'1.2'!E5</f>
        <v>90000</v>
      </c>
      <c r="K14" s="94">
        <f t="shared" si="0"/>
        <v>5.1472691519787016E-3</v>
      </c>
      <c r="L14" s="421">
        <f>'1.2'!F5</f>
        <v>90000</v>
      </c>
      <c r="M14" s="94">
        <f t="shared" si="1"/>
        <v>1.4712474281155311E-3</v>
      </c>
      <c r="N14" s="421">
        <f>'1.2'!G5</f>
        <v>336000</v>
      </c>
      <c r="O14" s="94">
        <f t="shared" si="2"/>
        <v>1.6224151939072478E-3</v>
      </c>
      <c r="P14" s="421">
        <f>'1.2'!H5</f>
        <v>870000</v>
      </c>
      <c r="Q14" s="91">
        <f t="shared" si="3"/>
        <v>2.2319470493903319E-3</v>
      </c>
    </row>
    <row r="15" spans="1:19" outlineLevel="1" x14ac:dyDescent="0.25">
      <c r="A15" s="1" t="s">
        <v>13</v>
      </c>
      <c r="D15" s="461" t="str">
        <f>'1.2'!C6</f>
        <v>Dockside Improvements</v>
      </c>
      <c r="I15" s="63"/>
      <c r="J15" s="421">
        <f>'1.2'!E6</f>
        <v>0</v>
      </c>
      <c r="K15" s="94">
        <f t="shared" si="0"/>
        <v>0</v>
      </c>
      <c r="L15" s="421">
        <f>'1.2'!F6</f>
        <v>0</v>
      </c>
      <c r="M15" s="94">
        <f t="shared" si="1"/>
        <v>0</v>
      </c>
      <c r="N15" s="421">
        <f>'1.2'!G6</f>
        <v>0</v>
      </c>
      <c r="O15" s="94">
        <f t="shared" si="2"/>
        <v>0</v>
      </c>
      <c r="P15" s="421">
        <f>'1.2'!H6</f>
        <v>0</v>
      </c>
      <c r="Q15" s="91">
        <f t="shared" si="3"/>
        <v>0</v>
      </c>
    </row>
    <row r="16" spans="1:19" outlineLevel="1" x14ac:dyDescent="0.25">
      <c r="A16" s="1" t="s">
        <v>15</v>
      </c>
      <c r="D16" s="461" t="str">
        <f>'1.2'!C7</f>
        <v>Dedicated O&amp;M Vessel</v>
      </c>
      <c r="I16" s="63"/>
      <c r="J16" s="421">
        <f>'1.2'!E7</f>
        <v>0</v>
      </c>
      <c r="K16" s="94">
        <f t="shared" si="0"/>
        <v>0</v>
      </c>
      <c r="L16" s="421">
        <f>'1.2'!F7</f>
        <v>3870000</v>
      </c>
      <c r="M16" s="94">
        <f t="shared" si="1"/>
        <v>6.3263639408967828E-2</v>
      </c>
      <c r="N16" s="421">
        <f>'1.2'!G7</f>
        <v>3870000</v>
      </c>
      <c r="O16" s="94">
        <f t="shared" si="2"/>
        <v>1.8686746429824548E-2</v>
      </c>
      <c r="P16" s="421">
        <f>'1.2'!H7</f>
        <v>7740000</v>
      </c>
      <c r="Q16" s="91">
        <f t="shared" si="3"/>
        <v>1.9856632370438124E-2</v>
      </c>
    </row>
    <row r="17" spans="1:27" outlineLevel="1" x14ac:dyDescent="0.25">
      <c r="A17" s="1" t="s">
        <v>16</v>
      </c>
      <c r="D17" s="461" t="str">
        <f>'1.2'!C8</f>
        <v>Other</v>
      </c>
      <c r="I17" s="63"/>
      <c r="J17" s="421">
        <f>'1.2'!E8</f>
        <v>0</v>
      </c>
      <c r="K17" s="94">
        <f t="shared" si="0"/>
        <v>0</v>
      </c>
      <c r="L17" s="421">
        <f>'1.2'!F8</f>
        <v>0</v>
      </c>
      <c r="M17" s="94">
        <f t="shared" si="1"/>
        <v>0</v>
      </c>
      <c r="N17" s="421">
        <f>'1.2'!G8</f>
        <v>0</v>
      </c>
      <c r="O17" s="94">
        <f t="shared" si="2"/>
        <v>0</v>
      </c>
      <c r="P17" s="421">
        <f>'1.2'!H8</f>
        <v>0</v>
      </c>
      <c r="Q17" s="91">
        <f t="shared" si="3"/>
        <v>0</v>
      </c>
      <c r="W17" s="47"/>
    </row>
    <row r="18" spans="1:27" s="61" customFormat="1" x14ac:dyDescent="0.25">
      <c r="A18" s="74">
        <v>1.3</v>
      </c>
      <c r="C18" s="61" t="s">
        <v>18</v>
      </c>
      <c r="I18" s="83"/>
      <c r="J18" s="72">
        <f>SUM(J19:J23)</f>
        <v>524775</v>
      </c>
      <c r="K18" s="90">
        <f t="shared" si="0"/>
        <v>3.0012868546995811E-2</v>
      </c>
      <c r="L18" s="387">
        <f>SUM(L19:L23)</f>
        <v>4722975</v>
      </c>
      <c r="M18" s="90">
        <f t="shared" si="1"/>
        <v>7.7207386908932779E-2</v>
      </c>
      <c r="N18" s="387">
        <f>SUM(N19:N23)</f>
        <v>23614875</v>
      </c>
      <c r="O18" s="90">
        <f t="shared" si="2"/>
        <v>0.11402717857803696</v>
      </c>
      <c r="P18" s="387">
        <f>SUM(P19:P23)</f>
        <v>47229750</v>
      </c>
      <c r="Q18" s="96">
        <f t="shared" si="3"/>
        <v>0.12116586339763566</v>
      </c>
    </row>
    <row r="19" spans="1:27" outlineLevel="1" x14ac:dyDescent="0.25">
      <c r="A19" s="1" t="s">
        <v>19</v>
      </c>
      <c r="D19" t="str">
        <f>'1.3'!C4</f>
        <v>Mooring lines/chain</v>
      </c>
      <c r="I19" s="63"/>
      <c r="J19" s="4">
        <f>'1.3'!E4</f>
        <v>182475</v>
      </c>
      <c r="K19" s="94">
        <f t="shared" si="0"/>
        <v>1.0436088205636818E-2</v>
      </c>
      <c r="L19" s="421">
        <f>'1.3'!F4</f>
        <v>1642275</v>
      </c>
      <c r="M19" s="94">
        <f t="shared" si="1"/>
        <v>2.6846587444538151E-2</v>
      </c>
      <c r="N19" s="421">
        <f>'1.3'!G4</f>
        <v>8211375</v>
      </c>
      <c r="O19" s="94">
        <f t="shared" si="2"/>
        <v>3.9649582032351569E-2</v>
      </c>
      <c r="P19" s="421">
        <f>'1.3'!H4</f>
        <v>16422750</v>
      </c>
      <c r="Q19" s="91">
        <f t="shared" si="3"/>
        <v>4.2131848741810425E-2</v>
      </c>
    </row>
    <row r="20" spans="1:27" outlineLevel="1" x14ac:dyDescent="0.25">
      <c r="A20" s="1" t="s">
        <v>21</v>
      </c>
      <c r="D20" s="461" t="str">
        <f>'1.3'!C5</f>
        <v>Anchors</v>
      </c>
      <c r="I20" s="63"/>
      <c r="J20" s="421">
        <f>'1.3'!E5</f>
        <v>180000</v>
      </c>
      <c r="K20" s="94">
        <f t="shared" si="0"/>
        <v>1.0294538303957403E-2</v>
      </c>
      <c r="L20" s="421">
        <f>'1.3'!F5</f>
        <v>1620000</v>
      </c>
      <c r="M20" s="94">
        <f t="shared" si="1"/>
        <v>2.6482453706079559E-2</v>
      </c>
      <c r="N20" s="421">
        <f>'1.3'!G5</f>
        <v>8100000</v>
      </c>
      <c r="O20" s="94">
        <f t="shared" si="2"/>
        <v>3.9111794853121148E-2</v>
      </c>
      <c r="P20" s="421">
        <f>'1.3'!H5</f>
        <v>16200000</v>
      </c>
      <c r="Q20" s="91">
        <f t="shared" si="3"/>
        <v>4.1560393333475144E-2</v>
      </c>
    </row>
    <row r="21" spans="1:27" outlineLevel="1" x14ac:dyDescent="0.25">
      <c r="A21" s="1" t="s">
        <v>23</v>
      </c>
      <c r="D21" s="461" t="str">
        <f>'1.3'!C6</f>
        <v>Buoyancy</v>
      </c>
      <c r="I21" s="63"/>
      <c r="J21" s="421">
        <f>'1.3'!E6</f>
        <v>60000</v>
      </c>
      <c r="K21" s="94">
        <f t="shared" si="0"/>
        <v>3.4315127679858011E-3</v>
      </c>
      <c r="L21" s="421">
        <f>'1.3'!F6</f>
        <v>540000</v>
      </c>
      <c r="M21" s="94">
        <f t="shared" si="1"/>
        <v>8.8274845686931863E-3</v>
      </c>
      <c r="N21" s="421">
        <f>'1.3'!G6</f>
        <v>2700000</v>
      </c>
      <c r="O21" s="94">
        <f t="shared" si="2"/>
        <v>1.3037264951040383E-2</v>
      </c>
      <c r="P21" s="421">
        <f>'1.3'!H6</f>
        <v>5400000</v>
      </c>
      <c r="Q21" s="91">
        <f t="shared" si="3"/>
        <v>1.3853464444491715E-2</v>
      </c>
    </row>
    <row r="22" spans="1:27" outlineLevel="1" x14ac:dyDescent="0.25">
      <c r="A22" s="1" t="s">
        <v>24</v>
      </c>
      <c r="D22" s="547" t="str">
        <f>'1.3'!C7</f>
        <v>Connecting Hardware (shackles etc.)</v>
      </c>
      <c r="I22" s="63"/>
      <c r="J22" s="421">
        <f>'1.3'!E7</f>
        <v>102300</v>
      </c>
      <c r="K22" s="94">
        <f t="shared" si="0"/>
        <v>5.8507292694157907E-3</v>
      </c>
      <c r="L22" s="421">
        <f>'1.3'!F7</f>
        <v>920700</v>
      </c>
      <c r="M22" s="94">
        <f t="shared" si="1"/>
        <v>1.5050861189621883E-2</v>
      </c>
      <c r="N22" s="421">
        <f>'1.3'!G7</f>
        <v>4603500</v>
      </c>
      <c r="O22" s="94">
        <f t="shared" si="2"/>
        <v>2.2228536741523853E-2</v>
      </c>
      <c r="P22" s="421">
        <f>'1.3'!H7</f>
        <v>9207000</v>
      </c>
      <c r="Q22" s="91">
        <f t="shared" si="3"/>
        <v>2.3620156877858373E-2</v>
      </c>
      <c r="R22" s="19"/>
    </row>
    <row r="23" spans="1:27" outlineLevel="1" x14ac:dyDescent="0.25">
      <c r="A23" s="1" t="s">
        <v>26</v>
      </c>
      <c r="D23" s="547" t="str">
        <f>'1.3'!C8</f>
        <v>Other</v>
      </c>
      <c r="I23" s="63"/>
      <c r="J23" s="421">
        <f>'1.3'!E8</f>
        <v>0</v>
      </c>
      <c r="K23" s="94">
        <f t="shared" si="0"/>
        <v>0</v>
      </c>
      <c r="L23" s="421">
        <f>'1.3'!F8</f>
        <v>0</v>
      </c>
      <c r="M23" s="94">
        <f t="shared" si="1"/>
        <v>0</v>
      </c>
      <c r="N23" s="421">
        <f>'1.3'!G8</f>
        <v>0</v>
      </c>
      <c r="O23" s="94">
        <f t="shared" si="2"/>
        <v>0</v>
      </c>
      <c r="P23" s="421">
        <f>'1.3'!H8</f>
        <v>0</v>
      </c>
      <c r="Q23" s="91">
        <f t="shared" si="3"/>
        <v>0</v>
      </c>
      <c r="R23" s="9"/>
      <c r="S23" s="9"/>
      <c r="T23" s="9"/>
      <c r="U23" s="9"/>
    </row>
    <row r="24" spans="1:27" s="61" customFormat="1" x14ac:dyDescent="0.25">
      <c r="A24" s="74">
        <v>1.4</v>
      </c>
      <c r="C24" s="61" t="s">
        <v>27</v>
      </c>
      <c r="I24" s="118">
        <f>SUM(I25:I28)</f>
        <v>687.28619999999989</v>
      </c>
      <c r="J24" s="72">
        <f>SUM(J25:J28)</f>
        <v>2939052.3699478991</v>
      </c>
      <c r="K24" s="90">
        <f t="shared" si="0"/>
        <v>0.16808992888758573</v>
      </c>
      <c r="L24" s="387">
        <f>SUM(L25:L28)</f>
        <v>20674690.196693219</v>
      </c>
      <c r="M24" s="90">
        <f t="shared" si="1"/>
        <v>0.33797316421078089</v>
      </c>
      <c r="N24" s="387">
        <f>SUM(N25:N28)</f>
        <v>91548379.036924392</v>
      </c>
      <c r="O24" s="90">
        <f t="shared" si="2"/>
        <v>0.44205202716394615</v>
      </c>
      <c r="P24" s="387">
        <f>SUM(P25:P28)</f>
        <v>177933334.05403334</v>
      </c>
      <c r="Q24" s="96">
        <f t="shared" si="3"/>
        <v>0.45648020681618845</v>
      </c>
      <c r="R24" s="99"/>
      <c r="S24" s="99"/>
      <c r="T24" s="99"/>
      <c r="U24" s="99"/>
      <c r="V24" s="100"/>
      <c r="W24" s="99"/>
      <c r="X24" s="99"/>
      <c r="Y24" s="99"/>
    </row>
    <row r="25" spans="1:27" s="7" customFormat="1" outlineLevel="1" x14ac:dyDescent="0.25">
      <c r="A25" s="1" t="s">
        <v>28</v>
      </c>
      <c r="D25" s="7" t="str">
        <f>'1.4'!D4</f>
        <v>Surface Float</v>
      </c>
      <c r="I25" s="119">
        <f>'1.4'!E22</f>
        <v>205.44</v>
      </c>
      <c r="J25" s="88">
        <f>'1.4'!E4</f>
        <v>894241.14540025499</v>
      </c>
      <c r="K25" s="94">
        <f t="shared" si="0"/>
        <v>5.1143331801653702E-2</v>
      </c>
      <c r="L25" s="389">
        <f>'1.4'!F4</f>
        <v>6220786.6200600797</v>
      </c>
      <c r="M25" s="94">
        <f t="shared" si="1"/>
        <v>0.10169240350687665</v>
      </c>
      <c r="N25" s="389">
        <f>'1.4'!G4</f>
        <v>27374083.799353056</v>
      </c>
      <c r="O25" s="94">
        <f t="shared" si="2"/>
        <v>0.13217895677190666</v>
      </c>
      <c r="P25" s="389">
        <f>'1.4'!H4</f>
        <v>53048701.14896699</v>
      </c>
      <c r="Q25" s="91">
        <f t="shared" si="3"/>
        <v>0.13609412873957055</v>
      </c>
      <c r="R25" s="11"/>
      <c r="S25" s="11"/>
      <c r="T25" s="11"/>
      <c r="U25" s="11"/>
      <c r="V25" s="9"/>
      <c r="W25" s="9"/>
      <c r="X25" s="9"/>
      <c r="Y25" s="9"/>
      <c r="AA25" s="19"/>
    </row>
    <row r="26" spans="1:27" outlineLevel="1" x14ac:dyDescent="0.25">
      <c r="A26" s="1" t="s">
        <v>29</v>
      </c>
      <c r="D26" s="461" t="str">
        <f>'1.4'!D5</f>
        <v>Vertical Column</v>
      </c>
      <c r="I26" s="119">
        <f>'1.4'!E35</f>
        <v>223.64</v>
      </c>
      <c r="J26" s="389">
        <f>'1.4'!E5</f>
        <v>921357.27921035211</v>
      </c>
      <c r="K26" s="94">
        <f t="shared" si="0"/>
        <v>5.2694154458116364E-2</v>
      </c>
      <c r="L26" s="389">
        <f>'1.4'!F5</f>
        <v>6544935.4409701042</v>
      </c>
      <c r="M26" s="94">
        <f t="shared" si="1"/>
        <v>0.10699132705232728</v>
      </c>
      <c r="N26" s="389">
        <f>'1.4'!G5</f>
        <v>29155570.072405908</v>
      </c>
      <c r="O26" s="94">
        <f t="shared" si="2"/>
        <v>0.14078107104910351</v>
      </c>
      <c r="P26" s="389">
        <f>'1.4'!H5</f>
        <v>56827841.047422305</v>
      </c>
      <c r="Q26" s="91">
        <f t="shared" si="3"/>
        <v>0.1457893472977207</v>
      </c>
      <c r="R26" s="11"/>
      <c r="S26" s="11"/>
      <c r="T26" s="11"/>
      <c r="U26" s="11"/>
      <c r="V26" s="9"/>
      <c r="W26" s="9"/>
      <c r="X26" s="9"/>
      <c r="Y26" s="9"/>
    </row>
    <row r="27" spans="1:27" outlineLevel="1" x14ac:dyDescent="0.25">
      <c r="A27" s="1" t="s">
        <v>30</v>
      </c>
      <c r="D27" s="461" t="str">
        <f>'1.4'!D6</f>
        <v>Reaction Plate</v>
      </c>
      <c r="I27" s="119">
        <f>'1.4'!E47</f>
        <v>244.73</v>
      </c>
      <c r="J27" s="389">
        <f>'1.4'!E6</f>
        <v>1065825.467495176</v>
      </c>
      <c r="K27" s="94">
        <f t="shared" si="0"/>
        <v>6.0956561669235527E-2</v>
      </c>
      <c r="L27" s="389">
        <f>'1.4'!F6</f>
        <v>7503582.0533749359</v>
      </c>
      <c r="M27" s="94">
        <f t="shared" si="1"/>
        <v>0.12266250886313032</v>
      </c>
      <c r="N27" s="389">
        <f>'1.4'!G6</f>
        <v>33223658.909539465</v>
      </c>
      <c r="O27" s="94">
        <f t="shared" si="2"/>
        <v>0.16042431253579978</v>
      </c>
      <c r="P27" s="389">
        <f>'1.4'!H6</f>
        <v>64567902.954623803</v>
      </c>
      <c r="Q27" s="91">
        <f t="shared" si="3"/>
        <v>0.16564613848838378</v>
      </c>
      <c r="R27" s="11"/>
      <c r="S27" s="11"/>
      <c r="T27" s="11"/>
      <c r="U27" s="11"/>
      <c r="V27" s="9"/>
      <c r="W27" s="9"/>
      <c r="X27" s="9"/>
      <c r="Y27" s="9"/>
    </row>
    <row r="28" spans="1:27" outlineLevel="1" x14ac:dyDescent="0.25">
      <c r="A28" s="467" t="s">
        <v>31</v>
      </c>
      <c r="D28" s="461" t="str">
        <f>'1.4'!D7</f>
        <v>Device Access (Railings, Ladders, etc)</v>
      </c>
      <c r="I28" s="119">
        <f>'1.4'!E57</f>
        <v>13.476199999999999</v>
      </c>
      <c r="J28" s="389">
        <f>'1.4'!E7</f>
        <v>57628.477842115666</v>
      </c>
      <c r="K28" s="94">
        <f t="shared" si="0"/>
        <v>3.2958809585801122E-3</v>
      </c>
      <c r="L28" s="389">
        <f>'1.4'!F7</f>
        <v>405386.08228810242</v>
      </c>
      <c r="M28" s="94">
        <f t="shared" si="1"/>
        <v>6.6269247884466857E-3</v>
      </c>
      <c r="N28" s="389">
        <f>'1.4'!G7</f>
        <v>1795066.2556259686</v>
      </c>
      <c r="O28" s="94">
        <f t="shared" si="2"/>
        <v>8.667686807136199E-3</v>
      </c>
      <c r="P28" s="389">
        <f>'1.4'!H7</f>
        <v>3488888.9030202618</v>
      </c>
      <c r="Q28" s="91">
        <f t="shared" si="3"/>
        <v>8.9505922905134989E-3</v>
      </c>
    </row>
    <row r="29" spans="1:27" s="61" customFormat="1" x14ac:dyDescent="0.25">
      <c r="A29" s="74">
        <v>1.5</v>
      </c>
      <c r="C29" s="61" t="s">
        <v>32</v>
      </c>
      <c r="I29" s="118">
        <f>SUM(I30:I42)</f>
        <v>12.462820308390022</v>
      </c>
      <c r="J29" s="89">
        <f>SUM(J30:J42)</f>
        <v>623463.64800000004</v>
      </c>
      <c r="K29" s="90">
        <f t="shared" si="0"/>
        <v>3.5657057808116753E-2</v>
      </c>
      <c r="L29" s="390">
        <f>SUM(L30:L42)</f>
        <v>4936833.4730883809</v>
      </c>
      <c r="M29" s="90">
        <f t="shared" si="1"/>
        <v>8.070337278128828E-2</v>
      </c>
      <c r="N29" s="390">
        <f>SUM(N30:N42)</f>
        <v>21684568.746642202</v>
      </c>
      <c r="O29" s="90">
        <f t="shared" si="2"/>
        <v>0.10470646966630522</v>
      </c>
      <c r="P29" s="390">
        <f>SUM(P30:P42)</f>
        <v>41283900.000025488</v>
      </c>
      <c r="Q29" s="96">
        <f t="shared" si="3"/>
        <v>0.10591204458894529</v>
      </c>
    </row>
    <row r="30" spans="1:27" outlineLevel="1" x14ac:dyDescent="0.25">
      <c r="A30" s="1" t="s">
        <v>33</v>
      </c>
      <c r="D30" t="str">
        <f>'1.5'!E4</f>
        <v>Generator</v>
      </c>
      <c r="I30" s="119">
        <f>'1.5'!L4/1000</f>
        <v>2.0735000000000001</v>
      </c>
      <c r="J30" s="4">
        <f>'1.5'!G4</f>
        <v>25740</v>
      </c>
      <c r="K30" s="94">
        <f t="shared" si="0"/>
        <v>1.4721189774659087E-3</v>
      </c>
      <c r="L30" s="421">
        <f>'1.5'!H4</f>
        <v>227101.82297815234</v>
      </c>
      <c r="M30" s="94">
        <f t="shared" si="1"/>
        <v>3.7124774775217249E-3</v>
      </c>
      <c r="N30" s="421">
        <f>'1.5'!I4</f>
        <v>1040339.5245428892</v>
      </c>
      <c r="O30" s="94">
        <f t="shared" si="2"/>
        <v>5.0234007483351949E-3</v>
      </c>
      <c r="P30" s="421">
        <f>'1.5'!J4</f>
        <v>2003700.0000000014</v>
      </c>
      <c r="Q30" s="91">
        <f t="shared" si="3"/>
        <v>5.1404049458200129E-3</v>
      </c>
    </row>
    <row r="31" spans="1:27" outlineLevel="1" x14ac:dyDescent="0.25">
      <c r="A31" s="1" t="s">
        <v>35</v>
      </c>
      <c r="D31" s="486" t="str">
        <f>'1.5'!E5</f>
        <v>Hydraulic Components (all)</v>
      </c>
      <c r="I31" s="702">
        <f>'1.5'!L5/1000</f>
        <v>7.9554603083900224</v>
      </c>
      <c r="J31" s="421">
        <f>'1.5'!G5</f>
        <v>115140.73999999999</v>
      </c>
      <c r="K31" s="94">
        <f t="shared" si="0"/>
        <v>6.585115323755557E-3</v>
      </c>
      <c r="L31" s="421">
        <f>'1.5'!H5</f>
        <v>1050019.8426429844</v>
      </c>
      <c r="M31" s="94">
        <f t="shared" si="1"/>
        <v>1.7164877699541836E-2</v>
      </c>
      <c r="N31" s="421">
        <f>'1.5'!I5</f>
        <v>4922510.8913911395</v>
      </c>
      <c r="O31" s="94">
        <f t="shared" si="2"/>
        <v>2.3768918042758613E-2</v>
      </c>
      <c r="P31" s="421">
        <f>'1.5'!J5</f>
        <v>9575599.9999999814</v>
      </c>
      <c r="Q31" s="91">
        <f t="shared" si="3"/>
        <v>2.4565784099013815E-2</v>
      </c>
    </row>
    <row r="32" spans="1:27" outlineLevel="1" x14ac:dyDescent="0.25">
      <c r="A32" s="1" t="s">
        <v>36</v>
      </c>
      <c r="D32" s="486" t="str">
        <f>'1.5'!E6</f>
        <v>Hydraulic Energy Storage</v>
      </c>
      <c r="I32" s="702">
        <f>'1.5'!L6/1000</f>
        <v>1.2927200000000001</v>
      </c>
      <c r="J32" s="421">
        <f>'1.5'!G6</f>
        <v>56628</v>
      </c>
      <c r="K32" s="94">
        <f t="shared" si="0"/>
        <v>3.2386617504249989E-3</v>
      </c>
      <c r="L32" s="421">
        <f>'1.5'!H6</f>
        <v>364422.81158022245</v>
      </c>
      <c r="M32" s="94">
        <f t="shared" si="1"/>
        <v>5.9572902698225893E-3</v>
      </c>
      <c r="N32" s="421">
        <f>'1.5'!I6</f>
        <v>1338982.0595969318</v>
      </c>
      <c r="O32" s="94">
        <f t="shared" si="2"/>
        <v>6.4654310650573872E-3</v>
      </c>
      <c r="P32" s="421">
        <f>'1.5'!J6</f>
        <v>2345200.0000006063</v>
      </c>
      <c r="Q32" s="91">
        <f t="shared" si="3"/>
        <v>6.0165082991167351E-3</v>
      </c>
    </row>
    <row r="33" spans="1:18" outlineLevel="1" x14ac:dyDescent="0.25">
      <c r="A33" s="1" t="s">
        <v>37</v>
      </c>
      <c r="D33" s="486" t="str">
        <f>'1.5'!E7</f>
        <v>Frequency Converter</v>
      </c>
      <c r="I33" s="702">
        <f>'1.5'!L7/1000</f>
        <v>1.1411399999999998</v>
      </c>
      <c r="J33" s="421">
        <f>'1.5'!G7</f>
        <v>85800</v>
      </c>
      <c r="K33" s="94">
        <f t="shared" si="0"/>
        <v>4.9070632582196953E-3</v>
      </c>
      <c r="L33" s="421">
        <f>'1.5'!H7</f>
        <v>406985.13486406015</v>
      </c>
      <c r="M33" s="94">
        <f t="shared" si="1"/>
        <v>6.6530648105555673E-3</v>
      </c>
      <c r="N33" s="421">
        <f>'1.5'!I7</f>
        <v>1208220.1021814416</v>
      </c>
      <c r="O33" s="94">
        <f t="shared" si="2"/>
        <v>5.8340317004861256E-3</v>
      </c>
      <c r="P33" s="421">
        <f>'1.5'!J7</f>
        <v>1930500.0000036976</v>
      </c>
      <c r="Q33" s="91">
        <f t="shared" si="3"/>
        <v>4.9526135389152742E-3</v>
      </c>
    </row>
    <row r="34" spans="1:18" outlineLevel="1" x14ac:dyDescent="0.25">
      <c r="A34" s="1" t="s">
        <v>40</v>
      </c>
      <c r="D34" s="486" t="str">
        <f>'1.5'!E8</f>
        <v>Step-up Transformer</v>
      </c>
      <c r="I34" s="702">
        <f>'1.5'!L8/1000</f>
        <v>0</v>
      </c>
      <c r="J34" s="421">
        <f>'1.5'!G8</f>
        <v>57200</v>
      </c>
      <c r="K34" s="94">
        <f t="shared" si="0"/>
        <v>3.2713755054797969E-3</v>
      </c>
      <c r="L34" s="421">
        <f>'1.5'!H8</f>
        <v>495366.53096441738</v>
      </c>
      <c r="M34" s="94">
        <f t="shared" si="1"/>
        <v>8.0978526072879066E-3</v>
      </c>
      <c r="N34" s="421">
        <f>'1.5'!I8</f>
        <v>2239919.7042117147</v>
      </c>
      <c r="O34" s="94">
        <f t="shared" si="2"/>
        <v>1.0815713575134863E-2</v>
      </c>
      <c r="P34" s="421">
        <f>'1.5'!J8</f>
        <v>4289999.9999951245</v>
      </c>
      <c r="Q34" s="91">
        <f t="shared" si="3"/>
        <v>1.1005807864222577E-2</v>
      </c>
    </row>
    <row r="35" spans="1:18" outlineLevel="1" x14ac:dyDescent="0.25">
      <c r="A35" s="1" t="s">
        <v>42</v>
      </c>
      <c r="D35" s="486" t="str">
        <f>'1.5'!E9</f>
        <v>Riser Cable</v>
      </c>
      <c r="I35" s="702">
        <f>'1.5'!L9/1000</f>
        <v>0</v>
      </c>
      <c r="J35" s="421">
        <f>'1.5'!G9</f>
        <v>88000</v>
      </c>
      <c r="K35" s="94">
        <f t="shared" si="0"/>
        <v>5.0328853930458415E-3</v>
      </c>
      <c r="L35" s="421">
        <f>'1.5'!H9</f>
        <v>880000</v>
      </c>
      <c r="M35" s="94">
        <f t="shared" si="1"/>
        <v>1.4385530408240747E-2</v>
      </c>
      <c r="N35" s="421">
        <f>'1.5'!I9</f>
        <v>4400000</v>
      </c>
      <c r="O35" s="94">
        <f t="shared" si="2"/>
        <v>2.1245913253547292E-2</v>
      </c>
      <c r="P35" s="421">
        <f>'1.5'!J9</f>
        <v>8800000</v>
      </c>
      <c r="Q35" s="91">
        <f t="shared" si="3"/>
        <v>2.2576016131764277E-2</v>
      </c>
    </row>
    <row r="36" spans="1:18" outlineLevel="1" x14ac:dyDescent="0.25">
      <c r="A36" s="1" t="s">
        <v>44</v>
      </c>
      <c r="D36" s="486" t="str">
        <f>'1.5'!E10</f>
        <v>Electrical Energy Storage</v>
      </c>
      <c r="I36" s="702">
        <f>'1.5'!L10/1000</f>
        <v>0</v>
      </c>
      <c r="J36" s="421">
        <f>'1.5'!G10</f>
        <v>0</v>
      </c>
      <c r="K36" s="94">
        <f t="shared" ref="K36:K50" si="4">J36/$J$54</f>
        <v>0</v>
      </c>
      <c r="L36" s="421">
        <f>'1.5'!H10</f>
        <v>0</v>
      </c>
      <c r="M36" s="94">
        <f t="shared" ref="M36:M50" si="5">L36/$L$54</f>
        <v>0</v>
      </c>
      <c r="N36" s="421">
        <f>'1.5'!I10</f>
        <v>0</v>
      </c>
      <c r="O36" s="94">
        <f t="shared" ref="O36:O50" si="6">N36/$N$54</f>
        <v>0</v>
      </c>
      <c r="P36" s="421">
        <f>'1.5'!J10</f>
        <v>0</v>
      </c>
      <c r="Q36" s="91">
        <f t="shared" ref="Q36:Q50" si="7">P36/$P$54</f>
        <v>0</v>
      </c>
    </row>
    <row r="37" spans="1:18" outlineLevel="1" x14ac:dyDescent="0.25">
      <c r="A37" s="1" t="s">
        <v>46</v>
      </c>
      <c r="D37" s="486" t="str">
        <f>'1.5'!E11</f>
        <v>Seals</v>
      </c>
      <c r="I37" s="702">
        <f>'1.5'!L11/1000</f>
        <v>0</v>
      </c>
      <c r="J37" s="421">
        <f>'1.5'!G11</f>
        <v>0</v>
      </c>
      <c r="K37" s="94">
        <f t="shared" si="4"/>
        <v>0</v>
      </c>
      <c r="L37" s="421">
        <f>'1.5'!H11</f>
        <v>0</v>
      </c>
      <c r="M37" s="94">
        <f t="shared" si="5"/>
        <v>0</v>
      </c>
      <c r="N37" s="421">
        <f>'1.5'!I11</f>
        <v>0</v>
      </c>
      <c r="O37" s="94">
        <f t="shared" si="6"/>
        <v>0</v>
      </c>
      <c r="P37" s="421">
        <f>'1.5'!J11</f>
        <v>0</v>
      </c>
      <c r="Q37" s="91">
        <f t="shared" si="7"/>
        <v>0</v>
      </c>
    </row>
    <row r="38" spans="1:18" outlineLevel="1" x14ac:dyDescent="0.25">
      <c r="A38" s="1" t="s">
        <v>61</v>
      </c>
      <c r="D38" s="486" t="str">
        <f>'1.5'!E12</f>
        <v xml:space="preserve">Control System </v>
      </c>
      <c r="I38" s="702">
        <f>'1.5'!L12/1000</f>
        <v>0</v>
      </c>
      <c r="J38" s="421">
        <f>'1.5'!G12</f>
        <v>5643.5</v>
      </c>
      <c r="K38" s="94">
        <f t="shared" si="4"/>
        <v>3.2276237176879781E-4</v>
      </c>
      <c r="L38" s="421">
        <f>'1.5'!H12</f>
        <v>53120.14683715078</v>
      </c>
      <c r="M38" s="94">
        <f t="shared" si="5"/>
        <v>8.6836532683641607E-4</v>
      </c>
      <c r="N38" s="421">
        <f>'1.5'!I12</f>
        <v>254597.34197343577</v>
      </c>
      <c r="O38" s="94">
        <f t="shared" si="6"/>
        <v>1.2293529641253026E-3</v>
      </c>
      <c r="P38" s="421">
        <f>'1.5'!J12</f>
        <v>500000.00000008137</v>
      </c>
      <c r="Q38" s="91">
        <f t="shared" si="7"/>
        <v>1.2827281893049971E-3</v>
      </c>
      <c r="R38" s="11"/>
    </row>
    <row r="39" spans="1:18" outlineLevel="1" x14ac:dyDescent="0.25">
      <c r="A39" s="1" t="s">
        <v>67</v>
      </c>
      <c r="D39" s="486" t="str">
        <f>'1.5'!E13</f>
        <v>Bearings and Linear Guides</v>
      </c>
      <c r="I39" s="702">
        <f>'1.5'!L13/1000</f>
        <v>0</v>
      </c>
      <c r="J39" s="421">
        <f>'1.5'!G13</f>
        <v>88410.608000000007</v>
      </c>
      <c r="K39" s="94">
        <f t="shared" si="4"/>
        <v>5.0563688362897938E-3</v>
      </c>
      <c r="L39" s="421">
        <f>'1.5'!H13</f>
        <v>765658.57895391807</v>
      </c>
      <c r="M39" s="94">
        <f t="shared" si="5"/>
        <v>1.2516369056672713E-2</v>
      </c>
      <c r="N39" s="421">
        <f>'1.5'!I13</f>
        <v>3462111.4431850729</v>
      </c>
      <c r="O39" s="94">
        <f t="shared" si="6"/>
        <v>1.6717208953641701E-2</v>
      </c>
      <c r="P39" s="421">
        <f>'1.5'!J13</f>
        <v>6630799.9999924563</v>
      </c>
      <c r="Q39" s="91">
        <f t="shared" si="7"/>
        <v>1.7011028155265027E-2</v>
      </c>
    </row>
    <row r="40" spans="1:18" outlineLevel="1" x14ac:dyDescent="0.25">
      <c r="A40" s="1" t="s">
        <v>68</v>
      </c>
      <c r="D40" s="486" t="str">
        <f>'1.5'!E14</f>
        <v>Assembly, Testing &amp; QA</v>
      </c>
      <c r="I40" s="702">
        <f>'1.5'!L14/1000</f>
        <v>0</v>
      </c>
      <c r="J40" s="421">
        <f>'1.5'!G14</f>
        <v>58000.799999999996</v>
      </c>
      <c r="K40" s="94">
        <f t="shared" si="4"/>
        <v>3.317174762556514E-3</v>
      </c>
      <c r="L40" s="421">
        <f>'1.5'!H14</f>
        <v>502303.97179368313</v>
      </c>
      <c r="M40" s="94">
        <f t="shared" si="5"/>
        <v>8.2112602959296954E-3</v>
      </c>
      <c r="N40" s="421">
        <f>'1.5'!I14</f>
        <v>2271296.3215799998</v>
      </c>
      <c r="O40" s="94">
        <f t="shared" si="6"/>
        <v>1.0967219232134029E-2</v>
      </c>
      <c r="P40" s="421">
        <f>'1.5'!J14</f>
        <v>4350099.9999949867</v>
      </c>
      <c r="Q40" s="91">
        <f t="shared" si="7"/>
        <v>1.1159991792576658E-2</v>
      </c>
    </row>
    <row r="41" spans="1:18" s="5" customFormat="1" outlineLevel="1" x14ac:dyDescent="0.25">
      <c r="A41" s="1" t="s">
        <v>69</v>
      </c>
      <c r="D41" s="486" t="str">
        <f>'1.5'!E15</f>
        <v>PTO mounting</v>
      </c>
      <c r="I41" s="702">
        <f>'1.5'!L15/1000</f>
        <v>0</v>
      </c>
      <c r="J41" s="421">
        <f>'1.5'!G15</f>
        <v>28600</v>
      </c>
      <c r="K41" s="94">
        <f t="shared" si="4"/>
        <v>1.6356877527398984E-3</v>
      </c>
      <c r="L41" s="421">
        <f>'1.5'!H15</f>
        <v>127903.08831586117</v>
      </c>
      <c r="M41" s="94">
        <f t="shared" si="5"/>
        <v>2.0908565525860484E-3</v>
      </c>
      <c r="N41" s="421">
        <f>'1.5'!I15</f>
        <v>364394.23865305091</v>
      </c>
      <c r="O41" s="94">
        <f t="shared" si="6"/>
        <v>1.7595200873898021E-3</v>
      </c>
      <c r="P41" s="421">
        <f>'1.5'!J15</f>
        <v>572000.00002569868</v>
      </c>
      <c r="Q41" s="91">
        <f t="shared" si="7"/>
        <v>1.4674410486306068E-3</v>
      </c>
    </row>
    <row r="42" spans="1:18" s="73" customFormat="1" outlineLevel="1" x14ac:dyDescent="0.25">
      <c r="A42" s="40" t="s">
        <v>70</v>
      </c>
      <c r="D42" s="486" t="str">
        <f>'1.5'!E16</f>
        <v>Other</v>
      </c>
      <c r="I42" s="702">
        <f>'1.5'!L16/1000</f>
        <v>0</v>
      </c>
      <c r="J42" s="421">
        <f>'1.5'!G16</f>
        <v>14300</v>
      </c>
      <c r="K42" s="94">
        <f t="shared" si="4"/>
        <v>8.1784387636994922E-4</v>
      </c>
      <c r="L42" s="421">
        <f>'1.5'!H16</f>
        <v>63951.544157930584</v>
      </c>
      <c r="M42" s="94">
        <f t="shared" si="5"/>
        <v>1.0454282762930242E-3</v>
      </c>
      <c r="N42" s="421">
        <f>'1.5'!I16</f>
        <v>182197.11932652546</v>
      </c>
      <c r="O42" s="94">
        <f t="shared" si="6"/>
        <v>8.7976004369490104E-4</v>
      </c>
      <c r="P42" s="421">
        <f>'1.5'!J16</f>
        <v>286000.00001284934</v>
      </c>
      <c r="Q42" s="91">
        <f t="shared" si="7"/>
        <v>7.337205243153034E-4</v>
      </c>
    </row>
    <row r="43" spans="1:18" s="61" customFormat="1" x14ac:dyDescent="0.25">
      <c r="A43" s="74">
        <v>1.6</v>
      </c>
      <c r="C43" s="61" t="s">
        <v>72</v>
      </c>
      <c r="I43" s="83"/>
      <c r="J43" s="117">
        <f>'1.6'!E7</f>
        <v>356251.60179478995</v>
      </c>
      <c r="K43" s="90">
        <f t="shared" si="4"/>
        <v>2.037469866957025E-2</v>
      </c>
      <c r="L43" s="392">
        <f>'1.6'!F7</f>
        <v>2561152.3669781601</v>
      </c>
      <c r="M43" s="90">
        <f t="shared" si="5"/>
        <v>4.1867653699206919E-2</v>
      </c>
      <c r="N43" s="392">
        <f>'1.6'!G7</f>
        <v>11323294.77835666</v>
      </c>
      <c r="O43" s="90">
        <f t="shared" si="6"/>
        <v>5.4675849683025135E-2</v>
      </c>
      <c r="P43" s="392">
        <f>'1.6'!H7</f>
        <v>21921723.405405883</v>
      </c>
      <c r="Q43" s="96">
        <f t="shared" si="7"/>
        <v>5.6239225140513376E-2</v>
      </c>
    </row>
    <row r="44" spans="1:18" s="61" customFormat="1" x14ac:dyDescent="0.25">
      <c r="A44" s="74">
        <v>1.7</v>
      </c>
      <c r="C44" s="61" t="s">
        <v>47</v>
      </c>
      <c r="I44" s="83"/>
      <c r="J44" s="72">
        <f>SUM(J45:J50)</f>
        <v>5908522.3300000001</v>
      </c>
      <c r="K44" s="90">
        <f t="shared" si="4"/>
        <v>0.33791949692207024</v>
      </c>
      <c r="L44" s="387">
        <f>SUM(L45:L50)</f>
        <v>9081973.1555555556</v>
      </c>
      <c r="M44" s="90">
        <f t="shared" si="5"/>
        <v>0.14846477385917117</v>
      </c>
      <c r="N44" s="387">
        <f>SUM(N45:N50)</f>
        <v>21531225.377777778</v>
      </c>
      <c r="O44" s="90">
        <f t="shared" si="6"/>
        <v>0.10396603332246425</v>
      </c>
      <c r="P44" s="387">
        <f>SUM(P45:P50)</f>
        <v>37859590.655555554</v>
      </c>
      <c r="Q44" s="96">
        <f t="shared" si="7"/>
        <v>9.712712833884253E-2</v>
      </c>
    </row>
    <row r="45" spans="1:18" outlineLevel="1" x14ac:dyDescent="0.25">
      <c r="A45" s="1" t="s">
        <v>73</v>
      </c>
      <c r="D45" t="str">
        <f>'1.7'!D5</f>
        <v>Transport to Staging Site</v>
      </c>
      <c r="I45" s="63"/>
      <c r="J45" s="4">
        <f>'1.7'!F5</f>
        <v>29750</v>
      </c>
      <c r="K45" s="94">
        <f t="shared" si="4"/>
        <v>1.701458414126293E-3</v>
      </c>
      <c r="L45" s="4">
        <f>'1.7'!G5</f>
        <v>297500</v>
      </c>
      <c r="M45" s="94">
        <f t="shared" si="5"/>
        <v>4.8632901096041167E-3</v>
      </c>
      <c r="N45" s="4">
        <f>'1.7'!H5</f>
        <v>1487500</v>
      </c>
      <c r="O45" s="94">
        <f t="shared" si="6"/>
        <v>7.1825672646935448E-3</v>
      </c>
      <c r="P45" s="4">
        <f>'1.7'!I5</f>
        <v>2975000</v>
      </c>
      <c r="Q45" s="91">
        <f t="shared" si="7"/>
        <v>7.6322327263634911E-3</v>
      </c>
    </row>
    <row r="46" spans="1:18" outlineLevel="1" x14ac:dyDescent="0.25">
      <c r="A46" s="1" t="s">
        <v>74</v>
      </c>
      <c r="D46" s="486" t="str">
        <f>'1.7'!D6</f>
        <v>Cable Shore Landing</v>
      </c>
      <c r="I46" s="63"/>
      <c r="J46" s="421">
        <f>'1.7'!F6</f>
        <v>667000</v>
      </c>
      <c r="K46" s="94">
        <f t="shared" si="4"/>
        <v>3.8146983604108821E-2</v>
      </c>
      <c r="L46" s="421">
        <f>'1.7'!G6</f>
        <v>767200</v>
      </c>
      <c r="M46" s="94">
        <f t="shared" si="5"/>
        <v>1.2541566965002615E-2</v>
      </c>
      <c r="N46" s="421">
        <f>'1.7'!H6</f>
        <v>767200</v>
      </c>
      <c r="O46" s="94">
        <f t="shared" si="6"/>
        <v>3.7045146927548824E-3</v>
      </c>
      <c r="P46" s="421">
        <f>'1.7'!I6</f>
        <v>1534000</v>
      </c>
      <c r="Q46" s="91">
        <f t="shared" si="7"/>
        <v>3.9354100847870908E-3</v>
      </c>
    </row>
    <row r="47" spans="1:18" outlineLevel="1" x14ac:dyDescent="0.25">
      <c r="A47" s="1" t="s">
        <v>75</v>
      </c>
      <c r="D47" s="486" t="str">
        <f>'1.7'!D7</f>
        <v>Mooring/Foundation System</v>
      </c>
      <c r="I47" s="63"/>
      <c r="J47" s="421">
        <f>'1.7'!F7</f>
        <v>3193833.5500000003</v>
      </c>
      <c r="K47" s="94">
        <f t="shared" si="4"/>
        <v>0.18266134342744031</v>
      </c>
      <c r="L47" s="421">
        <f>'1.7'!G7</f>
        <v>3904558.5555555555</v>
      </c>
      <c r="M47" s="94">
        <f t="shared" si="5"/>
        <v>6.3828574808751148E-2</v>
      </c>
      <c r="N47" s="421">
        <f>'1.7'!H7</f>
        <v>7063960.777777778</v>
      </c>
      <c r="O47" s="94">
        <f t="shared" si="6"/>
        <v>3.4109158616165258E-2</v>
      </c>
      <c r="P47" s="421">
        <f>'1.7'!I7</f>
        <v>11013213.555555556</v>
      </c>
      <c r="Q47" s="91">
        <f t="shared" si="7"/>
        <v>2.8253918965089459E-2</v>
      </c>
    </row>
    <row r="48" spans="1:18" outlineLevel="1" x14ac:dyDescent="0.25">
      <c r="A48" s="1" t="s">
        <v>76</v>
      </c>
      <c r="D48" s="486" t="str">
        <f>'1.7'!D8</f>
        <v>Cable Installation</v>
      </c>
      <c r="I48" s="63"/>
      <c r="J48" s="421">
        <f>'1.7'!F8</f>
        <v>1507533.78</v>
      </c>
      <c r="K48" s="94">
        <f t="shared" si="4"/>
        <v>8.6218690237331627E-2</v>
      </c>
      <c r="L48" s="421">
        <f>'1.7'!G8</f>
        <v>2280164.6</v>
      </c>
      <c r="M48" s="94">
        <f t="shared" si="5"/>
        <v>3.7274292260334206E-2</v>
      </c>
      <c r="N48" s="421">
        <f>'1.7'!H8</f>
        <v>4503814.5999999996</v>
      </c>
      <c r="O48" s="94">
        <f t="shared" si="6"/>
        <v>2.1747194159468134E-2</v>
      </c>
      <c r="P48" s="421">
        <f>'1.7'!I8</f>
        <v>7283377.0999999996</v>
      </c>
      <c r="Q48" s="91">
        <f t="shared" si="7"/>
        <v>1.8685186239013919E-2</v>
      </c>
    </row>
    <row r="49" spans="1:19" outlineLevel="1" x14ac:dyDescent="0.25">
      <c r="A49" s="1" t="s">
        <v>77</v>
      </c>
      <c r="D49" s="486" t="str">
        <f>'1.7'!D9</f>
        <v>Device Installation</v>
      </c>
      <c r="I49" s="63"/>
      <c r="J49" s="421">
        <f>'1.7'!F9</f>
        <v>255202.5</v>
      </c>
      <c r="K49" s="94">
        <f t="shared" si="4"/>
        <v>1.4595510619531606E-2</v>
      </c>
      <c r="L49" s="421">
        <f>'1.7'!G9</f>
        <v>916275</v>
      </c>
      <c r="M49" s="94">
        <f t="shared" si="5"/>
        <v>1.4978524857739536E-2</v>
      </c>
      <c r="N49" s="421">
        <f>'1.7'!H9</f>
        <v>3854375</v>
      </c>
      <c r="O49" s="94">
        <f t="shared" si="6"/>
        <v>1.8611299294691214E-2</v>
      </c>
      <c r="P49" s="421">
        <f>'1.7'!I9</f>
        <v>7527000</v>
      </c>
      <c r="Q49" s="91">
        <f t="shared" si="7"/>
        <v>1.9310190161794284E-2</v>
      </c>
    </row>
    <row r="50" spans="1:19" outlineLevel="1" x14ac:dyDescent="0.25">
      <c r="A50" s="1" t="s">
        <v>78</v>
      </c>
      <c r="D50" s="486" t="str">
        <f>'1.7'!D10</f>
        <v>Device Comissioning</v>
      </c>
      <c r="I50" s="63"/>
      <c r="J50" s="421">
        <f>'1.7'!F10</f>
        <v>255202.5</v>
      </c>
      <c r="K50" s="94">
        <f t="shared" si="4"/>
        <v>1.4595510619531606E-2</v>
      </c>
      <c r="L50" s="421">
        <f>'1.7'!G10</f>
        <v>916275</v>
      </c>
      <c r="M50" s="94">
        <f t="shared" si="5"/>
        <v>1.4978524857739536E-2</v>
      </c>
      <c r="N50" s="421">
        <f>'1.7'!H10</f>
        <v>3854375</v>
      </c>
      <c r="O50" s="94">
        <f t="shared" si="6"/>
        <v>1.8611299294691214E-2</v>
      </c>
      <c r="P50" s="421">
        <f>'1.7'!I10</f>
        <v>7527000</v>
      </c>
      <c r="Q50" s="91">
        <f t="shared" si="7"/>
        <v>1.9310190161794284E-2</v>
      </c>
    </row>
    <row r="51" spans="1:19" s="80" customFormat="1" x14ac:dyDescent="0.25">
      <c r="A51" s="98">
        <v>1.8</v>
      </c>
      <c r="C51" s="83" t="s">
        <v>146</v>
      </c>
      <c r="J51" s="392">
        <f>J44</f>
        <v>5908522.3300000001</v>
      </c>
      <c r="K51" s="686">
        <f t="shared" ref="K51:Q51" si="8">10%*(K44+K43+K29+K24+K18+K12+K5)</f>
        <v>8.547077572839186E-2</v>
      </c>
      <c r="L51" s="701">
        <f>L44</f>
        <v>9081973.1555555556</v>
      </c>
      <c r="M51" s="686">
        <f t="shared" si="8"/>
        <v>8.7780546098731371E-2</v>
      </c>
      <c r="N51" s="701">
        <f>N44</f>
        <v>21531225.377777778</v>
      </c>
      <c r="O51" s="686">
        <f t="shared" si="8"/>
        <v>8.8984568930766561E-2</v>
      </c>
      <c r="P51" s="701">
        <f>P44</f>
        <v>37859590.655555554</v>
      </c>
      <c r="Q51" s="686">
        <f t="shared" si="8"/>
        <v>8.9933560833275E-2</v>
      </c>
    </row>
    <row r="52" spans="1:19" s="83" customFormat="1" x14ac:dyDescent="0.25">
      <c r="A52" s="722">
        <v>1.9</v>
      </c>
      <c r="C52" s="83" t="s">
        <v>144</v>
      </c>
      <c r="J52" s="685">
        <f>10%*(J44+J43+J29+J24+J18+J12+J4)</f>
        <v>1589545.4347229823</v>
      </c>
      <c r="K52" s="686">
        <f t="shared" ref="K52:Q52" si="9">10%*(K44+K43+K29+K24+K18+K12+K4)</f>
        <v>9.0909090909090925E-2</v>
      </c>
      <c r="L52" s="685">
        <f t="shared" si="9"/>
        <v>5561143.5748084774</v>
      </c>
      <c r="M52" s="686">
        <f t="shared" si="9"/>
        <v>9.0909090909090939E-2</v>
      </c>
      <c r="N52" s="685">
        <f t="shared" si="9"/>
        <v>18827150.201849505</v>
      </c>
      <c r="O52" s="686">
        <f t="shared" si="9"/>
        <v>9.0909090909090898E-2</v>
      </c>
      <c r="P52" s="685">
        <f t="shared" si="9"/>
        <v>35435835.770617053</v>
      </c>
      <c r="Q52" s="686">
        <f t="shared" si="9"/>
        <v>9.0909090909090939E-2</v>
      </c>
    </row>
    <row r="53" spans="1:19" s="73" customFormat="1" outlineLevel="1" x14ac:dyDescent="0.25">
      <c r="A53" s="40"/>
      <c r="I53" s="63"/>
      <c r="K53" s="62"/>
      <c r="M53" s="62"/>
      <c r="O53" s="62"/>
      <c r="Q53" s="63"/>
    </row>
    <row r="54" spans="1:19" s="73" customFormat="1" outlineLevel="1" x14ac:dyDescent="0.25">
      <c r="A54" s="706" t="s">
        <v>502</v>
      </c>
      <c r="B54" s="156"/>
      <c r="C54" s="156"/>
      <c r="D54" s="156"/>
      <c r="E54" s="156"/>
      <c r="F54" s="156"/>
      <c r="G54" s="156"/>
      <c r="H54" s="156"/>
      <c r="I54" s="688">
        <f>I29+I24</f>
        <v>699.74902030838996</v>
      </c>
      <c r="J54" s="476">
        <f>J52+J44+J43+J29+J24+J18+J12+J4</f>
        <v>17484999.781952806</v>
      </c>
      <c r="K54" s="687">
        <f t="shared" ref="K54:Q54" si="10">K51+K44+K43+K29+K24+K18+K12+K4</f>
        <v>0.99456168481930085</v>
      </c>
      <c r="L54" s="705">
        <f>L52+L44+L43+L29+L24+L18+L12+L4</f>
        <v>61172579.322893247</v>
      </c>
      <c r="M54" s="687">
        <f t="shared" si="10"/>
        <v>0.9968714551896406</v>
      </c>
      <c r="N54" s="705">
        <f>N52+N44+N43+N29+N24+N18+N12+N4</f>
        <v>207098652.22034457</v>
      </c>
      <c r="O54" s="687">
        <f t="shared" si="10"/>
        <v>0.99807547802167562</v>
      </c>
      <c r="P54" s="705">
        <f>P52+P44+P43+P29+P24+P18+P12+P4</f>
        <v>389794193.47678751</v>
      </c>
      <c r="Q54" s="687">
        <f t="shared" si="10"/>
        <v>0.99902446992418426</v>
      </c>
    </row>
    <row r="55" spans="1:19" s="73" customFormat="1" outlineLevel="1" x14ac:dyDescent="0.25">
      <c r="A55" s="40"/>
      <c r="I55" s="63"/>
      <c r="J55" s="4"/>
      <c r="K55" s="88"/>
      <c r="L55" s="4"/>
      <c r="M55" s="88"/>
      <c r="N55" s="4"/>
      <c r="O55" s="88"/>
      <c r="P55" s="4"/>
      <c r="Q55" s="63"/>
    </row>
    <row r="56" spans="1:19" s="61" customFormat="1" x14ac:dyDescent="0.25">
      <c r="A56" s="74">
        <v>2</v>
      </c>
      <c r="B56" s="61" t="s">
        <v>58</v>
      </c>
      <c r="I56" s="83"/>
      <c r="J56" s="72">
        <f>SUM(J57:J62)</f>
        <v>1166779.3723281871</v>
      </c>
      <c r="K56" s="96">
        <f>J56/$J$54</f>
        <v>6.6730305226110551E-2</v>
      </c>
      <c r="L56" s="387">
        <f>SUM(L57:L62)</f>
        <v>3294692.49791642</v>
      </c>
      <c r="M56" s="96">
        <f>L56/$L$54</f>
        <v>5.3858976266567417E-2</v>
      </c>
      <c r="N56" s="387">
        <f>SUM(N57:N62)</f>
        <v>6615998.4862974761</v>
      </c>
      <c r="O56" s="96">
        <f>N56/$N$54</f>
        <v>3.1946120437608264E-2</v>
      </c>
      <c r="P56" s="387">
        <f>SUM(P57:P62)</f>
        <v>9358840.3905751016</v>
      </c>
      <c r="Q56" s="96">
        <f>P56/$P$54</f>
        <v>2.4009696776389838E-2</v>
      </c>
    </row>
    <row r="57" spans="1:19" outlineLevel="1" x14ac:dyDescent="0.25">
      <c r="A57" s="1">
        <v>2.1</v>
      </c>
      <c r="C57" t="s">
        <v>52</v>
      </c>
      <c r="I57" s="63"/>
      <c r="J57" s="421">
        <f>'2.1'!E4</f>
        <v>226841.2989948538</v>
      </c>
      <c r="K57" s="95">
        <f t="shared" ref="K57:K62" si="11">J57/$J$54</f>
        <v>1.2973480230122091E-2</v>
      </c>
      <c r="L57" s="421">
        <f>'2.1'!F4</f>
        <v>936752.48384630634</v>
      </c>
      <c r="M57" s="95">
        <f t="shared" ref="M57:M62" si="12">L57/$L$54</f>
        <v>1.5313274251552374E-2</v>
      </c>
      <c r="N57" s="421">
        <f>'2.1'!G4</f>
        <v>1772683.4293970102</v>
      </c>
      <c r="O57" s="95">
        <f t="shared" ref="O57:O62" si="13">N57/$N$54</f>
        <v>8.5596087197658197E-3</v>
      </c>
      <c r="P57" s="4">
        <f>'2.1'!H4</f>
        <v>1717691.4905751015</v>
      </c>
      <c r="Q57" s="91">
        <f t="shared" ref="Q57:Q62" si="14">P57/$P$54</f>
        <v>4.4066625909792859E-3</v>
      </c>
    </row>
    <row r="58" spans="1:19" outlineLevel="1" x14ac:dyDescent="0.25">
      <c r="A58" s="1">
        <v>2.2000000000000002</v>
      </c>
      <c r="C58" t="s">
        <v>53</v>
      </c>
      <c r="I58" s="63"/>
      <c r="J58" s="201">
        <f>'2.2'!E4</f>
        <v>710000</v>
      </c>
      <c r="K58" s="95">
        <f t="shared" si="11"/>
        <v>4.0606234421165309E-2</v>
      </c>
      <c r="L58" s="421">
        <f>'2.2'!F4</f>
        <v>1121000</v>
      </c>
      <c r="M58" s="95">
        <f t="shared" si="12"/>
        <v>1.8325204076861223E-2</v>
      </c>
      <c r="N58" s="421">
        <f>'2.2'!G4</f>
        <v>1121000</v>
      </c>
      <c r="O58" s="95">
        <f t="shared" si="13"/>
        <v>5.4128792630060256E-3</v>
      </c>
      <c r="P58" s="421">
        <f>'2.2'!H4</f>
        <v>1121000</v>
      </c>
      <c r="Q58" s="91">
        <f t="shared" si="14"/>
        <v>2.8758766004213358E-3</v>
      </c>
      <c r="R58" s="4"/>
      <c r="S58" s="4"/>
    </row>
    <row r="59" spans="1:19" outlineLevel="1" x14ac:dyDescent="0.25">
      <c r="A59" s="1">
        <v>2.2999999999999998</v>
      </c>
      <c r="C59" t="s">
        <v>54</v>
      </c>
      <c r="I59" s="63"/>
      <c r="J59" s="4">
        <f>'2.3'!F5</f>
        <v>26569</v>
      </c>
      <c r="K59" s="95">
        <f t="shared" si="11"/>
        <v>1.5195310455435791E-3</v>
      </c>
      <c r="L59" s="421">
        <f>'2.3'!G5</f>
        <v>265690</v>
      </c>
      <c r="M59" s="95">
        <f t="shared" si="12"/>
        <v>4.3432858797335045E-3</v>
      </c>
      <c r="N59" s="421">
        <f>'2.3'!H5</f>
        <v>562320</v>
      </c>
      <c r="O59" s="95">
        <f t="shared" si="13"/>
        <v>2.7152277138033439E-3</v>
      </c>
      <c r="P59" s="421">
        <f>'2.3'!I5</f>
        <v>1124640</v>
      </c>
      <c r="Q59" s="91">
        <f t="shared" si="14"/>
        <v>2.8852148616394743E-3</v>
      </c>
      <c r="R59" s="11"/>
      <c r="S59" s="11"/>
    </row>
    <row r="60" spans="1:19" outlineLevel="1" x14ac:dyDescent="0.25">
      <c r="A60" s="1">
        <v>2.4</v>
      </c>
      <c r="C60" t="s">
        <v>55</v>
      </c>
      <c r="I60" s="63"/>
      <c r="J60" s="4">
        <f>'2.4'!E4</f>
        <v>141561</v>
      </c>
      <c r="K60" s="95">
        <f t="shared" si="11"/>
        <v>8.0961396491472989E-3</v>
      </c>
      <c r="L60" s="421">
        <f>'2.4'!F4</f>
        <v>399936</v>
      </c>
      <c r="M60" s="95">
        <f t="shared" si="12"/>
        <v>6.5378312378979219E-3</v>
      </c>
      <c r="N60" s="421">
        <f>'2.4'!G4</f>
        <v>454692</v>
      </c>
      <c r="O60" s="95">
        <f t="shared" si="13"/>
        <v>2.195533361154983E-3</v>
      </c>
      <c r="P60" s="421">
        <f>'2.4'!H4</f>
        <v>674634</v>
      </c>
      <c r="Q60" s="91">
        <f t="shared" si="14"/>
        <v>1.7307440985268932E-3</v>
      </c>
    </row>
    <row r="61" spans="1:19" outlineLevel="1" x14ac:dyDescent="0.25">
      <c r="A61" s="2">
        <v>2.5</v>
      </c>
      <c r="C61" t="s">
        <v>56</v>
      </c>
      <c r="I61" s="63"/>
      <c r="J61" s="4">
        <f>'2.5'!E5</f>
        <v>53808.073333333334</v>
      </c>
      <c r="K61" s="95">
        <f t="shared" si="11"/>
        <v>3.0773848444008273E-3</v>
      </c>
      <c r="L61" s="421">
        <f>'2.5'!F5</f>
        <v>491314.01407011348</v>
      </c>
      <c r="M61" s="95">
        <f>L61/$L$54</f>
        <v>8.0316053288641363E-3</v>
      </c>
      <c r="N61" s="421">
        <f>'2.5'!G5</f>
        <v>2305303.0569004659</v>
      </c>
      <c r="O61" s="95">
        <f t="shared" si="13"/>
        <v>1.1131424720464703E-2</v>
      </c>
      <c r="P61" s="421">
        <f>'2.5'!H5</f>
        <v>3920874.9000000004</v>
      </c>
      <c r="Q61" s="91">
        <f t="shared" si="14"/>
        <v>1.0058833521935187E-2</v>
      </c>
    </row>
    <row r="62" spans="1:19" outlineLevel="1" x14ac:dyDescent="0.25">
      <c r="A62" s="1">
        <v>2.6</v>
      </c>
      <c r="C62" t="s">
        <v>57</v>
      </c>
      <c r="I62" s="63"/>
      <c r="J62" s="4">
        <f>'2.6'!E4</f>
        <v>8000</v>
      </c>
      <c r="K62" s="95">
        <f t="shared" si="11"/>
        <v>4.5753503573144012E-4</v>
      </c>
      <c r="L62" s="421">
        <f>'2.6'!F4</f>
        <v>80000</v>
      </c>
      <c r="M62" s="95">
        <f t="shared" si="12"/>
        <v>1.3077754916582499E-3</v>
      </c>
      <c r="N62" s="421">
        <f>'2.6'!G4</f>
        <v>400000</v>
      </c>
      <c r="O62" s="95">
        <f t="shared" si="13"/>
        <v>1.9314466594133901E-3</v>
      </c>
      <c r="P62" s="421">
        <f>'2.6'!H4</f>
        <v>800000</v>
      </c>
      <c r="Q62" s="91">
        <f t="shared" si="14"/>
        <v>2.0523651028876615E-3</v>
      </c>
      <c r="S62" s="12"/>
    </row>
    <row r="63" spans="1:19" x14ac:dyDescent="0.25">
      <c r="I63" s="63"/>
      <c r="J63" s="63"/>
      <c r="K63" s="80"/>
      <c r="L63" s="63"/>
      <c r="M63" s="80"/>
      <c r="N63" s="63"/>
      <c r="O63" s="80"/>
      <c r="P63" s="63"/>
      <c r="Q63" s="63"/>
    </row>
    <row r="64" spans="1:19" s="61" customFormat="1" x14ac:dyDescent="0.25">
      <c r="A64" s="155" t="s">
        <v>208</v>
      </c>
      <c r="B64" s="156"/>
      <c r="C64" s="156"/>
      <c r="D64" s="156"/>
      <c r="E64" s="156"/>
      <c r="F64" s="156"/>
      <c r="G64" s="156"/>
      <c r="H64" s="156"/>
      <c r="I64" s="156"/>
      <c r="J64" s="167">
        <f>J56</f>
        <v>1166779.3723281871</v>
      </c>
      <c r="K64" s="158">
        <f t="shared" ref="K64:Q64" si="15">SUM(K57:K62)</f>
        <v>6.6730305226110551E-2</v>
      </c>
      <c r="L64" s="401">
        <f>L56</f>
        <v>3294692.49791642</v>
      </c>
      <c r="M64" s="158">
        <f t="shared" si="15"/>
        <v>5.3858976266567417E-2</v>
      </c>
      <c r="N64" s="401">
        <f>N56</f>
        <v>6615998.4862974761</v>
      </c>
      <c r="O64" s="158">
        <f t="shared" si="15"/>
        <v>3.1946120437608264E-2</v>
      </c>
      <c r="P64" s="401">
        <f>P56</f>
        <v>9358840.3905751016</v>
      </c>
      <c r="Q64" s="158">
        <f t="shared" si="15"/>
        <v>2.4009696776389835E-2</v>
      </c>
    </row>
    <row r="65" spans="10:16" x14ac:dyDescent="0.25">
      <c r="J65" s="4"/>
      <c r="K65" s="88"/>
      <c r="L65" s="4"/>
      <c r="M65" s="88"/>
      <c r="N65" s="4"/>
      <c r="O65" s="88"/>
      <c r="P65" s="4"/>
    </row>
    <row r="66" spans="10:16" x14ac:dyDescent="0.25">
      <c r="J66" s="6"/>
      <c r="K66" s="80"/>
      <c r="L66" s="6"/>
      <c r="M66" s="80"/>
      <c r="N66" s="6"/>
      <c r="O66" s="80"/>
      <c r="P66" s="6"/>
    </row>
  </sheetData>
  <dataConsolidate/>
  <mergeCells count="1">
    <mergeCell ref="J1:P1"/>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O85"/>
  <sheetViews>
    <sheetView zoomScale="70" zoomScaleNormal="70" workbookViewId="0">
      <selection activeCell="A67" sqref="A67"/>
    </sheetView>
  </sheetViews>
  <sheetFormatPr defaultRowHeight="15" x14ac:dyDescent="0.25"/>
  <cols>
    <col min="1" max="1" width="8.7109375" customWidth="1"/>
    <col min="2" max="2" width="7.85546875" customWidth="1"/>
    <col min="3" max="3" width="35.28515625" customWidth="1"/>
    <col min="4" max="4" width="13.140625" customWidth="1"/>
    <col min="5" max="5" width="19.5703125" customWidth="1"/>
    <col min="6" max="6" width="17.5703125" customWidth="1"/>
    <col min="7" max="7" width="16.42578125" bestFit="1" customWidth="1"/>
    <col min="8" max="8" width="18.140625" bestFit="1" customWidth="1"/>
    <col min="9" max="9" width="17.7109375" bestFit="1" customWidth="1"/>
    <col min="10" max="10" width="16.28515625" customWidth="1"/>
    <col min="11" max="11" width="15" customWidth="1"/>
    <col min="12" max="12" width="18.7109375" customWidth="1"/>
    <col min="13" max="13" width="17.28515625" customWidth="1"/>
    <col min="14" max="14" width="18.85546875" customWidth="1"/>
    <col min="15" max="15" width="14.42578125" customWidth="1"/>
    <col min="17" max="17" width="11.140625" customWidth="1"/>
    <col min="18" max="18" width="12.28515625" customWidth="1"/>
    <col min="19" max="19" width="10.5703125" customWidth="1"/>
    <col min="20" max="20" width="12.42578125" bestFit="1" customWidth="1"/>
    <col min="21" max="21" width="12" bestFit="1" customWidth="1"/>
  </cols>
  <sheetData>
    <row r="1" spans="1:15" s="12" customFormat="1" x14ac:dyDescent="0.25">
      <c r="A1" s="488" t="s">
        <v>402</v>
      </c>
      <c r="C1" s="39"/>
      <c r="D1" s="39"/>
      <c r="E1" s="39"/>
      <c r="J1" s="521"/>
      <c r="K1" s="521"/>
      <c r="L1" s="521"/>
      <c r="M1" s="521"/>
      <c r="N1" s="521"/>
      <c r="O1" s="521"/>
    </row>
    <row r="2" spans="1:15" s="12" customFormat="1" x14ac:dyDescent="0.25">
      <c r="A2" s="13"/>
      <c r="C2" s="39"/>
      <c r="D2" s="39"/>
      <c r="E2" s="82"/>
      <c r="F2" s="456"/>
      <c r="G2" s="456"/>
      <c r="H2" s="456"/>
      <c r="J2" s="521"/>
      <c r="K2" s="521"/>
      <c r="L2" s="521"/>
      <c r="M2" s="521"/>
      <c r="N2" s="521"/>
      <c r="O2" s="521"/>
    </row>
    <row r="3" spans="1:15" x14ac:dyDescent="0.25">
      <c r="A3" s="213" t="s">
        <v>111</v>
      </c>
      <c r="C3" s="39"/>
      <c r="D3" s="39"/>
      <c r="E3" s="456"/>
      <c r="J3" s="521"/>
      <c r="K3" s="521"/>
      <c r="L3" s="521"/>
      <c r="M3" s="521"/>
      <c r="N3" s="521"/>
      <c r="O3" s="521"/>
    </row>
    <row r="4" spans="1:15" s="39" customFormat="1" x14ac:dyDescent="0.25">
      <c r="B4" s="40"/>
      <c r="E4" s="215" t="s">
        <v>85</v>
      </c>
      <c r="F4" s="215" t="s">
        <v>108</v>
      </c>
      <c r="G4" s="215" t="s">
        <v>110</v>
      </c>
      <c r="H4" s="215" t="s">
        <v>109</v>
      </c>
      <c r="J4" s="521"/>
      <c r="K4" s="523"/>
      <c r="L4" s="523"/>
      <c r="M4" s="523"/>
      <c r="N4" s="523"/>
      <c r="O4" s="522"/>
    </row>
    <row r="5" spans="1:15" s="39" customFormat="1" x14ac:dyDescent="0.25">
      <c r="B5" s="40" t="s">
        <v>102</v>
      </c>
      <c r="C5" s="39" t="s">
        <v>3</v>
      </c>
      <c r="E5" s="202">
        <f>F20</f>
        <v>335000</v>
      </c>
      <c r="F5" s="202">
        <f>G20</f>
        <v>425000</v>
      </c>
      <c r="G5" s="202">
        <f>H20</f>
        <v>425000</v>
      </c>
      <c r="H5" s="202">
        <f>H20</f>
        <v>425000</v>
      </c>
      <c r="J5" s="521"/>
      <c r="K5" s="524"/>
      <c r="L5" s="524"/>
      <c r="M5" s="524"/>
      <c r="N5" s="524"/>
      <c r="O5" s="521"/>
    </row>
    <row r="6" spans="1:15" s="39" customFormat="1" x14ac:dyDescent="0.25">
      <c r="B6" s="40" t="s">
        <v>103</v>
      </c>
      <c r="C6" s="39" t="s">
        <v>5</v>
      </c>
      <c r="E6" s="202">
        <f>F35</f>
        <v>1632500</v>
      </c>
      <c r="F6" s="202">
        <f>G35</f>
        <v>2850000</v>
      </c>
      <c r="G6" s="202">
        <f>H35</f>
        <v>2782500</v>
      </c>
      <c r="H6" s="202">
        <f>H35</f>
        <v>2782500</v>
      </c>
      <c r="J6" s="521"/>
      <c r="K6" s="521"/>
      <c r="L6" s="521"/>
      <c r="M6" s="521"/>
      <c r="N6" s="521"/>
      <c r="O6" s="521"/>
    </row>
    <row r="7" spans="1:15" s="39" customFormat="1" x14ac:dyDescent="0.25">
      <c r="B7" s="40" t="s">
        <v>104</v>
      </c>
      <c r="C7" s="39" t="s">
        <v>7</v>
      </c>
      <c r="E7" s="202">
        <f>F48</f>
        <v>710000</v>
      </c>
      <c r="F7" s="202">
        <f>G48</f>
        <v>2270000</v>
      </c>
      <c r="G7" s="202">
        <f>H48</f>
        <v>2270000</v>
      </c>
      <c r="H7" s="202">
        <f>H48</f>
        <v>2270000</v>
      </c>
      <c r="J7" s="521"/>
      <c r="K7" s="521"/>
      <c r="L7" s="521"/>
      <c r="M7" s="521"/>
      <c r="N7" s="521"/>
      <c r="O7" s="521"/>
    </row>
    <row r="8" spans="1:15" x14ac:dyDescent="0.25">
      <c r="A8" s="13"/>
      <c r="B8" s="40" t="s">
        <v>105</v>
      </c>
      <c r="C8" s="39" t="s">
        <v>8</v>
      </c>
      <c r="D8" s="12"/>
      <c r="E8" s="202">
        <f>F54</f>
        <v>925000</v>
      </c>
      <c r="F8" s="202">
        <f>G54</f>
        <v>1315000</v>
      </c>
      <c r="G8" s="202">
        <f>H54</f>
        <v>1540000</v>
      </c>
      <c r="H8" s="202">
        <f>H54</f>
        <v>1540000</v>
      </c>
      <c r="J8" s="521"/>
      <c r="K8" s="521"/>
      <c r="L8" s="521"/>
      <c r="M8" s="521"/>
      <c r="N8" s="521"/>
      <c r="O8" s="521"/>
    </row>
    <row r="9" spans="1:15" s="39" customFormat="1" x14ac:dyDescent="0.25">
      <c r="A9" s="44"/>
      <c r="B9" s="40" t="s">
        <v>4</v>
      </c>
      <c r="C9" s="39" t="s">
        <v>106</v>
      </c>
      <c r="E9" s="229">
        <f>F61</f>
        <v>193963</v>
      </c>
      <c r="F9" s="229">
        <f t="shared" ref="F9:H9" si="0">G61</f>
        <v>294061</v>
      </c>
      <c r="G9" s="229">
        <f t="shared" si="0"/>
        <v>294061</v>
      </c>
      <c r="H9" s="229">
        <f t="shared" si="0"/>
        <v>294061</v>
      </c>
    </row>
    <row r="10" spans="1:15" s="39" customFormat="1" x14ac:dyDescent="0.25">
      <c r="A10" s="44"/>
      <c r="B10" s="40" t="s">
        <v>6</v>
      </c>
      <c r="C10" s="39" t="s">
        <v>145</v>
      </c>
      <c r="E10" s="229">
        <f>F67</f>
        <v>756926.39748713456</v>
      </c>
      <c r="F10" s="229">
        <f t="shared" ref="F10:H10" si="1">G67</f>
        <v>1619750.5557694593</v>
      </c>
      <c r="G10" s="229">
        <f t="shared" si="1"/>
        <v>3691598.0787940207</v>
      </c>
      <c r="H10" s="229">
        <f t="shared" si="1"/>
        <v>3508498.5911502028</v>
      </c>
    </row>
    <row r="11" spans="1:15" s="547" customFormat="1" x14ac:dyDescent="0.25">
      <c r="A11" s="488"/>
      <c r="B11" s="438"/>
      <c r="E11" s="457"/>
      <c r="F11" s="457"/>
      <c r="G11" s="457"/>
      <c r="H11" s="457"/>
    </row>
    <row r="12" spans="1:15" s="39" customFormat="1" x14ac:dyDescent="0.25">
      <c r="A12" s="44"/>
      <c r="B12" s="40"/>
      <c r="C12" s="331" t="s">
        <v>81</v>
      </c>
      <c r="D12" s="331"/>
      <c r="E12" s="603">
        <f>SUM(E5:E10)</f>
        <v>4553389.3974871347</v>
      </c>
      <c r="F12" s="603">
        <f t="shared" ref="F12:H12" si="2">SUM(F5:F10)</f>
        <v>8773811.5557694584</v>
      </c>
      <c r="G12" s="603">
        <f t="shared" si="2"/>
        <v>11003159.078794021</v>
      </c>
      <c r="H12" s="603">
        <f t="shared" si="2"/>
        <v>10820059.591150202</v>
      </c>
      <c r="I12" s="332"/>
    </row>
    <row r="13" spans="1:15" s="39" customFormat="1" x14ac:dyDescent="0.25">
      <c r="A13" s="44"/>
      <c r="B13" s="40"/>
      <c r="E13" s="332"/>
      <c r="F13" s="332"/>
      <c r="G13" s="332"/>
      <c r="H13" s="332"/>
      <c r="I13" s="332"/>
    </row>
    <row r="14" spans="1:15" s="61" customFormat="1" x14ac:dyDescent="0.25">
      <c r="A14" s="61" t="s">
        <v>102</v>
      </c>
      <c r="B14" s="74" t="s">
        <v>118</v>
      </c>
      <c r="E14" s="83"/>
      <c r="F14" s="230" t="s">
        <v>99</v>
      </c>
      <c r="G14" s="230" t="s">
        <v>88</v>
      </c>
      <c r="H14" s="230" t="s">
        <v>214</v>
      </c>
      <c r="I14" s="83"/>
    </row>
    <row r="15" spans="1:15" s="39" customFormat="1" x14ac:dyDescent="0.25">
      <c r="A15" s="44"/>
      <c r="B15" s="54"/>
      <c r="C15" s="56" t="s">
        <v>268</v>
      </c>
      <c r="D15" s="50"/>
      <c r="E15" s="335"/>
      <c r="F15" s="406">
        <v>90000</v>
      </c>
      <c r="G15" s="231">
        <f>F15</f>
        <v>90000</v>
      </c>
      <c r="H15" s="231">
        <f>F15</f>
        <v>90000</v>
      </c>
      <c r="I15" s="332"/>
    </row>
    <row r="16" spans="1:15" s="39" customFormat="1" x14ac:dyDescent="0.25">
      <c r="A16" s="44"/>
      <c r="B16" s="54"/>
      <c r="C16" s="57" t="s">
        <v>119</v>
      </c>
      <c r="D16" s="50"/>
      <c r="E16" s="335"/>
      <c r="F16" s="406">
        <v>75000</v>
      </c>
      <c r="G16" s="231">
        <f>F16+10000</f>
        <v>85000</v>
      </c>
      <c r="H16" s="231">
        <f>F16+10000</f>
        <v>85000</v>
      </c>
      <c r="I16" s="332"/>
    </row>
    <row r="17" spans="1:9" s="39" customFormat="1" x14ac:dyDescent="0.25">
      <c r="A17" s="44"/>
      <c r="B17" s="54"/>
      <c r="C17" s="57" t="s">
        <v>120</v>
      </c>
      <c r="D17" s="50"/>
      <c r="E17" s="335"/>
      <c r="F17" s="406">
        <v>65000</v>
      </c>
      <c r="G17" s="231">
        <f>F17+65000</f>
        <v>130000</v>
      </c>
      <c r="H17" s="231">
        <f>F17+65000</f>
        <v>130000</v>
      </c>
      <c r="I17" s="332"/>
    </row>
    <row r="18" spans="1:9" s="39" customFormat="1" x14ac:dyDescent="0.25">
      <c r="A18" s="44"/>
      <c r="B18" s="54"/>
      <c r="C18" s="57" t="s">
        <v>121</v>
      </c>
      <c r="D18" s="50"/>
      <c r="E18" s="335"/>
      <c r="F18" s="406">
        <v>105000</v>
      </c>
      <c r="G18" s="231">
        <f>F18+15000</f>
        <v>120000</v>
      </c>
      <c r="H18" s="231">
        <f>F18+15000</f>
        <v>120000</v>
      </c>
      <c r="I18" s="332"/>
    </row>
    <row r="19" spans="1:9" s="73" customFormat="1" x14ac:dyDescent="0.25">
      <c r="A19" s="61"/>
      <c r="B19" s="54"/>
      <c r="C19" s="57"/>
      <c r="D19" s="50"/>
      <c r="E19" s="335"/>
      <c r="F19" s="231"/>
      <c r="G19" s="231"/>
      <c r="H19" s="231"/>
      <c r="I19" s="332"/>
    </row>
    <row r="20" spans="1:9" s="62" customFormat="1" x14ac:dyDescent="0.25">
      <c r="B20" s="54"/>
      <c r="C20" s="105" t="s">
        <v>84</v>
      </c>
      <c r="D20" s="26"/>
      <c r="E20" s="113"/>
      <c r="F20" s="232">
        <f>SUM(F15:F18)</f>
        <v>335000</v>
      </c>
      <c r="G20" s="232">
        <f t="shared" ref="G20:H20" si="3">SUM(G15:G18)</f>
        <v>425000</v>
      </c>
      <c r="H20" s="232">
        <f t="shared" si="3"/>
        <v>425000</v>
      </c>
      <c r="I20" s="80"/>
    </row>
    <row r="21" spans="1:9" s="73" customFormat="1" x14ac:dyDescent="0.25">
      <c r="A21" s="61"/>
      <c r="B21" s="54"/>
      <c r="C21" s="56"/>
      <c r="D21" s="50"/>
      <c r="E21" s="335"/>
      <c r="F21" s="336"/>
      <c r="G21" s="325"/>
      <c r="H21" s="329"/>
      <c r="I21" s="332"/>
    </row>
    <row r="22" spans="1:9" s="61" customFormat="1" x14ac:dyDescent="0.25">
      <c r="A22" s="61" t="s">
        <v>103</v>
      </c>
      <c r="B22" s="198" t="s">
        <v>5</v>
      </c>
      <c r="C22" s="199"/>
      <c r="D22" s="33"/>
      <c r="E22" s="327"/>
      <c r="F22" s="230" t="s">
        <v>99</v>
      </c>
      <c r="G22" s="230" t="s">
        <v>88</v>
      </c>
      <c r="H22" s="230" t="s">
        <v>214</v>
      </c>
      <c r="I22" s="83"/>
    </row>
    <row r="23" spans="1:9" s="488" customFormat="1" x14ac:dyDescent="0.25">
      <c r="B23" s="198"/>
      <c r="C23" s="56" t="s">
        <v>269</v>
      </c>
      <c r="D23" s="33"/>
      <c r="E23" s="522"/>
      <c r="F23" s="406">
        <v>0</v>
      </c>
      <c r="G23" s="406">
        <v>140000</v>
      </c>
      <c r="H23" s="406">
        <v>140000</v>
      </c>
      <c r="I23" s="83"/>
    </row>
    <row r="24" spans="1:9" s="39" customFormat="1" x14ac:dyDescent="0.25">
      <c r="A24" s="44"/>
      <c r="B24" s="54"/>
      <c r="C24" s="57" t="s">
        <v>259</v>
      </c>
      <c r="D24" s="50"/>
      <c r="E24" s="335"/>
      <c r="F24" s="231">
        <v>110000</v>
      </c>
      <c r="G24" s="231">
        <f>F24</f>
        <v>110000</v>
      </c>
      <c r="H24" s="231">
        <f>F24+75000</f>
        <v>185000</v>
      </c>
      <c r="I24" s="332"/>
    </row>
    <row r="25" spans="1:9" s="73" customFormat="1" x14ac:dyDescent="0.25">
      <c r="A25" s="61"/>
      <c r="B25" s="54"/>
      <c r="C25" s="57" t="s">
        <v>260</v>
      </c>
      <c r="D25" s="50"/>
      <c r="E25" s="335"/>
      <c r="F25" s="231">
        <v>552500</v>
      </c>
      <c r="G25" s="406">
        <f>F25+172500</f>
        <v>725000</v>
      </c>
      <c r="H25" s="406">
        <f>F25+65000</f>
        <v>617500</v>
      </c>
      <c r="I25" s="332"/>
    </row>
    <row r="26" spans="1:9" s="39" customFormat="1" x14ac:dyDescent="0.25">
      <c r="A26" s="44"/>
      <c r="B26" s="54"/>
      <c r="C26" s="57" t="s">
        <v>122</v>
      </c>
      <c r="D26" s="50"/>
      <c r="E26" s="335"/>
      <c r="F26" s="231">
        <v>617000</v>
      </c>
      <c r="G26" s="406">
        <f>F26+310000</f>
        <v>927000</v>
      </c>
      <c r="H26" s="406">
        <f>F26+65000</f>
        <v>682000</v>
      </c>
      <c r="I26" s="332"/>
    </row>
    <row r="27" spans="1:9" s="39" customFormat="1" x14ac:dyDescent="0.25">
      <c r="A27" s="44"/>
      <c r="B27" s="54"/>
      <c r="C27" s="526" t="s">
        <v>261</v>
      </c>
      <c r="D27" s="50"/>
      <c r="E27" s="335"/>
      <c r="F27" s="231">
        <v>93500</v>
      </c>
      <c r="G27" s="231">
        <f>F27+65000</f>
        <v>158500</v>
      </c>
      <c r="H27" s="231">
        <f>F27+65000</f>
        <v>158500</v>
      </c>
      <c r="I27" s="332"/>
    </row>
    <row r="28" spans="1:9" s="39" customFormat="1" x14ac:dyDescent="0.25">
      <c r="A28" s="44"/>
      <c r="B28" s="54"/>
      <c r="C28" s="57" t="s">
        <v>262</v>
      </c>
      <c r="D28" s="50"/>
      <c r="E28" s="335"/>
      <c r="F28" s="231">
        <v>25000</v>
      </c>
      <c r="G28" s="231">
        <f>F28+65000</f>
        <v>90000</v>
      </c>
      <c r="H28" s="231">
        <f>F28+65000</f>
        <v>90000</v>
      </c>
      <c r="I28" s="332"/>
    </row>
    <row r="29" spans="1:9" s="39" customFormat="1" x14ac:dyDescent="0.25">
      <c r="A29" s="44"/>
      <c r="B29" s="54"/>
      <c r="C29" s="57" t="s">
        <v>263</v>
      </c>
      <c r="D29" s="50"/>
      <c r="E29" s="335"/>
      <c r="F29" s="231">
        <v>47000</v>
      </c>
      <c r="G29" s="231">
        <f>F29+160000</f>
        <v>207000</v>
      </c>
      <c r="H29" s="231">
        <f>F29+160000</f>
        <v>207000</v>
      </c>
      <c r="I29" s="332"/>
    </row>
    <row r="30" spans="1:9" s="454" customFormat="1" x14ac:dyDescent="0.25">
      <c r="A30" s="455"/>
      <c r="B30" s="430"/>
      <c r="C30" s="432" t="s">
        <v>123</v>
      </c>
      <c r="D30" s="428"/>
      <c r="E30" s="458"/>
      <c r="F30" s="406">
        <v>20000</v>
      </c>
      <c r="G30" s="406">
        <f>F30+40000</f>
        <v>60000</v>
      </c>
      <c r="H30" s="406">
        <f>F30+227500</f>
        <v>247500</v>
      </c>
      <c r="I30" s="459"/>
    </row>
    <row r="31" spans="1:9" s="39" customFormat="1" x14ac:dyDescent="0.25">
      <c r="A31" s="44"/>
      <c r="B31" s="54"/>
      <c r="C31" s="57" t="s">
        <v>124</v>
      </c>
      <c r="D31" s="50"/>
      <c r="E31" s="335"/>
      <c r="F31" s="231">
        <v>105000</v>
      </c>
      <c r="G31" s="231">
        <f>F31+15000</f>
        <v>120000</v>
      </c>
      <c r="H31" s="231">
        <f>F31+22500</f>
        <v>127500</v>
      </c>
      <c r="I31" s="332"/>
    </row>
    <row r="32" spans="1:9" s="39" customFormat="1" x14ac:dyDescent="0.25">
      <c r="A32" s="44"/>
      <c r="B32" s="54"/>
      <c r="C32" s="57" t="s">
        <v>125</v>
      </c>
      <c r="D32" s="50"/>
      <c r="E32" s="335"/>
      <c r="F32" s="231">
        <v>12500</v>
      </c>
      <c r="G32" s="231">
        <f>F32</f>
        <v>12500</v>
      </c>
      <c r="H32" s="231">
        <f>F32+15000</f>
        <v>27500</v>
      </c>
      <c r="I32" s="332"/>
    </row>
    <row r="33" spans="1:9" s="39" customFormat="1" x14ac:dyDescent="0.25">
      <c r="A33" s="44"/>
      <c r="B33" s="54"/>
      <c r="C33" s="57" t="s">
        <v>126</v>
      </c>
      <c r="D33" s="50"/>
      <c r="E33" s="335"/>
      <c r="F33" s="231">
        <v>50000</v>
      </c>
      <c r="G33" s="231">
        <f>F33+250000</f>
        <v>300000</v>
      </c>
      <c r="H33" s="231">
        <f>F33+250000</f>
        <v>300000</v>
      </c>
      <c r="I33" s="332"/>
    </row>
    <row r="34" spans="1:9" s="73" customFormat="1" x14ac:dyDescent="0.25">
      <c r="A34" s="61"/>
      <c r="B34" s="54"/>
      <c r="C34" s="57"/>
      <c r="D34" s="50"/>
      <c r="E34" s="335"/>
      <c r="F34" s="231"/>
      <c r="G34" s="231"/>
      <c r="H34" s="231"/>
      <c r="I34" s="332"/>
    </row>
    <row r="35" spans="1:9" s="62" customFormat="1" x14ac:dyDescent="0.25">
      <c r="B35" s="54"/>
      <c r="C35" s="105" t="s">
        <v>84</v>
      </c>
      <c r="D35" s="26"/>
      <c r="E35" s="113"/>
      <c r="F35" s="232">
        <f>SUM(F23:F33)</f>
        <v>1632500</v>
      </c>
      <c r="G35" s="232">
        <f t="shared" ref="G35" si="4">SUM(G23:G33)</f>
        <v>2850000</v>
      </c>
      <c r="H35" s="232">
        <f>SUM(H23:H33)</f>
        <v>2782500</v>
      </c>
      <c r="I35" s="80"/>
    </row>
    <row r="36" spans="1:9" s="39" customFormat="1" x14ac:dyDescent="0.25">
      <c r="A36" s="44"/>
      <c r="B36" s="54"/>
      <c r="C36" s="56"/>
      <c r="D36" s="50"/>
      <c r="E36" s="335"/>
      <c r="F36" s="332"/>
      <c r="G36" s="332"/>
      <c r="H36" s="332"/>
      <c r="I36" s="332"/>
    </row>
    <row r="37" spans="1:9" s="39" customFormat="1" x14ac:dyDescent="0.25">
      <c r="A37" s="44"/>
      <c r="B37" s="54"/>
      <c r="C37" s="56"/>
      <c r="D37" s="50"/>
      <c r="E37" s="335"/>
      <c r="F37" s="332"/>
      <c r="G37" s="335"/>
      <c r="H37" s="336"/>
      <c r="I37" s="332"/>
    </row>
    <row r="38" spans="1:9" s="61" customFormat="1" x14ac:dyDescent="0.25">
      <c r="A38" s="61" t="s">
        <v>104</v>
      </c>
      <c r="B38" s="198" t="s">
        <v>127</v>
      </c>
      <c r="C38" s="199"/>
      <c r="D38" s="33"/>
      <c r="E38" s="327"/>
      <c r="F38" s="230" t="s">
        <v>99</v>
      </c>
      <c r="G38" s="230" t="s">
        <v>88</v>
      </c>
      <c r="H38" s="230" t="s">
        <v>214</v>
      </c>
      <c r="I38" s="83"/>
    </row>
    <row r="39" spans="1:9" s="39" customFormat="1" x14ac:dyDescent="0.25">
      <c r="A39" s="44"/>
      <c r="B39" s="54"/>
      <c r="C39" s="57" t="s">
        <v>264</v>
      </c>
      <c r="D39" s="50"/>
      <c r="E39" s="335"/>
      <c r="F39" s="300">
        <v>237500</v>
      </c>
      <c r="G39" s="231">
        <f>F39+177500</f>
        <v>415000</v>
      </c>
      <c r="H39" s="231">
        <f>F39+177500</f>
        <v>415000</v>
      </c>
      <c r="I39" s="332"/>
    </row>
    <row r="40" spans="1:9" s="39" customFormat="1" x14ac:dyDescent="0.25">
      <c r="A40" s="44"/>
      <c r="B40" s="54"/>
      <c r="C40" s="57" t="s">
        <v>265</v>
      </c>
      <c r="D40" s="50"/>
      <c r="E40" s="335"/>
      <c r="F40" s="300">
        <v>237500</v>
      </c>
      <c r="G40" s="231">
        <f>F40+177500</f>
        <v>415000</v>
      </c>
      <c r="H40" s="231">
        <f>F40+177500</f>
        <v>415000</v>
      </c>
      <c r="I40" s="332"/>
    </row>
    <row r="41" spans="1:9" s="39" customFormat="1" x14ac:dyDescent="0.25">
      <c r="A41" s="44"/>
      <c r="B41" s="54"/>
      <c r="C41" s="57" t="s">
        <v>261</v>
      </c>
      <c r="D41" s="50"/>
      <c r="E41" s="335"/>
      <c r="F41" s="300">
        <v>112500</v>
      </c>
      <c r="G41" s="231">
        <f>F41+90000</f>
        <v>202500</v>
      </c>
      <c r="H41" s="231">
        <f>F41+90000</f>
        <v>202500</v>
      </c>
      <c r="I41" s="332"/>
    </row>
    <row r="42" spans="1:9" s="39" customFormat="1" x14ac:dyDescent="0.25">
      <c r="A42" s="44"/>
      <c r="B42" s="54"/>
      <c r="C42" s="57" t="s">
        <v>266</v>
      </c>
      <c r="D42" s="50"/>
      <c r="E42" s="335"/>
      <c r="F42" s="300">
        <v>80000</v>
      </c>
      <c r="G42" s="231">
        <f>F42+65000</f>
        <v>145000</v>
      </c>
      <c r="H42" s="231">
        <f>F42+65000</f>
        <v>145000</v>
      </c>
      <c r="I42" s="332"/>
    </row>
    <row r="43" spans="1:9" s="420" customFormat="1" x14ac:dyDescent="0.25">
      <c r="A43" s="425"/>
      <c r="B43" s="430"/>
      <c r="C43" s="432" t="s">
        <v>267</v>
      </c>
      <c r="D43" s="428"/>
      <c r="E43" s="429"/>
      <c r="F43" s="300">
        <v>42500</v>
      </c>
      <c r="G43" s="406">
        <f>F43</f>
        <v>42500</v>
      </c>
      <c r="H43" s="406">
        <f>F43</f>
        <v>42500</v>
      </c>
      <c r="I43" s="424"/>
    </row>
    <row r="44" spans="1:9" s="486" customFormat="1" x14ac:dyDescent="0.25">
      <c r="A44" s="488"/>
      <c r="B44" s="430"/>
      <c r="C44" s="432" t="s">
        <v>270</v>
      </c>
      <c r="D44" s="463"/>
      <c r="E44" s="458"/>
      <c r="F44" s="300">
        <v>0</v>
      </c>
      <c r="G44" s="406">
        <v>350000</v>
      </c>
      <c r="H44" s="406">
        <v>350000</v>
      </c>
      <c r="I44" s="496"/>
    </row>
    <row r="45" spans="1:9" s="486" customFormat="1" x14ac:dyDescent="0.25">
      <c r="A45" s="488"/>
      <c r="B45" s="430"/>
      <c r="C45" s="432" t="s">
        <v>271</v>
      </c>
      <c r="D45" s="463"/>
      <c r="E45" s="458"/>
      <c r="F45" s="300">
        <v>0</v>
      </c>
      <c r="G45" s="406">
        <v>350000</v>
      </c>
      <c r="H45" s="406">
        <v>350000</v>
      </c>
      <c r="I45" s="496"/>
    </row>
    <row r="46" spans="1:9" s="486" customFormat="1" x14ac:dyDescent="0.25">
      <c r="A46" s="488"/>
      <c r="B46" s="430"/>
      <c r="C46" s="432" t="s">
        <v>272</v>
      </c>
      <c r="D46" s="463"/>
      <c r="E46" s="458"/>
      <c r="F46" s="300">
        <v>0</v>
      </c>
      <c r="G46" s="406">
        <v>350000</v>
      </c>
      <c r="H46" s="406">
        <v>350000</v>
      </c>
      <c r="I46" s="496"/>
    </row>
    <row r="47" spans="1:9" s="73" customFormat="1" x14ac:dyDescent="0.25">
      <c r="A47" s="61"/>
      <c r="B47" s="40"/>
      <c r="C47" s="55"/>
      <c r="E47" s="332"/>
      <c r="F47" s="202"/>
      <c r="G47" s="231"/>
      <c r="H47" s="231"/>
      <c r="I47" s="332"/>
    </row>
    <row r="48" spans="1:9" s="102" customFormat="1" x14ac:dyDescent="0.25">
      <c r="B48" s="103"/>
      <c r="C48" s="206" t="s">
        <v>84</v>
      </c>
      <c r="D48" s="222"/>
      <c r="E48" s="113"/>
      <c r="F48" s="232">
        <f>SUM(F39:F46)</f>
        <v>710000</v>
      </c>
      <c r="G48" s="232">
        <f t="shared" ref="G48:H48" si="5">SUM(G39:G46)</f>
        <v>2270000</v>
      </c>
      <c r="H48" s="232">
        <f t="shared" si="5"/>
        <v>2270000</v>
      </c>
      <c r="I48" s="328"/>
    </row>
    <row r="49" spans="1:13" s="73" customFormat="1" x14ac:dyDescent="0.25">
      <c r="A49" s="61"/>
      <c r="B49" s="40"/>
      <c r="E49" s="332"/>
      <c r="F49" s="332"/>
      <c r="G49" s="336"/>
      <c r="H49" s="336"/>
      <c r="I49" s="332"/>
    </row>
    <row r="50" spans="1:13" s="61" customFormat="1" x14ac:dyDescent="0.25">
      <c r="A50" s="61" t="s">
        <v>105</v>
      </c>
      <c r="B50" s="198" t="s">
        <v>130</v>
      </c>
      <c r="C50" s="33"/>
      <c r="D50" s="33"/>
      <c r="E50" s="327"/>
      <c r="F50" s="230" t="s">
        <v>99</v>
      </c>
      <c r="G50" s="230" t="s">
        <v>88</v>
      </c>
      <c r="H50" s="230" t="s">
        <v>214</v>
      </c>
      <c r="I50" s="83"/>
    </row>
    <row r="51" spans="1:13" s="39" customFormat="1" x14ac:dyDescent="0.25">
      <c r="A51" s="44"/>
      <c r="B51" s="54"/>
      <c r="C51" s="58" t="s">
        <v>128</v>
      </c>
      <c r="D51" s="50"/>
      <c r="E51" s="335"/>
      <c r="F51" s="231">
        <v>800000</v>
      </c>
      <c r="G51" s="231">
        <f>F51+300000</f>
        <v>1100000</v>
      </c>
      <c r="H51" s="231">
        <f>F51+525000</f>
        <v>1325000</v>
      </c>
      <c r="I51" s="207"/>
    </row>
    <row r="52" spans="1:13" s="39" customFormat="1" x14ac:dyDescent="0.25">
      <c r="A52" s="44"/>
      <c r="B52" s="54"/>
      <c r="C52" s="97" t="s">
        <v>129</v>
      </c>
      <c r="D52" s="50"/>
      <c r="E52" s="335"/>
      <c r="F52" s="231">
        <v>125000</v>
      </c>
      <c r="G52" s="231">
        <f>F52+90000</f>
        <v>215000</v>
      </c>
      <c r="H52" s="231">
        <f>F52+90000</f>
        <v>215000</v>
      </c>
      <c r="I52" s="207"/>
    </row>
    <row r="53" spans="1:13" s="73" customFormat="1" x14ac:dyDescent="0.25">
      <c r="A53" s="61"/>
      <c r="B53" s="54"/>
      <c r="C53" s="97"/>
      <c r="D53" s="50"/>
      <c r="E53" s="335"/>
      <c r="F53" s="231"/>
      <c r="G53" s="231"/>
      <c r="H53" s="231"/>
      <c r="I53" s="207"/>
    </row>
    <row r="54" spans="1:13" s="62" customFormat="1" x14ac:dyDescent="0.25">
      <c r="B54" s="54"/>
      <c r="C54" s="104" t="s">
        <v>84</v>
      </c>
      <c r="D54" s="26"/>
      <c r="E54" s="113"/>
      <c r="F54" s="232">
        <f>SUM(F51:F52)</f>
        <v>925000</v>
      </c>
      <c r="G54" s="232">
        <f t="shared" ref="G54:H54" si="6">SUM(G51:G52)</f>
        <v>1315000</v>
      </c>
      <c r="H54" s="232">
        <f t="shared" si="6"/>
        <v>1540000</v>
      </c>
      <c r="I54" s="207"/>
    </row>
    <row r="55" spans="1:13" s="53" customFormat="1" x14ac:dyDescent="0.25">
      <c r="A55" s="44"/>
      <c r="B55" s="54"/>
      <c r="C55" s="58"/>
      <c r="D55" s="50"/>
      <c r="E55" s="335"/>
      <c r="F55" s="308"/>
      <c r="G55" s="308"/>
      <c r="H55" s="332"/>
      <c r="I55" s="332"/>
    </row>
    <row r="56" spans="1:13" x14ac:dyDescent="0.25">
      <c r="E56" s="332"/>
      <c r="F56" s="332"/>
      <c r="G56" s="332"/>
      <c r="H56" s="332"/>
      <c r="I56" s="332"/>
    </row>
    <row r="57" spans="1:13" x14ac:dyDescent="0.25">
      <c r="A57" s="44" t="s">
        <v>4</v>
      </c>
      <c r="B57" s="13" t="s">
        <v>106</v>
      </c>
      <c r="F57" s="65" t="s">
        <v>85</v>
      </c>
      <c r="G57" s="65" t="s">
        <v>108</v>
      </c>
      <c r="H57" s="65" t="s">
        <v>110</v>
      </c>
      <c r="I57" s="65" t="s">
        <v>109</v>
      </c>
    </row>
    <row r="58" spans="1:13" x14ac:dyDescent="0.25">
      <c r="C58" t="s">
        <v>254</v>
      </c>
      <c r="F58" s="229">
        <v>193963</v>
      </c>
      <c r="G58" s="229">
        <v>294061</v>
      </c>
      <c r="H58" s="229">
        <v>294061</v>
      </c>
      <c r="I58" s="229">
        <v>294061</v>
      </c>
    </row>
    <row r="59" spans="1:13" x14ac:dyDescent="0.25">
      <c r="F59" s="229"/>
      <c r="G59" s="229"/>
      <c r="H59" s="229"/>
      <c r="I59" s="229"/>
    </row>
    <row r="60" spans="1:13" s="73" customFormat="1" x14ac:dyDescent="0.25">
      <c r="F60" s="229"/>
      <c r="G60" s="229"/>
      <c r="H60" s="229"/>
      <c r="I60" s="229"/>
    </row>
    <row r="61" spans="1:13" x14ac:dyDescent="0.25">
      <c r="C61" s="20" t="s">
        <v>84</v>
      </c>
      <c r="D61" s="20"/>
      <c r="E61" s="20"/>
      <c r="F61" s="115">
        <f>SUM(F58:F59)</f>
        <v>193963</v>
      </c>
      <c r="G61" s="115">
        <f t="shared" ref="G61:I61" si="7">SUM(G58:G59)</f>
        <v>294061</v>
      </c>
      <c r="H61" s="115">
        <f t="shared" si="7"/>
        <v>294061</v>
      </c>
      <c r="I61" s="115">
        <f t="shared" si="7"/>
        <v>294061</v>
      </c>
    </row>
    <row r="63" spans="1:13" x14ac:dyDescent="0.25">
      <c r="A63" s="61" t="s">
        <v>6</v>
      </c>
      <c r="B63" s="61" t="s">
        <v>107</v>
      </c>
      <c r="F63" s="65" t="s">
        <v>85</v>
      </c>
      <c r="G63" s="65" t="s">
        <v>108</v>
      </c>
      <c r="H63" s="65" t="s">
        <v>110</v>
      </c>
      <c r="I63" s="65" t="s">
        <v>109</v>
      </c>
    </row>
    <row r="64" spans="1:13" x14ac:dyDescent="0.25">
      <c r="C64" t="s">
        <v>490</v>
      </c>
      <c r="F64" s="66">
        <f>'CBS (Total)'!J44+'CBS (Total)'!J43+'CBS (Total)'!J29+'CBS (Total)'!J24+'CBS (Total)'!J18+'CBS (Total)'!J12+'CBS (Total)'!J5+'CBS (Total)'!J10</f>
        <v>15138527.94974269</v>
      </c>
      <c r="G64" s="465">
        <f>'CBS (Total)'!L44+'CBS (Total)'!L43+'CBS (Total)'!L29+'CBS (Total)'!L24+'CBS (Total)'!L18+'CBS (Total)'!L12+'CBS (Total)'!L5+'CBS (Total)'!L10</f>
        <v>53991685.19231531</v>
      </c>
      <c r="H64" s="465">
        <f>'CBS (Total)'!N44+'CBS (Total)'!N43+'CBS (Total)'!N29+'CBS (Total)'!N24+'CBS (Total)'!N18+'CBS (Total)'!N12+'CBS (Total)'!N5+'CBS (Total)'!N10</f>
        <v>184579903.93970102</v>
      </c>
      <c r="I64" s="465">
        <f>'CBS (Total)'!P44+'CBS (Total)'!P43+'CBS (Total)'!P29+'CBS (Total)'!P24+'CBS (Total)'!P18+'CBS (Total)'!P12+'CBS (Total)'!P5+'CBS (Total)'!P10</f>
        <v>350849859.11502028</v>
      </c>
      <c r="K64" s="465"/>
      <c r="M64" s="66"/>
    </row>
    <row r="65" spans="1:9" x14ac:dyDescent="0.25">
      <c r="C65" t="s">
        <v>149</v>
      </c>
      <c r="F65" s="46">
        <v>0.05</v>
      </c>
      <c r="G65" s="46">
        <v>0.03</v>
      </c>
      <c r="H65" s="46">
        <v>0.02</v>
      </c>
      <c r="I65" s="46">
        <v>0.01</v>
      </c>
    </row>
    <row r="66" spans="1:9" s="73" customFormat="1" x14ac:dyDescent="0.25">
      <c r="F66" s="46"/>
      <c r="G66" s="46"/>
      <c r="H66" s="46"/>
      <c r="I66" s="46"/>
    </row>
    <row r="67" spans="1:9" x14ac:dyDescent="0.25">
      <c r="C67" s="20" t="s">
        <v>79</v>
      </c>
      <c r="D67" s="20"/>
      <c r="E67" s="20"/>
      <c r="F67" s="208">
        <f>F65*F64</f>
        <v>756926.39748713456</v>
      </c>
      <c r="G67" s="208">
        <f t="shared" ref="G67:I67" si="8">G65*G64</f>
        <v>1619750.5557694593</v>
      </c>
      <c r="H67" s="208">
        <f t="shared" si="8"/>
        <v>3691598.0787940207</v>
      </c>
      <c r="I67" s="208">
        <f t="shared" si="8"/>
        <v>3508498.5911502028</v>
      </c>
    </row>
    <row r="71" spans="1:9" s="295" customFormat="1" x14ac:dyDescent="0.25">
      <c r="A71" s="213" t="s">
        <v>150</v>
      </c>
    </row>
    <row r="72" spans="1:9" s="295" customFormat="1" x14ac:dyDescent="0.25">
      <c r="A72" s="691" t="s">
        <v>2</v>
      </c>
      <c r="B72" s="691" t="s">
        <v>492</v>
      </c>
    </row>
    <row r="73" spans="1:9" s="295" customFormat="1" x14ac:dyDescent="0.25">
      <c r="A73" s="691" t="s">
        <v>4</v>
      </c>
      <c r="B73" s="691" t="s">
        <v>493</v>
      </c>
    </row>
    <row r="74" spans="1:9" s="330" customFormat="1" x14ac:dyDescent="0.25">
      <c r="A74" s="691"/>
      <c r="B74" s="691" t="s">
        <v>494</v>
      </c>
    </row>
    <row r="75" spans="1:9" s="330" customFormat="1" x14ac:dyDescent="0.25">
      <c r="A75" s="691"/>
      <c r="B75" s="691" t="s">
        <v>495</v>
      </c>
    </row>
    <row r="76" spans="1:9" s="330" customFormat="1" x14ac:dyDescent="0.25">
      <c r="A76" s="691"/>
      <c r="B76" s="691" t="s">
        <v>496</v>
      </c>
    </row>
    <row r="77" spans="1:9" s="295" customFormat="1" x14ac:dyDescent="0.25">
      <c r="A77" s="691" t="s">
        <v>6</v>
      </c>
      <c r="B77" s="691" t="s">
        <v>497</v>
      </c>
    </row>
    <row r="78" spans="1:9" s="295" customFormat="1" x14ac:dyDescent="0.25"/>
    <row r="79" spans="1:9" s="295" customFormat="1" x14ac:dyDescent="0.25">
      <c r="A79" s="213" t="s">
        <v>235</v>
      </c>
    </row>
    <row r="80" spans="1:9" s="295" customFormat="1" x14ac:dyDescent="0.25">
      <c r="A80" s="689" t="s">
        <v>102</v>
      </c>
      <c r="B80" s="690" t="s">
        <v>236</v>
      </c>
    </row>
    <row r="81" spans="1:2" s="295" customFormat="1" x14ac:dyDescent="0.25">
      <c r="A81" s="689" t="s">
        <v>103</v>
      </c>
      <c r="B81" s="690" t="s">
        <v>236</v>
      </c>
    </row>
    <row r="82" spans="1:2" s="295" customFormat="1" x14ac:dyDescent="0.25">
      <c r="A82" s="689" t="s">
        <v>104</v>
      </c>
      <c r="B82" s="690" t="s">
        <v>236</v>
      </c>
    </row>
    <row r="83" spans="1:2" s="295" customFormat="1" x14ac:dyDescent="0.25">
      <c r="A83" s="689" t="s">
        <v>105</v>
      </c>
      <c r="B83" s="690" t="s">
        <v>236</v>
      </c>
    </row>
    <row r="84" spans="1:2" s="295" customFormat="1" x14ac:dyDescent="0.25">
      <c r="A84" s="689" t="s">
        <v>4</v>
      </c>
      <c r="B84" s="690" t="s">
        <v>519</v>
      </c>
    </row>
    <row r="85" spans="1:2" s="295" customFormat="1" x14ac:dyDescent="0.25">
      <c r="A85" s="689" t="s">
        <v>6</v>
      </c>
      <c r="B85" s="690" t="s">
        <v>491</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H78"/>
  <sheetViews>
    <sheetView topLeftCell="A18" zoomScale="70" zoomScaleNormal="70" workbookViewId="0">
      <selection activeCell="C76" sqref="C76"/>
    </sheetView>
  </sheetViews>
  <sheetFormatPr defaultColWidth="9.140625" defaultRowHeight="15" x14ac:dyDescent="0.25"/>
  <cols>
    <col min="1" max="1" width="3.85546875" style="7" customWidth="1"/>
    <col min="2" max="2" width="6.28515625" style="7" customWidth="1"/>
    <col min="3" max="3" width="53" style="7" customWidth="1"/>
    <col min="4" max="4" width="13.5703125" style="7" customWidth="1"/>
    <col min="5" max="5" width="15.85546875" style="7" customWidth="1"/>
    <col min="6" max="6" width="19.28515625" style="7" customWidth="1"/>
    <col min="7" max="7" width="18.140625" style="7" customWidth="1"/>
    <col min="8" max="8" width="18" style="7" customWidth="1"/>
    <col min="9" max="16384" width="9.140625" style="7"/>
  </cols>
  <sheetData>
    <row r="1" spans="1:8" s="12" customFormat="1" x14ac:dyDescent="0.25">
      <c r="A1" s="488" t="s">
        <v>403</v>
      </c>
    </row>
    <row r="2" spans="1:8" s="12" customFormat="1" x14ac:dyDescent="0.25"/>
    <row r="3" spans="1:8" s="12" customFormat="1" x14ac:dyDescent="0.25">
      <c r="A3" s="13" t="s">
        <v>111</v>
      </c>
      <c r="D3" s="12" t="s">
        <v>66</v>
      </c>
      <c r="E3" s="12">
        <v>1</v>
      </c>
      <c r="F3" s="12">
        <v>10</v>
      </c>
      <c r="G3" s="12">
        <v>50</v>
      </c>
      <c r="H3" s="12">
        <v>100</v>
      </c>
    </row>
    <row r="4" spans="1:8" s="12" customFormat="1" x14ac:dyDescent="0.25">
      <c r="A4" s="13"/>
      <c r="B4" s="12" t="s">
        <v>9</v>
      </c>
      <c r="C4" s="12" t="s">
        <v>12</v>
      </c>
      <c r="E4" s="43">
        <f>D39</f>
        <v>900000</v>
      </c>
      <c r="F4" s="525">
        <f t="shared" ref="F4:H4" si="0">E39</f>
        <v>900000</v>
      </c>
      <c r="G4" s="525">
        <f t="shared" si="0"/>
        <v>3360000</v>
      </c>
      <c r="H4" s="525">
        <f t="shared" si="0"/>
        <v>8700000</v>
      </c>
    </row>
    <row r="5" spans="1:8" s="12" customFormat="1" x14ac:dyDescent="0.25">
      <c r="A5" s="13"/>
      <c r="B5" s="12" t="s">
        <v>11</v>
      </c>
      <c r="C5" s="12" t="s">
        <v>151</v>
      </c>
      <c r="E5" s="43">
        <f>D47</f>
        <v>90000</v>
      </c>
      <c r="F5" s="460">
        <f t="shared" ref="F5:H5" si="1">E47</f>
        <v>90000</v>
      </c>
      <c r="G5" s="460">
        <f t="shared" si="1"/>
        <v>336000</v>
      </c>
      <c r="H5" s="460">
        <f t="shared" si="1"/>
        <v>870000</v>
      </c>
    </row>
    <row r="6" spans="1:8" s="68" customFormat="1" x14ac:dyDescent="0.25">
      <c r="A6" s="61"/>
      <c r="B6" s="68" t="s">
        <v>13</v>
      </c>
      <c r="C6" s="68" t="s">
        <v>14</v>
      </c>
      <c r="E6" s="333">
        <f>D54</f>
        <v>0</v>
      </c>
      <c r="F6" s="460">
        <f t="shared" ref="F6:H6" si="2">E54</f>
        <v>0</v>
      </c>
      <c r="G6" s="460">
        <f t="shared" si="2"/>
        <v>0</v>
      </c>
      <c r="H6" s="460">
        <f t="shared" si="2"/>
        <v>0</v>
      </c>
    </row>
    <row r="7" spans="1:8" s="68" customFormat="1" x14ac:dyDescent="0.25">
      <c r="A7" s="61"/>
      <c r="B7" s="68" t="s">
        <v>15</v>
      </c>
      <c r="C7" s="68" t="s">
        <v>59</v>
      </c>
      <c r="E7" s="43">
        <f>D65</f>
        <v>0</v>
      </c>
      <c r="F7" s="460">
        <f t="shared" ref="F7:H7" si="3">E65</f>
        <v>3870000</v>
      </c>
      <c r="G7" s="460">
        <f t="shared" si="3"/>
        <v>3870000</v>
      </c>
      <c r="H7" s="460">
        <f t="shared" si="3"/>
        <v>7740000</v>
      </c>
    </row>
    <row r="8" spans="1:8" s="68" customFormat="1" x14ac:dyDescent="0.25">
      <c r="A8" s="61"/>
      <c r="B8" s="68" t="s">
        <v>16</v>
      </c>
      <c r="C8" s="68" t="s">
        <v>17</v>
      </c>
      <c r="E8" s="66"/>
      <c r="F8" s="66"/>
      <c r="G8" s="66"/>
      <c r="H8" s="66"/>
    </row>
    <row r="9" spans="1:8" s="68" customFormat="1" x14ac:dyDescent="0.25">
      <c r="A9" s="61"/>
      <c r="D9" s="43"/>
      <c r="E9" s="43"/>
      <c r="F9" s="43"/>
      <c r="G9" s="43"/>
    </row>
    <row r="10" spans="1:8" s="68" customFormat="1" x14ac:dyDescent="0.25">
      <c r="A10" s="61"/>
      <c r="B10" s="219"/>
      <c r="C10" s="219" t="s">
        <v>100</v>
      </c>
      <c r="D10" s="220"/>
      <c r="E10" s="220">
        <f>SUM(E4:E8)</f>
        <v>990000</v>
      </c>
      <c r="F10" s="334">
        <f t="shared" ref="F10:H10" si="4">SUM(F4:F8)</f>
        <v>4860000</v>
      </c>
      <c r="G10" s="334">
        <f t="shared" si="4"/>
        <v>7566000</v>
      </c>
      <c r="H10" s="334">
        <f t="shared" si="4"/>
        <v>17310000</v>
      </c>
    </row>
    <row r="11" spans="1:8" s="68" customFormat="1" x14ac:dyDescent="0.25">
      <c r="A11" s="61"/>
      <c r="D11" s="43"/>
      <c r="E11" s="43"/>
      <c r="F11" s="43"/>
      <c r="G11" s="43"/>
    </row>
    <row r="12" spans="1:8" s="12" customFormat="1" x14ac:dyDescent="0.25"/>
    <row r="13" spans="1:8" s="12" customFormat="1" x14ac:dyDescent="0.25"/>
    <row r="14" spans="1:8" x14ac:dyDescent="0.25">
      <c r="A14" s="10"/>
      <c r="B14" s="10"/>
    </row>
    <row r="15" spans="1:8" x14ac:dyDescent="0.25">
      <c r="A15" s="61" t="s">
        <v>273</v>
      </c>
      <c r="E15" s="464" t="s">
        <v>298</v>
      </c>
      <c r="F15" s="7" t="s">
        <v>66</v>
      </c>
    </row>
    <row r="16" spans="1:8" s="454" customFormat="1" x14ac:dyDescent="0.25">
      <c r="A16" s="455"/>
      <c r="D16" s="593">
        <v>1</v>
      </c>
      <c r="E16" s="593">
        <v>10</v>
      </c>
      <c r="F16" s="593">
        <v>50</v>
      </c>
      <c r="G16" s="593">
        <v>100</v>
      </c>
    </row>
    <row r="17" spans="1:7" s="547" customFormat="1" x14ac:dyDescent="0.25">
      <c r="A17" s="488"/>
      <c r="B17" s="547" t="s">
        <v>296</v>
      </c>
      <c r="D17" s="86"/>
      <c r="E17" s="106"/>
      <c r="F17" s="464"/>
      <c r="G17" s="464"/>
    </row>
    <row r="18" spans="1:7" s="547" customFormat="1" x14ac:dyDescent="0.25">
      <c r="A18" s="488"/>
      <c r="C18" s="547" t="s">
        <v>297</v>
      </c>
      <c r="D18" s="593">
        <v>350</v>
      </c>
      <c r="E18" s="593">
        <v>350</v>
      </c>
      <c r="F18" s="593">
        <v>350</v>
      </c>
      <c r="G18" s="593">
        <v>350</v>
      </c>
    </row>
    <row r="19" spans="1:7" s="547" customFormat="1" x14ac:dyDescent="0.25">
      <c r="A19" s="488"/>
      <c r="C19" s="547" t="s">
        <v>299</v>
      </c>
      <c r="D19" s="594">
        <f>D18*D16/1000</f>
        <v>0.35</v>
      </c>
      <c r="E19" s="594">
        <f t="shared" ref="E19:G19" si="5">E18*E16/1000</f>
        <v>3.5</v>
      </c>
      <c r="F19" s="594">
        <f t="shared" si="5"/>
        <v>17.5</v>
      </c>
      <c r="G19" s="594">
        <f t="shared" si="5"/>
        <v>35</v>
      </c>
    </row>
    <row r="20" spans="1:7" s="547" customFormat="1" x14ac:dyDescent="0.25">
      <c r="A20" s="488"/>
      <c r="C20" s="547" t="s">
        <v>300</v>
      </c>
      <c r="D20" s="594">
        <f>D19*1.2</f>
        <v>0.42</v>
      </c>
      <c r="E20" s="594">
        <f t="shared" ref="E20:G20" si="6">E19*1.2</f>
        <v>4.2</v>
      </c>
      <c r="F20" s="594">
        <f t="shared" si="6"/>
        <v>21</v>
      </c>
      <c r="G20" s="594">
        <f t="shared" si="6"/>
        <v>42</v>
      </c>
    </row>
    <row r="21" spans="1:7" s="547" customFormat="1" x14ac:dyDescent="0.25">
      <c r="A21" s="488"/>
      <c r="D21" s="86"/>
      <c r="E21" s="106"/>
      <c r="F21" s="464"/>
      <c r="G21" s="464"/>
    </row>
    <row r="22" spans="1:7" s="547" customFormat="1" x14ac:dyDescent="0.25">
      <c r="A22" s="488"/>
      <c r="B22" s="547" t="s">
        <v>294</v>
      </c>
      <c r="F22" s="464"/>
      <c r="G22" s="464"/>
    </row>
    <row r="23" spans="1:7" s="547" customFormat="1" x14ac:dyDescent="0.25">
      <c r="A23" s="488"/>
      <c r="C23" s="547" t="s">
        <v>295</v>
      </c>
      <c r="D23" s="497">
        <v>5000</v>
      </c>
      <c r="E23" s="547">
        <v>5000</v>
      </c>
      <c r="F23" s="464">
        <v>5000</v>
      </c>
      <c r="G23" s="464">
        <v>5000</v>
      </c>
    </row>
    <row r="24" spans="1:7" s="547" customFormat="1" x14ac:dyDescent="0.25">
      <c r="A24" s="488"/>
      <c r="C24" s="547" t="s">
        <v>302</v>
      </c>
      <c r="D24" s="497">
        <v>0</v>
      </c>
      <c r="E24" s="547">
        <v>0</v>
      </c>
      <c r="F24" s="547">
        <f>(F16-20)/2*600</f>
        <v>9000</v>
      </c>
      <c r="G24" s="547">
        <f>(G16-20)/2*600</f>
        <v>24000</v>
      </c>
    </row>
    <row r="25" spans="1:7" s="547" customFormat="1" x14ac:dyDescent="0.25">
      <c r="A25" s="488"/>
      <c r="C25" s="547" t="s">
        <v>301</v>
      </c>
      <c r="D25" s="497">
        <f>(D23+D24)*1.2</f>
        <v>6000</v>
      </c>
      <c r="E25" s="497">
        <f t="shared" ref="E25:G25" si="7">(E23+E24)*1.2</f>
        <v>6000</v>
      </c>
      <c r="F25" s="497">
        <f t="shared" si="7"/>
        <v>16800</v>
      </c>
      <c r="G25" s="497">
        <f t="shared" si="7"/>
        <v>34800</v>
      </c>
    </row>
    <row r="26" spans="1:7" s="547" customFormat="1" x14ac:dyDescent="0.25">
      <c r="A26" s="488"/>
      <c r="D26" s="497"/>
      <c r="F26" s="464"/>
      <c r="G26" s="464"/>
    </row>
    <row r="27" spans="1:7" s="547" customFormat="1" x14ac:dyDescent="0.25">
      <c r="A27" s="488"/>
      <c r="B27" s="547" t="s">
        <v>307</v>
      </c>
      <c r="F27" s="464"/>
      <c r="G27" s="464"/>
    </row>
    <row r="28" spans="1:7" s="547" customFormat="1" x14ac:dyDescent="0.25">
      <c r="A28" s="488"/>
      <c r="C28" s="547" t="s">
        <v>303</v>
      </c>
      <c r="D28" s="497">
        <f>600+50*2*2</f>
        <v>800</v>
      </c>
      <c r="E28" s="497">
        <f t="shared" ref="E28:G28" si="8">600+50*2*2</f>
        <v>800</v>
      </c>
      <c r="F28" s="497">
        <f t="shared" si="8"/>
        <v>800</v>
      </c>
      <c r="G28" s="497">
        <f t="shared" si="8"/>
        <v>800</v>
      </c>
    </row>
    <row r="29" spans="1:7" s="547" customFormat="1" x14ac:dyDescent="0.25">
      <c r="A29" s="488"/>
      <c r="C29" s="547" t="s">
        <v>304</v>
      </c>
      <c r="D29" s="547">
        <f>D28*D16</f>
        <v>800</v>
      </c>
      <c r="E29" s="547">
        <f t="shared" ref="E29:G29" si="9">E28*E16</f>
        <v>8000</v>
      </c>
      <c r="F29" s="547">
        <f t="shared" si="9"/>
        <v>40000</v>
      </c>
      <c r="G29" s="547">
        <f t="shared" si="9"/>
        <v>80000</v>
      </c>
    </row>
    <row r="30" spans="1:7" s="547" customFormat="1" x14ac:dyDescent="0.25">
      <c r="A30" s="488"/>
      <c r="D30" s="497"/>
      <c r="F30" s="464"/>
      <c r="G30" s="464"/>
    </row>
    <row r="31" spans="1:7" s="547" customFormat="1" x14ac:dyDescent="0.25">
      <c r="A31" s="488"/>
      <c r="B31" s="547" t="s">
        <v>305</v>
      </c>
      <c r="F31" s="464"/>
      <c r="G31" s="464"/>
    </row>
    <row r="32" spans="1:7" s="547" customFormat="1" x14ac:dyDescent="0.25">
      <c r="A32" s="488"/>
      <c r="C32" s="547" t="s">
        <v>308</v>
      </c>
      <c r="D32" s="457">
        <v>150</v>
      </c>
      <c r="E32" s="457">
        <v>150</v>
      </c>
      <c r="F32" s="596">
        <v>200</v>
      </c>
      <c r="G32" s="596">
        <v>250</v>
      </c>
    </row>
    <row r="33" spans="1:7" s="547" customFormat="1" x14ac:dyDescent="0.25">
      <c r="A33" s="488"/>
      <c r="C33" s="547" t="s">
        <v>488</v>
      </c>
      <c r="D33" s="596">
        <v>0</v>
      </c>
      <c r="E33" s="596">
        <v>0</v>
      </c>
      <c r="F33" s="596">
        <v>0</v>
      </c>
      <c r="G33" s="596">
        <v>0</v>
      </c>
    </row>
    <row r="34" spans="1:7" s="547" customFormat="1" x14ac:dyDescent="0.25">
      <c r="A34" s="488"/>
      <c r="C34" s="462"/>
      <c r="D34" s="457"/>
      <c r="E34" s="457"/>
      <c r="F34" s="596"/>
      <c r="G34" s="596"/>
    </row>
    <row r="35" spans="1:7" s="547" customFormat="1" x14ac:dyDescent="0.25">
      <c r="A35" s="488"/>
      <c r="B35" s="547" t="s">
        <v>80</v>
      </c>
      <c r="D35" s="457"/>
      <c r="E35" s="457"/>
      <c r="F35" s="596"/>
      <c r="G35" s="596"/>
    </row>
    <row r="36" spans="1:7" s="547" customFormat="1" x14ac:dyDescent="0.25">
      <c r="A36" s="488"/>
      <c r="C36" s="547" t="s">
        <v>306</v>
      </c>
      <c r="D36" s="457">
        <f>D32*D25</f>
        <v>900000</v>
      </c>
      <c r="E36" s="457">
        <f t="shared" ref="E36:G36" si="10">E32*E25</f>
        <v>900000</v>
      </c>
      <c r="F36" s="457">
        <f t="shared" si="10"/>
        <v>3360000</v>
      </c>
      <c r="G36" s="457">
        <f t="shared" si="10"/>
        <v>8700000</v>
      </c>
    </row>
    <row r="37" spans="1:7" s="547" customFormat="1" x14ac:dyDescent="0.25">
      <c r="A37" s="488"/>
      <c r="C37" s="547" t="s">
        <v>309</v>
      </c>
      <c r="D37" s="457">
        <f>D33*D29</f>
        <v>0</v>
      </c>
      <c r="E37" s="457">
        <f t="shared" ref="E37:G37" si="11">E33*E29</f>
        <v>0</v>
      </c>
      <c r="F37" s="457">
        <f t="shared" si="11"/>
        <v>0</v>
      </c>
      <c r="G37" s="457">
        <f t="shared" si="11"/>
        <v>0</v>
      </c>
    </row>
    <row r="38" spans="1:7" s="547" customFormat="1" x14ac:dyDescent="0.25">
      <c r="A38" s="488"/>
      <c r="C38" s="550"/>
      <c r="D38" s="406"/>
      <c r="E38" s="457"/>
      <c r="F38" s="596"/>
      <c r="G38" s="596"/>
    </row>
    <row r="39" spans="1:7" s="547" customFormat="1" x14ac:dyDescent="0.25">
      <c r="A39" s="488"/>
      <c r="C39" s="81" t="s">
        <v>81</v>
      </c>
      <c r="D39" s="232">
        <f>D37+D36</f>
        <v>900000</v>
      </c>
      <c r="E39" s="232">
        <f t="shared" ref="E39:G39" si="12">E37+E36</f>
        <v>900000</v>
      </c>
      <c r="F39" s="232">
        <f t="shared" si="12"/>
        <v>3360000</v>
      </c>
      <c r="G39" s="232">
        <f t="shared" si="12"/>
        <v>8700000</v>
      </c>
    </row>
    <row r="40" spans="1:7" s="547" customFormat="1" x14ac:dyDescent="0.25">
      <c r="A40" s="488"/>
      <c r="C40" s="550"/>
      <c r="D40" s="550"/>
      <c r="F40" s="464"/>
      <c r="G40" s="464"/>
    </row>
    <row r="42" spans="1:7" x14ac:dyDescent="0.25">
      <c r="A42" s="61" t="s">
        <v>152</v>
      </c>
      <c r="B42" s="61"/>
      <c r="C42" s="61"/>
    </row>
    <row r="43" spans="1:7" s="454" customFormat="1" x14ac:dyDescent="0.25">
      <c r="A43" s="455"/>
      <c r="B43" s="455"/>
      <c r="C43" s="455"/>
      <c r="D43" s="86" t="s">
        <v>85</v>
      </c>
      <c r="E43" s="106" t="s">
        <v>108</v>
      </c>
      <c r="F43" s="65" t="s">
        <v>110</v>
      </c>
      <c r="G43" s="65" t="s">
        <v>109</v>
      </c>
    </row>
    <row r="44" spans="1:7" s="73" customFormat="1" x14ac:dyDescent="0.25">
      <c r="D44" s="224"/>
      <c r="E44" s="224"/>
      <c r="F44" s="224"/>
      <c r="G44" s="224"/>
    </row>
    <row r="45" spans="1:7" s="73" customFormat="1" x14ac:dyDescent="0.25">
      <c r="C45" s="73" t="s">
        <v>310</v>
      </c>
      <c r="D45" s="202">
        <f>10%*D39</f>
        <v>90000</v>
      </c>
      <c r="E45" s="202">
        <f t="shared" ref="E45:G45" si="13">10%*E39</f>
        <v>90000</v>
      </c>
      <c r="F45" s="202">
        <f t="shared" si="13"/>
        <v>336000</v>
      </c>
      <c r="G45" s="202">
        <f t="shared" si="13"/>
        <v>870000</v>
      </c>
    </row>
    <row r="46" spans="1:7" s="73" customFormat="1" x14ac:dyDescent="0.25">
      <c r="D46" s="43"/>
      <c r="E46" s="47"/>
    </row>
    <row r="47" spans="1:7" s="73" customFormat="1" x14ac:dyDescent="0.25">
      <c r="C47" s="20" t="s">
        <v>79</v>
      </c>
      <c r="D47" s="21">
        <f>SUM(D45:D46)</f>
        <v>90000</v>
      </c>
      <c r="E47" s="334">
        <f t="shared" ref="E47:G47" si="14">SUM(E45:E46)</f>
        <v>90000</v>
      </c>
      <c r="F47" s="334">
        <f t="shared" si="14"/>
        <v>336000</v>
      </c>
      <c r="G47" s="334">
        <f t="shared" si="14"/>
        <v>870000</v>
      </c>
    </row>
    <row r="48" spans="1:7" x14ac:dyDescent="0.25">
      <c r="D48" s="8"/>
    </row>
    <row r="49" spans="1:7" x14ac:dyDescent="0.25">
      <c r="A49" s="61" t="s">
        <v>135</v>
      </c>
      <c r="B49" s="61"/>
      <c r="D49" s="8"/>
    </row>
    <row r="50" spans="1:7" s="454" customFormat="1" x14ac:dyDescent="0.25">
      <c r="A50" s="455"/>
      <c r="B50" s="455"/>
      <c r="D50" s="86" t="s">
        <v>85</v>
      </c>
      <c r="E50" s="464" t="s">
        <v>108</v>
      </c>
      <c r="F50" s="464" t="s">
        <v>110</v>
      </c>
      <c r="G50" s="464" t="s">
        <v>109</v>
      </c>
    </row>
    <row r="51" spans="1:7" s="454" customFormat="1" x14ac:dyDescent="0.25">
      <c r="A51" s="455"/>
      <c r="B51" s="455"/>
      <c r="D51" s="460"/>
    </row>
    <row r="52" spans="1:7" s="454" customFormat="1" x14ac:dyDescent="0.25">
      <c r="A52" s="455"/>
      <c r="B52" s="455"/>
      <c r="C52" s="454" t="s">
        <v>311</v>
      </c>
      <c r="D52" s="460"/>
    </row>
    <row r="53" spans="1:7" s="454" customFormat="1" x14ac:dyDescent="0.25">
      <c r="A53" s="455"/>
      <c r="B53" s="455"/>
      <c r="D53" s="460"/>
    </row>
    <row r="54" spans="1:7" s="73" customFormat="1" x14ac:dyDescent="0.25">
      <c r="C54" s="331" t="s">
        <v>79</v>
      </c>
      <c r="D54" s="334">
        <v>0</v>
      </c>
      <c r="E54" s="334">
        <v>0</v>
      </c>
      <c r="F54" s="334">
        <v>0</v>
      </c>
      <c r="G54" s="334">
        <v>0</v>
      </c>
    </row>
    <row r="55" spans="1:7" s="12" customFormat="1" x14ac:dyDescent="0.25">
      <c r="D55" s="18"/>
    </row>
    <row r="56" spans="1:7" s="12" customFormat="1" x14ac:dyDescent="0.25">
      <c r="A56" s="61" t="s">
        <v>136</v>
      </c>
      <c r="B56" s="61"/>
      <c r="D56" s="18"/>
    </row>
    <row r="57" spans="1:7" s="454" customFormat="1" x14ac:dyDescent="0.25">
      <c r="A57" s="455"/>
      <c r="B57" s="455"/>
      <c r="C57" s="455"/>
      <c r="D57" s="86" t="s">
        <v>85</v>
      </c>
      <c r="E57" s="106" t="s">
        <v>108</v>
      </c>
      <c r="F57" s="444" t="s">
        <v>110</v>
      </c>
      <c r="G57" s="444" t="s">
        <v>109</v>
      </c>
    </row>
    <row r="58" spans="1:7" s="547" customFormat="1" x14ac:dyDescent="0.25">
      <c r="A58" s="488"/>
      <c r="B58" s="462" t="s">
        <v>350</v>
      </c>
      <c r="C58" s="488"/>
      <c r="D58" s="86"/>
      <c r="E58" s="106"/>
      <c r="F58" s="464"/>
      <c r="G58" s="464"/>
    </row>
    <row r="59" spans="1:7" s="547" customFormat="1" x14ac:dyDescent="0.25">
      <c r="A59" s="488"/>
      <c r="B59" s="462" t="s">
        <v>434</v>
      </c>
      <c r="C59" s="488"/>
      <c r="D59" s="86"/>
      <c r="E59" s="106"/>
      <c r="F59" s="464"/>
      <c r="G59" s="464"/>
    </row>
    <row r="60" spans="1:7" s="454" customFormat="1" x14ac:dyDescent="0.25">
      <c r="A60" s="455"/>
      <c r="B60" s="462" t="s">
        <v>435</v>
      </c>
      <c r="D60" s="445"/>
      <c r="E60" s="445"/>
      <c r="F60" s="445"/>
      <c r="G60" s="445"/>
    </row>
    <row r="61" spans="1:7" s="547" customFormat="1" x14ac:dyDescent="0.25">
      <c r="A61" s="488"/>
      <c r="B61" s="462" t="s">
        <v>436</v>
      </c>
      <c r="D61" s="445"/>
      <c r="E61" s="445"/>
      <c r="F61" s="445"/>
      <c r="G61" s="445"/>
    </row>
    <row r="62" spans="1:7" s="547" customFormat="1" x14ac:dyDescent="0.25">
      <c r="A62" s="488"/>
      <c r="B62" s="488"/>
      <c r="D62" s="445"/>
      <c r="E62" s="445"/>
      <c r="F62" s="445"/>
      <c r="G62" s="445"/>
    </row>
    <row r="63" spans="1:7" s="454" customFormat="1" x14ac:dyDescent="0.25">
      <c r="A63" s="455"/>
      <c r="B63" s="455"/>
      <c r="C63" s="454" t="s">
        <v>414</v>
      </c>
      <c r="D63" s="202"/>
      <c r="E63" s="202">
        <f>(2.09+5.65)/2*1000000</f>
        <v>3870000</v>
      </c>
      <c r="F63" s="602">
        <f>E63</f>
        <v>3870000</v>
      </c>
      <c r="G63" s="202">
        <f>F63*2</f>
        <v>7740000</v>
      </c>
    </row>
    <row r="64" spans="1:7" s="454" customFormat="1" x14ac:dyDescent="0.25">
      <c r="A64" s="455"/>
      <c r="B64" s="455"/>
      <c r="D64" s="460"/>
      <c r="E64" s="443"/>
    </row>
    <row r="65" spans="1:7" x14ac:dyDescent="0.25">
      <c r="C65" s="331" t="s">
        <v>79</v>
      </c>
      <c r="D65" s="334">
        <f>D63</f>
        <v>0</v>
      </c>
      <c r="E65" s="334">
        <f t="shared" ref="E65:G65" si="15">E63</f>
        <v>3870000</v>
      </c>
      <c r="F65" s="334">
        <f t="shared" si="15"/>
        <v>3870000</v>
      </c>
      <c r="G65" s="334">
        <f t="shared" si="15"/>
        <v>7740000</v>
      </c>
    </row>
    <row r="67" spans="1:7" s="295" customFormat="1" x14ac:dyDescent="0.25"/>
    <row r="68" spans="1:7" s="295" customFormat="1" x14ac:dyDescent="0.25">
      <c r="A68" s="692" t="s">
        <v>150</v>
      </c>
    </row>
    <row r="69" spans="1:7" s="295" customFormat="1" x14ac:dyDescent="0.25">
      <c r="B69" s="691" t="s">
        <v>9</v>
      </c>
      <c r="C69" s="295" t="s">
        <v>312</v>
      </c>
    </row>
    <row r="70" spans="1:7" s="295" customFormat="1" x14ac:dyDescent="0.25">
      <c r="B70" s="691" t="s">
        <v>11</v>
      </c>
      <c r="C70" s="693" t="s">
        <v>498</v>
      </c>
    </row>
    <row r="71" spans="1:7" s="295" customFormat="1" x14ac:dyDescent="0.25">
      <c r="B71" s="691" t="s">
        <v>13</v>
      </c>
      <c r="C71" s="695" t="s">
        <v>520</v>
      </c>
    </row>
    <row r="72" spans="1:7" x14ac:dyDescent="0.25">
      <c r="B72" s="691" t="s">
        <v>15</v>
      </c>
      <c r="C72" s="7" t="s">
        <v>499</v>
      </c>
    </row>
    <row r="74" spans="1:7" x14ac:dyDescent="0.25">
      <c r="A74" s="213" t="s">
        <v>235</v>
      </c>
      <c r="B74" s="295"/>
      <c r="C74" s="295"/>
    </row>
    <row r="75" spans="1:7" x14ac:dyDescent="0.25">
      <c r="A75" s="295"/>
      <c r="B75" s="295" t="s">
        <v>9</v>
      </c>
      <c r="C75" s="7" t="s">
        <v>323</v>
      </c>
    </row>
    <row r="76" spans="1:7" x14ac:dyDescent="0.25">
      <c r="A76" s="295"/>
      <c r="B76" s="295" t="s">
        <v>11</v>
      </c>
      <c r="C76" s="295" t="s">
        <v>323</v>
      </c>
    </row>
    <row r="77" spans="1:7" x14ac:dyDescent="0.25">
      <c r="A77" s="295"/>
      <c r="B77" s="295" t="s">
        <v>13</v>
      </c>
      <c r="C77" s="295" t="s">
        <v>323</v>
      </c>
    </row>
    <row r="78" spans="1:7" x14ac:dyDescent="0.25">
      <c r="A78" s="295"/>
      <c r="B78" s="295" t="s">
        <v>15</v>
      </c>
      <c r="C78" s="295" t="s">
        <v>323</v>
      </c>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About</vt:lpstr>
      <vt:lpstr>Report Tables</vt:lpstr>
      <vt:lpstr>Report Graphs</vt:lpstr>
      <vt:lpstr>Performance &amp; Economics</vt:lpstr>
      <vt:lpstr>CBS (CoE)</vt:lpstr>
      <vt:lpstr>CBS ($ per kW)</vt:lpstr>
      <vt:lpstr>CBS (Total)</vt:lpstr>
      <vt:lpstr>1.1</vt:lpstr>
      <vt:lpstr>1.2</vt:lpstr>
      <vt:lpstr>1.3</vt:lpstr>
      <vt:lpstr>1.4</vt:lpstr>
      <vt:lpstr>1.5</vt:lpstr>
      <vt:lpstr>1.6</vt:lpstr>
      <vt:lpstr>1.7</vt:lpstr>
      <vt:lpstr>1.8</vt:lpstr>
      <vt:lpstr>1.9</vt:lpstr>
      <vt:lpstr>2.1</vt:lpstr>
      <vt:lpstr>2.2</vt:lpstr>
      <vt:lpstr>2.3</vt:lpstr>
      <vt:lpstr>2.4</vt:lpstr>
      <vt:lpstr>2.5</vt:lpstr>
      <vt:lpstr>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Mirko</dc:creator>
  <cp:lastModifiedBy>Castillo, Cesar Ricardo</cp:lastModifiedBy>
  <dcterms:created xsi:type="dcterms:W3CDTF">2012-04-25T12:13:03Z</dcterms:created>
  <dcterms:modified xsi:type="dcterms:W3CDTF">2021-09-07T22:49:12Z</dcterms:modified>
</cp:coreProperties>
</file>